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625" yWindow="-210" windowWidth="18735" windowHeight="13740" tabRatio="875" firstSheet="10" activeTab="4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比较法-工业" sheetId="40" state="hidden" r:id="rId19"/>
    <sheet name="剩余法-现房" sheetId="43" r:id="rId20"/>
    <sheet name="比较法-住宅、综合" sheetId="39" state="hidden" r:id="rId21"/>
    <sheet name="不动产收益法" sheetId="15" r:id="rId22"/>
    <sheet name="基准地价" sheetId="46" r:id="rId23"/>
    <sheet name="修正" sheetId="49" state="hidden" r:id="rId24"/>
    <sheet name="区片价" sheetId="48" state="hidden" r:id="rId25"/>
    <sheet name="容积率修正" sheetId="45" state="hidden" r:id="rId26"/>
    <sheet name="因素修正幅度" sheetId="56" state="hidden" r:id="rId27"/>
    <sheet name="地价" sheetId="59" r:id="rId28"/>
    <sheet name="基准地价（汇总）" sheetId="67" state="hidden" r:id="rId29"/>
    <sheet name="收益还原法" sheetId="44" state="hidden" r:id="rId30"/>
    <sheet name="酒店收入计算" sheetId="57" state="hidden" r:id="rId31"/>
    <sheet name="不动产比较法-工业" sheetId="37" state="hidden" r:id="rId32"/>
    <sheet name="成本逼近法" sheetId="11" r:id="rId33"/>
    <sheet name="不动产比较法-住宅" sheetId="21" state="hidden" r:id="rId34"/>
    <sheet name="不动产比较法-商业" sheetId="33" state="hidden" r:id="rId35"/>
    <sheet name="不动产比较法-办公" sheetId="34"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结果汇总表" sheetId="68" r:id="rId41"/>
    <sheet name="土地案例" sheetId="69" r:id="rId42"/>
  </sheets>
  <externalReferences>
    <externalReference r:id="rId43"/>
    <externalReference r:id="rId44"/>
    <externalReference r:id="rId45"/>
    <externalReference r:id="rId46"/>
  </externalReferences>
  <definedNames>
    <definedName name="_xlnm._FilterDatabase" localSheetId="18"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1"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8">'比较法-工业'!$A$1:$K$63,'比较法-工业'!$A$66:$N$123</definedName>
    <definedName name="_xlnm.Print_Area" localSheetId="20">'比较法-住宅、综合'!$A$1:$K$67,'比较法-住宅、综合'!$A$71:$N$134</definedName>
    <definedName name="_xlnm.Print_Area" localSheetId="35">'不动产比较法-办公'!$A$1:$K$55,'不动产比较法-办公'!$A$58:$M$132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1">'不动产比较法-工业'!$A$1:$K$48,'不动产比较法-工业'!$A$51:$M$113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21">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7">'剩余法-待开发'!$A$1:$K$36</definedName>
    <definedName name="_xlnm.Print_Area" localSheetId="19">'剩余法-现房'!$A$1:$K$32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1" i="68" l="1"/>
  <c r="P88" i="69" l="1"/>
  <c r="R87" i="69"/>
  <c r="G22" i="20" l="1"/>
  <c r="G5" i="20"/>
  <c r="B29" i="1" l="1"/>
  <c r="D13" i="11"/>
  <c r="O60" i="69" l="1"/>
  <c r="O107" i="69"/>
  <c r="O108" i="69"/>
  <c r="O106" i="69"/>
  <c r="D15" i="68" l="1"/>
  <c r="D13" i="68"/>
  <c r="P87" i="69" l="1"/>
  <c r="O25" i="69"/>
  <c r="P96" i="69" l="1"/>
  <c r="P89" i="69"/>
  <c r="P90" i="69"/>
  <c r="D8" i="11" l="1"/>
  <c r="O56" i="69"/>
  <c r="O41" i="69"/>
  <c r="O14" i="69"/>
  <c r="O15" i="69"/>
  <c r="O16" i="69"/>
  <c r="O17" i="69"/>
  <c r="O18" i="69"/>
  <c r="O19" i="69"/>
  <c r="O20" i="69"/>
  <c r="O21" i="69"/>
  <c r="O22" i="69"/>
  <c r="O23" i="69"/>
  <c r="O24" i="69"/>
  <c r="O26" i="69"/>
  <c r="O27" i="69"/>
  <c r="O28" i="69"/>
  <c r="O29" i="69"/>
  <c r="O30" i="69"/>
  <c r="O31" i="69"/>
  <c r="E8" i="11" s="1"/>
  <c r="O32" i="69"/>
  <c r="O11" i="69"/>
  <c r="O12" i="69"/>
  <c r="O13" i="69"/>
  <c r="O5" i="69"/>
  <c r="O6" i="69"/>
  <c r="O7" i="69"/>
  <c r="O8" i="69"/>
  <c r="O9" i="69"/>
  <c r="O10" i="69"/>
  <c r="O4" i="69"/>
  <c r="N10" i="69"/>
  <c r="N11" i="69"/>
  <c r="N25" i="69"/>
  <c r="N34" i="69"/>
  <c r="N37" i="69" s="1"/>
  <c r="O36" i="69"/>
  <c r="M33" i="69"/>
  <c r="L33" i="69"/>
  <c r="K33" i="69"/>
  <c r="O33" i="69" s="1"/>
  <c r="N19" i="69"/>
  <c r="N14" i="69"/>
  <c r="D4" i="68"/>
  <c r="B3" i="68"/>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A15" i="3" s="1"/>
  <c r="BD15" i="3"/>
  <c r="BE15" i="3"/>
  <c r="BF15" i="3"/>
  <c r="BG15" i="3"/>
  <c r="BH15" i="3"/>
  <c r="BI15" i="3"/>
  <c r="BJ15" i="3"/>
  <c r="BK15" i="3"/>
  <c r="BM15" i="3"/>
  <c r="BN15" i="3"/>
  <c r="BL15" i="3" s="1"/>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L19" i="3" s="1"/>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L21" i="3"/>
  <c r="BB22" i="3"/>
  <c r="BA22" i="3" s="1"/>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L23" i="3" s="1"/>
  <c r="BN23" i="3"/>
  <c r="BO23" i="3"/>
  <c r="BP23" i="3"/>
  <c r="BQ23" i="3"/>
  <c r="BR23" i="3"/>
  <c r="BS23" i="3"/>
  <c r="BT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L25" i="3" s="1"/>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L29" i="3" s="1"/>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L31" i="3" s="1"/>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A34" i="3" s="1"/>
  <c r="BC34" i="3"/>
  <c r="BD34" i="3"/>
  <c r="BE34" i="3"/>
  <c r="BF34" i="3"/>
  <c r="BG34" i="3"/>
  <c r="BH34" i="3"/>
  <c r="BI34" i="3"/>
  <c r="BJ34" i="3"/>
  <c r="BK34" i="3"/>
  <c r="BM34" i="3"/>
  <c r="BN34" i="3"/>
  <c r="BL34" i="3" s="1"/>
  <c r="AZ34" i="3" s="1"/>
  <c r="BO34" i="3"/>
  <c r="BP34" i="3"/>
  <c r="BQ34" i="3"/>
  <c r="BR34" i="3"/>
  <c r="BS34" i="3"/>
  <c r="BT34" i="3"/>
  <c r="BB35" i="3"/>
  <c r="BC35" i="3"/>
  <c r="BD35" i="3"/>
  <c r="BE35" i="3"/>
  <c r="BF35" i="3"/>
  <c r="BG35" i="3"/>
  <c r="BH35" i="3"/>
  <c r="BI35" i="3"/>
  <c r="BJ35" i="3"/>
  <c r="BK35" i="3"/>
  <c r="BM35" i="3"/>
  <c r="BL35" i="3" s="1"/>
  <c r="BN35" i="3"/>
  <c r="BO35" i="3"/>
  <c r="BP35" i="3"/>
  <c r="BQ35" i="3"/>
  <c r="BR35" i="3"/>
  <c r="BS35" i="3"/>
  <c r="BT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A38" i="3" s="1"/>
  <c r="BC38" i="3"/>
  <c r="BD38" i="3"/>
  <c r="BE38" i="3"/>
  <c r="BF38" i="3"/>
  <c r="BG38" i="3"/>
  <c r="BH38" i="3"/>
  <c r="BI38" i="3"/>
  <c r="BJ38" i="3"/>
  <c r="BK38" i="3"/>
  <c r="BM38" i="3"/>
  <c r="BN38" i="3"/>
  <c r="BO38" i="3"/>
  <c r="BP38" i="3"/>
  <c r="BQ38" i="3"/>
  <c r="BR38" i="3"/>
  <c r="BS38" i="3"/>
  <c r="BT38" i="3"/>
  <c r="BB39" i="3"/>
  <c r="BC39" i="3"/>
  <c r="BA39" i="3" s="1"/>
  <c r="BD39" i="3"/>
  <c r="BE39" i="3"/>
  <c r="BF39" i="3"/>
  <c r="BG39" i="3"/>
  <c r="BH39" i="3"/>
  <c r="BI39" i="3"/>
  <c r="BJ39" i="3"/>
  <c r="BK39" i="3"/>
  <c r="BM39" i="3"/>
  <c r="BN39" i="3"/>
  <c r="BL39" i="3" s="1"/>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A42" i="3" s="1"/>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L43" i="3" s="1"/>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A46" i="3" s="1"/>
  <c r="BC46" i="3"/>
  <c r="BD46" i="3"/>
  <c r="BE46" i="3"/>
  <c r="BF46" i="3"/>
  <c r="BG46" i="3"/>
  <c r="BH46" i="3"/>
  <c r="BI46" i="3"/>
  <c r="BJ46" i="3"/>
  <c r="BK46" i="3"/>
  <c r="BM46" i="3"/>
  <c r="BN46" i="3"/>
  <c r="BL46" i="3" s="1"/>
  <c r="BO46" i="3"/>
  <c r="BP46" i="3"/>
  <c r="BQ46" i="3"/>
  <c r="BR46" i="3"/>
  <c r="BS46" i="3"/>
  <c r="BT46" i="3"/>
  <c r="BB47" i="3"/>
  <c r="BC47" i="3"/>
  <c r="BD47" i="3"/>
  <c r="BE47" i="3"/>
  <c r="BF47" i="3"/>
  <c r="BG47" i="3"/>
  <c r="BH47" i="3"/>
  <c r="BI47" i="3"/>
  <c r="BJ47" i="3"/>
  <c r="BK47" i="3"/>
  <c r="BM47" i="3"/>
  <c r="BL47" i="3" s="1"/>
  <c r="BN47" i="3"/>
  <c r="BO47" i="3"/>
  <c r="BP47" i="3"/>
  <c r="BQ47" i="3"/>
  <c r="BR47" i="3"/>
  <c r="BS47" i="3"/>
  <c r="BT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A50" i="3" s="1"/>
  <c r="BC50" i="3"/>
  <c r="BD50" i="3"/>
  <c r="BE50" i="3"/>
  <c r="BF50" i="3"/>
  <c r="BG50" i="3"/>
  <c r="BH50" i="3"/>
  <c r="BI50" i="3"/>
  <c r="BJ50" i="3"/>
  <c r="BK50" i="3"/>
  <c r="BM50" i="3"/>
  <c r="BN50" i="3"/>
  <c r="BO50" i="3"/>
  <c r="BP50" i="3"/>
  <c r="BQ50" i="3"/>
  <c r="BR50" i="3"/>
  <c r="BS50" i="3"/>
  <c r="BT50" i="3"/>
  <c r="BB51" i="3"/>
  <c r="BC51" i="3"/>
  <c r="BA51" i="3" s="1"/>
  <c r="BD51" i="3"/>
  <c r="BE51" i="3"/>
  <c r="BF51" i="3"/>
  <c r="BG51" i="3"/>
  <c r="BH51" i="3"/>
  <c r="BI51" i="3"/>
  <c r="BJ51" i="3"/>
  <c r="BK51" i="3"/>
  <c r="BM51" i="3"/>
  <c r="BN51" i="3"/>
  <c r="BO51" i="3"/>
  <c r="BP51" i="3"/>
  <c r="BQ51" i="3"/>
  <c r="BR51" i="3"/>
  <c r="BS51" i="3"/>
  <c r="BT51" i="3"/>
  <c r="BB52" i="3"/>
  <c r="BC52" i="3"/>
  <c r="BA52" i="3" s="1"/>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L53" i="3" s="1"/>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L55" i="3" s="1"/>
  <c r="BN55" i="3"/>
  <c r="BO55" i="3"/>
  <c r="BP55" i="3"/>
  <c r="BQ55" i="3"/>
  <c r="BR55" i="3"/>
  <c r="BS55" i="3"/>
  <c r="BT55" i="3"/>
  <c r="BB56" i="3"/>
  <c r="BA56" i="3" s="1"/>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L57" i="3"/>
  <c r="BB58" i="3"/>
  <c r="BA58" i="3" s="1"/>
  <c r="BC58" i="3"/>
  <c r="BD58" i="3"/>
  <c r="BE58" i="3"/>
  <c r="BF58" i="3"/>
  <c r="BG58" i="3"/>
  <c r="BH58" i="3"/>
  <c r="BI58" i="3"/>
  <c r="BJ58" i="3"/>
  <c r="BK58" i="3"/>
  <c r="BM58" i="3"/>
  <c r="BN58" i="3"/>
  <c r="BL58" i="3" s="1"/>
  <c r="AZ58" i="3" s="1"/>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A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A62" i="3" s="1"/>
  <c r="BC62" i="3"/>
  <c r="BD62" i="3"/>
  <c r="BE62" i="3"/>
  <c r="BF62" i="3"/>
  <c r="BG62" i="3"/>
  <c r="BH62" i="3"/>
  <c r="BI62" i="3"/>
  <c r="BJ62" i="3"/>
  <c r="BK62" i="3"/>
  <c r="BM62" i="3"/>
  <c r="BN62" i="3"/>
  <c r="BO62" i="3"/>
  <c r="BP62" i="3"/>
  <c r="BQ62" i="3"/>
  <c r="BR62" i="3"/>
  <c r="BS62" i="3"/>
  <c r="BT62" i="3"/>
  <c r="BB63" i="3"/>
  <c r="BC63" i="3"/>
  <c r="BA63" i="3" s="1"/>
  <c r="BD63" i="3"/>
  <c r="BE63" i="3"/>
  <c r="BF63" i="3"/>
  <c r="BG63" i="3"/>
  <c r="BH63" i="3"/>
  <c r="BI63" i="3"/>
  <c r="BJ63" i="3"/>
  <c r="BK63" i="3"/>
  <c r="BM63" i="3"/>
  <c r="BN63" i="3"/>
  <c r="BO63" i="3"/>
  <c r="BP63" i="3"/>
  <c r="BQ63" i="3"/>
  <c r="BR63" i="3"/>
  <c r="BS63" i="3"/>
  <c r="BT63" i="3"/>
  <c r="BB64" i="3"/>
  <c r="BC64" i="3"/>
  <c r="BD64" i="3"/>
  <c r="BE64" i="3"/>
  <c r="BF64" i="3"/>
  <c r="BG64" i="3"/>
  <c r="BA64" i="3" s="1"/>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L67" i="3" s="1"/>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L69" i="3"/>
  <c r="BB70" i="3"/>
  <c r="BA70" i="3" s="1"/>
  <c r="BC70" i="3"/>
  <c r="BD70" i="3"/>
  <c r="BE70" i="3"/>
  <c r="BF70" i="3"/>
  <c r="BG70" i="3"/>
  <c r="BH70" i="3"/>
  <c r="BI70" i="3"/>
  <c r="BJ70" i="3"/>
  <c r="BK70" i="3"/>
  <c r="BM70" i="3"/>
  <c r="BN70" i="3"/>
  <c r="BL70" i="3" s="1"/>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A72" i="3"/>
  <c r="BM72" i="3"/>
  <c r="BN72" i="3"/>
  <c r="BO72" i="3"/>
  <c r="BP72" i="3"/>
  <c r="BQ72" i="3"/>
  <c r="BR72" i="3"/>
  <c r="BS72" i="3"/>
  <c r="BT72" i="3"/>
  <c r="BB73" i="3"/>
  <c r="BC73" i="3"/>
  <c r="BD73" i="3"/>
  <c r="BE73" i="3"/>
  <c r="BF73" i="3"/>
  <c r="BG73" i="3"/>
  <c r="BH73" i="3"/>
  <c r="BI73" i="3"/>
  <c r="BJ73" i="3"/>
  <c r="BK73" i="3"/>
  <c r="BM73" i="3"/>
  <c r="BN73" i="3"/>
  <c r="BO73" i="3"/>
  <c r="BP73" i="3"/>
  <c r="BQ73" i="3"/>
  <c r="BL73" i="3" s="1"/>
  <c r="BR73" i="3"/>
  <c r="BS73" i="3"/>
  <c r="BT73" i="3"/>
  <c r="BB74" i="3"/>
  <c r="BA74" i="3" s="1"/>
  <c r="BC74" i="3"/>
  <c r="BD74" i="3"/>
  <c r="BE74" i="3"/>
  <c r="BF74" i="3"/>
  <c r="BG74" i="3"/>
  <c r="BH74" i="3"/>
  <c r="BI74" i="3"/>
  <c r="BJ74" i="3"/>
  <c r="BK74" i="3"/>
  <c r="BM74" i="3"/>
  <c r="BN74" i="3"/>
  <c r="BO74" i="3"/>
  <c r="BP74" i="3"/>
  <c r="BQ74" i="3"/>
  <c r="BR74" i="3"/>
  <c r="BS74" i="3"/>
  <c r="BT74" i="3"/>
  <c r="BB75" i="3"/>
  <c r="BC75" i="3"/>
  <c r="BA75" i="3" s="1"/>
  <c r="BD75" i="3"/>
  <c r="BE75" i="3"/>
  <c r="BF75" i="3"/>
  <c r="BG75" i="3"/>
  <c r="BH75" i="3"/>
  <c r="BI75" i="3"/>
  <c r="BJ75" i="3"/>
  <c r="BK75" i="3"/>
  <c r="BM75" i="3"/>
  <c r="BN75" i="3"/>
  <c r="BO75" i="3"/>
  <c r="BP75" i="3"/>
  <c r="BQ75" i="3"/>
  <c r="BR75" i="3"/>
  <c r="BS75" i="3"/>
  <c r="BT75" i="3"/>
  <c r="BB76" i="3"/>
  <c r="BA76" i="3" s="1"/>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A78" i="3" s="1"/>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L79" i="3" s="1"/>
  <c r="BO79" i="3"/>
  <c r="BP79" i="3"/>
  <c r="BQ79" i="3"/>
  <c r="BR79" i="3"/>
  <c r="BS79" i="3"/>
  <c r="BT79" i="3"/>
  <c r="BB80" i="3"/>
  <c r="BA80" i="3" s="1"/>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A82" i="3" s="1"/>
  <c r="BC82" i="3"/>
  <c r="BD82" i="3"/>
  <c r="BE82" i="3"/>
  <c r="BF82" i="3"/>
  <c r="BG82" i="3"/>
  <c r="BH82" i="3"/>
  <c r="BI82" i="3"/>
  <c r="BJ82" i="3"/>
  <c r="BK82" i="3"/>
  <c r="BM82" i="3"/>
  <c r="BN82" i="3"/>
  <c r="BL82" i="3" s="1"/>
  <c r="AZ82" i="3" s="1"/>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L87" i="3" s="1"/>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L91" i="3" s="1"/>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A94" i="3" s="1"/>
  <c r="BC94" i="3"/>
  <c r="BD94" i="3"/>
  <c r="BE94" i="3"/>
  <c r="BF94" i="3"/>
  <c r="BG94" i="3"/>
  <c r="BH94" i="3"/>
  <c r="BI94" i="3"/>
  <c r="BJ94" i="3"/>
  <c r="BK94" i="3"/>
  <c r="BM94" i="3"/>
  <c r="BN94" i="3"/>
  <c r="BL94" i="3" s="1"/>
  <c r="BO94" i="3"/>
  <c r="BP94" i="3"/>
  <c r="BQ94" i="3"/>
  <c r="BR94" i="3"/>
  <c r="BS94" i="3"/>
  <c r="BT94" i="3"/>
  <c r="BB95" i="3"/>
  <c r="BC95" i="3"/>
  <c r="BD95" i="3"/>
  <c r="BE95" i="3"/>
  <c r="BF95" i="3"/>
  <c r="BG95" i="3"/>
  <c r="BH95" i="3"/>
  <c r="BI95" i="3"/>
  <c r="BJ95" i="3"/>
  <c r="BK95" i="3"/>
  <c r="BM95" i="3"/>
  <c r="BL95" i="3" s="1"/>
  <c r="BN95" i="3"/>
  <c r="BO95" i="3"/>
  <c r="BP95" i="3"/>
  <c r="BQ95" i="3"/>
  <c r="BR95" i="3"/>
  <c r="BS95" i="3"/>
  <c r="BT95" i="3"/>
  <c r="BB96" i="3"/>
  <c r="BC96" i="3"/>
  <c r="BD96" i="3"/>
  <c r="BE96" i="3"/>
  <c r="BF96" i="3"/>
  <c r="BG96" i="3"/>
  <c r="BH96" i="3"/>
  <c r="BI96" i="3"/>
  <c r="BJ96" i="3"/>
  <c r="BK96" i="3"/>
  <c r="BA96" i="3" s="1"/>
  <c r="BM96" i="3"/>
  <c r="BN96" i="3"/>
  <c r="BO96" i="3"/>
  <c r="BP96" i="3"/>
  <c r="BQ96" i="3"/>
  <c r="BR96" i="3"/>
  <c r="BS96" i="3"/>
  <c r="BT96" i="3"/>
  <c r="BB97" i="3"/>
  <c r="BC97" i="3"/>
  <c r="BD97" i="3"/>
  <c r="BE97" i="3"/>
  <c r="BF97" i="3"/>
  <c r="BG97" i="3"/>
  <c r="BH97" i="3"/>
  <c r="BI97" i="3"/>
  <c r="BJ97" i="3"/>
  <c r="BK97" i="3"/>
  <c r="BM97" i="3"/>
  <c r="BN97" i="3"/>
  <c r="BO97" i="3"/>
  <c r="BP97" i="3"/>
  <c r="BQ97" i="3"/>
  <c r="BL97" i="3" s="1"/>
  <c r="BR97" i="3"/>
  <c r="BS97" i="3"/>
  <c r="BT97" i="3"/>
  <c r="BB98" i="3"/>
  <c r="BC98" i="3"/>
  <c r="BD98" i="3"/>
  <c r="BE98" i="3"/>
  <c r="BF98" i="3"/>
  <c r="BG98" i="3"/>
  <c r="BH98" i="3"/>
  <c r="BI98" i="3"/>
  <c r="BJ98" i="3"/>
  <c r="BK98" i="3"/>
  <c r="BM98" i="3"/>
  <c r="BN98" i="3"/>
  <c r="BO98" i="3"/>
  <c r="BP98" i="3"/>
  <c r="BQ98" i="3"/>
  <c r="BR98" i="3"/>
  <c r="BS98" i="3"/>
  <c r="BT98" i="3"/>
  <c r="BB99" i="3"/>
  <c r="BC99" i="3"/>
  <c r="BA99" i="3" s="1"/>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L101" i="3" s="1"/>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L103" i="3" s="1"/>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A106" i="3" s="1"/>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L107" i="3" s="1"/>
  <c r="BN107" i="3"/>
  <c r="BO107" i="3"/>
  <c r="BP107" i="3"/>
  <c r="BQ107" i="3"/>
  <c r="BR107" i="3"/>
  <c r="BS107" i="3"/>
  <c r="BT107" i="3"/>
  <c r="BB108" i="3"/>
  <c r="BC108" i="3"/>
  <c r="BD108" i="3"/>
  <c r="BE108" i="3"/>
  <c r="BF108" i="3"/>
  <c r="BG108" i="3"/>
  <c r="BH108" i="3"/>
  <c r="BI108" i="3"/>
  <c r="BJ108" i="3"/>
  <c r="BK108" i="3"/>
  <c r="BA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A110" i="3" s="1"/>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L111" i="3" s="1"/>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L115" i="3" s="1"/>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L117" i="3"/>
  <c r="BB118" i="3"/>
  <c r="BA118" i="3" s="1"/>
  <c r="BC118" i="3"/>
  <c r="BD118" i="3"/>
  <c r="BE118" i="3"/>
  <c r="BF118" i="3"/>
  <c r="BG118" i="3"/>
  <c r="BH118" i="3"/>
  <c r="BI118" i="3"/>
  <c r="BJ118" i="3"/>
  <c r="BK118" i="3"/>
  <c r="BM118" i="3"/>
  <c r="BN118" i="3"/>
  <c r="BL118" i="3" s="1"/>
  <c r="BO118" i="3"/>
  <c r="BP118" i="3"/>
  <c r="BQ118" i="3"/>
  <c r="BR118" i="3"/>
  <c r="BS118" i="3"/>
  <c r="BT118" i="3"/>
  <c r="BB119" i="3"/>
  <c r="BC119" i="3"/>
  <c r="BD119" i="3"/>
  <c r="BE119" i="3"/>
  <c r="BF119" i="3"/>
  <c r="BG119" i="3"/>
  <c r="BH119" i="3"/>
  <c r="BI119" i="3"/>
  <c r="BJ119" i="3"/>
  <c r="BK119" i="3"/>
  <c r="BM119" i="3"/>
  <c r="BL119" i="3" s="1"/>
  <c r="BN119" i="3"/>
  <c r="BO119" i="3"/>
  <c r="BP119" i="3"/>
  <c r="BQ119" i="3"/>
  <c r="BR119" i="3"/>
  <c r="BS119" i="3"/>
  <c r="BT119" i="3"/>
  <c r="BB120" i="3"/>
  <c r="BC120" i="3"/>
  <c r="BD120" i="3"/>
  <c r="BE120" i="3"/>
  <c r="BF120" i="3"/>
  <c r="BG120" i="3"/>
  <c r="BH120" i="3"/>
  <c r="BI120" i="3"/>
  <c r="BJ120" i="3"/>
  <c r="BK120" i="3"/>
  <c r="BA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A122" i="3" s="1"/>
  <c r="BC122" i="3"/>
  <c r="BD122" i="3"/>
  <c r="BE122" i="3"/>
  <c r="BF122" i="3"/>
  <c r="BG122" i="3"/>
  <c r="BH122" i="3"/>
  <c r="BI122" i="3"/>
  <c r="BJ122" i="3"/>
  <c r="BK122" i="3"/>
  <c r="BM122" i="3"/>
  <c r="BN122" i="3"/>
  <c r="BO122" i="3"/>
  <c r="BP122" i="3"/>
  <c r="BQ122" i="3"/>
  <c r="BR122" i="3"/>
  <c r="BS122" i="3"/>
  <c r="BT122" i="3"/>
  <c r="BB123" i="3"/>
  <c r="BC123" i="3"/>
  <c r="BA123" i="3" s="1"/>
  <c r="BD123" i="3"/>
  <c r="BE123" i="3"/>
  <c r="BF123" i="3"/>
  <c r="BG123" i="3"/>
  <c r="BH123" i="3"/>
  <c r="BI123" i="3"/>
  <c r="BJ123" i="3"/>
  <c r="BK123" i="3"/>
  <c r="BM123" i="3"/>
  <c r="BN123" i="3"/>
  <c r="BO123" i="3"/>
  <c r="BP123" i="3"/>
  <c r="BQ123" i="3"/>
  <c r="BR123" i="3"/>
  <c r="BS123" i="3"/>
  <c r="BT123" i="3"/>
  <c r="BB124" i="3"/>
  <c r="BA124" i="3" s="1"/>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L125" i="3" s="1"/>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L127" i="3" s="1"/>
  <c r="BN127" i="3"/>
  <c r="BO127" i="3"/>
  <c r="BP127" i="3"/>
  <c r="BQ127" i="3"/>
  <c r="BR127" i="3"/>
  <c r="BS127" i="3"/>
  <c r="BT127" i="3"/>
  <c r="BB128" i="3"/>
  <c r="BA128" i="3" s="1"/>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A130" i="3" s="1"/>
  <c r="BC130" i="3"/>
  <c r="BD130" i="3"/>
  <c r="BE130" i="3"/>
  <c r="BF130" i="3"/>
  <c r="BG130" i="3"/>
  <c r="BH130" i="3"/>
  <c r="BI130" i="3"/>
  <c r="BJ130" i="3"/>
  <c r="BK130" i="3"/>
  <c r="BM130" i="3"/>
  <c r="BN130" i="3"/>
  <c r="BL130" i="3" s="1"/>
  <c r="AZ130" i="3" s="1"/>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A134" i="3" s="1"/>
  <c r="BC134" i="3"/>
  <c r="BD134" i="3"/>
  <c r="BE134" i="3"/>
  <c r="BF134" i="3"/>
  <c r="BG134" i="3"/>
  <c r="BH134" i="3"/>
  <c r="BI134" i="3"/>
  <c r="BJ134" i="3"/>
  <c r="BK134" i="3"/>
  <c r="BM134" i="3"/>
  <c r="BN134" i="3"/>
  <c r="BO134" i="3"/>
  <c r="BP134" i="3"/>
  <c r="BQ134" i="3"/>
  <c r="BR134" i="3"/>
  <c r="BS134" i="3"/>
  <c r="BT134" i="3"/>
  <c r="BB135" i="3"/>
  <c r="BC135" i="3"/>
  <c r="BA135" i="3" s="1"/>
  <c r="BD135" i="3"/>
  <c r="BE135" i="3"/>
  <c r="BF135" i="3"/>
  <c r="BG135" i="3"/>
  <c r="BH135" i="3"/>
  <c r="BI135" i="3"/>
  <c r="BJ135" i="3"/>
  <c r="BK135" i="3"/>
  <c r="BM135" i="3"/>
  <c r="BN135" i="3"/>
  <c r="BO135" i="3"/>
  <c r="BP135" i="3"/>
  <c r="BQ135" i="3"/>
  <c r="BR135" i="3"/>
  <c r="BS135" i="3"/>
  <c r="BT135" i="3"/>
  <c r="BB136" i="3"/>
  <c r="BA136" i="3" s="1"/>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L139" i="3" s="1"/>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L141" i="3"/>
  <c r="BB142" i="3"/>
  <c r="BA142" i="3" s="1"/>
  <c r="BC142" i="3"/>
  <c r="BD142" i="3"/>
  <c r="BE142" i="3"/>
  <c r="BF142" i="3"/>
  <c r="BG142" i="3"/>
  <c r="BH142" i="3"/>
  <c r="BI142" i="3"/>
  <c r="BJ142" i="3"/>
  <c r="BK142" i="3"/>
  <c r="BM142" i="3"/>
  <c r="BN142" i="3"/>
  <c r="BL142" i="3" s="1"/>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A144" i="3" s="1"/>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L145" i="3" s="1"/>
  <c r="BR145" i="3"/>
  <c r="BS145" i="3"/>
  <c r="BT145" i="3"/>
  <c r="BB146" i="3"/>
  <c r="BA146" i="3" s="1"/>
  <c r="BC146" i="3"/>
  <c r="BD146" i="3"/>
  <c r="BE146" i="3"/>
  <c r="BF146" i="3"/>
  <c r="BG146" i="3"/>
  <c r="BH146" i="3"/>
  <c r="BI146" i="3"/>
  <c r="BJ146" i="3"/>
  <c r="BK146" i="3"/>
  <c r="BM146" i="3"/>
  <c r="BN146" i="3"/>
  <c r="BO146" i="3"/>
  <c r="BP146" i="3"/>
  <c r="BQ146" i="3"/>
  <c r="BR146" i="3"/>
  <c r="BS146" i="3"/>
  <c r="BT146" i="3"/>
  <c r="BB147" i="3"/>
  <c r="BC147" i="3"/>
  <c r="BA147" i="3" s="1"/>
  <c r="BD147" i="3"/>
  <c r="BE147" i="3"/>
  <c r="BF147" i="3"/>
  <c r="BG147" i="3"/>
  <c r="BH147" i="3"/>
  <c r="BI147" i="3"/>
  <c r="BJ147" i="3"/>
  <c r="BK147" i="3"/>
  <c r="BM147" i="3"/>
  <c r="BN147" i="3"/>
  <c r="BO147" i="3"/>
  <c r="BP147" i="3"/>
  <c r="BQ147" i="3"/>
  <c r="BR147" i="3"/>
  <c r="BS147" i="3"/>
  <c r="BT147" i="3"/>
  <c r="BB148" i="3"/>
  <c r="BA148" i="3" s="1"/>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D150" i="3"/>
  <c r="BE150" i="3"/>
  <c r="BA150" i="3" s="1"/>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L151" i="3" s="1"/>
  <c r="BN151" i="3"/>
  <c r="BO151" i="3"/>
  <c r="BP151" i="3"/>
  <c r="BQ151" i="3"/>
  <c r="BR151" i="3"/>
  <c r="BS151" i="3"/>
  <c r="BT151" i="3"/>
  <c r="BB152" i="3"/>
  <c r="BA152" i="3" s="1"/>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M154" i="3"/>
  <c r="BN154" i="3"/>
  <c r="BL154" i="3" s="1"/>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A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L159" i="3" s="1"/>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A165" i="3" s="1"/>
  <c r="BD165" i="3"/>
  <c r="BE165" i="3"/>
  <c r="BF165" i="3"/>
  <c r="BG165" i="3"/>
  <c r="BH165" i="3"/>
  <c r="BI165" i="3"/>
  <c r="BJ165" i="3"/>
  <c r="BK165" i="3"/>
  <c r="BM165" i="3"/>
  <c r="BN165" i="3"/>
  <c r="BO165" i="3"/>
  <c r="BP165" i="3"/>
  <c r="BL165" i="3" s="1"/>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L167" i="3" s="1"/>
  <c r="BN167" i="3"/>
  <c r="BO167" i="3"/>
  <c r="BP167" i="3"/>
  <c r="BQ167" i="3"/>
  <c r="BR167" i="3"/>
  <c r="BS167" i="3"/>
  <c r="BT167" i="3"/>
  <c r="BB168" i="3"/>
  <c r="BC168" i="3"/>
  <c r="BD168" i="3"/>
  <c r="BE168" i="3"/>
  <c r="BF168" i="3"/>
  <c r="BA168" i="3" s="1"/>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A174" i="3" s="1"/>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L175" i="3" s="1"/>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L177" i="3"/>
  <c r="BB178" i="3"/>
  <c r="BA178" i="3" s="1"/>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A180" i="3" s="1"/>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A182" i="3" s="1"/>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A184" i="3" s="1"/>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L185" i="3" s="1"/>
  <c r="BN185" i="3"/>
  <c r="BO185" i="3"/>
  <c r="BP185" i="3"/>
  <c r="BQ185" i="3"/>
  <c r="BR185" i="3"/>
  <c r="BS185" i="3"/>
  <c r="BT185" i="3"/>
  <c r="BB186" i="3"/>
  <c r="BC186" i="3"/>
  <c r="BD186" i="3"/>
  <c r="BE186" i="3"/>
  <c r="BA186" i="3" s="1"/>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L189" i="3"/>
  <c r="BB190" i="3"/>
  <c r="BA190" i="3" s="1"/>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A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A194" i="3" s="1"/>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A196" i="3" s="1"/>
  <c r="BC196" i="3"/>
  <c r="BD196" i="3"/>
  <c r="BE196" i="3"/>
  <c r="BF196" i="3"/>
  <c r="BG196" i="3"/>
  <c r="BH196" i="3"/>
  <c r="BI196" i="3"/>
  <c r="BJ196" i="3"/>
  <c r="BK196" i="3"/>
  <c r="BM196" i="3"/>
  <c r="BN196" i="3"/>
  <c r="BL196" i="3" s="1"/>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A200" i="3" s="1"/>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M202" i="3"/>
  <c r="BN202" i="3"/>
  <c r="BL202" i="3" s="1"/>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A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L207" i="3" s="1"/>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A213" i="3" s="1"/>
  <c r="BD213" i="3"/>
  <c r="BE213" i="3"/>
  <c r="BF213" i="3"/>
  <c r="BG213" i="3"/>
  <c r="BH213" i="3"/>
  <c r="BI213" i="3"/>
  <c r="BJ213" i="3"/>
  <c r="BK213" i="3"/>
  <c r="BM213" i="3"/>
  <c r="BN213" i="3"/>
  <c r="BO213" i="3"/>
  <c r="BP213" i="3"/>
  <c r="BL213" i="3" s="1"/>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L215" i="3" s="1"/>
  <c r="BO215" i="3"/>
  <c r="BP215" i="3"/>
  <c r="BQ215" i="3"/>
  <c r="BR215" i="3"/>
  <c r="BS215" i="3"/>
  <c r="BT215" i="3"/>
  <c r="BB216" i="3"/>
  <c r="BC216" i="3"/>
  <c r="BD216" i="3"/>
  <c r="BE216" i="3"/>
  <c r="BF216" i="3"/>
  <c r="BA216" i="3" s="1"/>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A219" i="3" s="1"/>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A222" i="3" s="1"/>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L223" i="3" s="1"/>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L225" i="3"/>
  <c r="BB226" i="3"/>
  <c r="BA226" i="3" s="1"/>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A228" i="3" s="1"/>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D230" i="3"/>
  <c r="BA230" i="3" s="1"/>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A232" i="3" s="1"/>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L233" i="3" s="1"/>
  <c r="BN233" i="3"/>
  <c r="BO233" i="3"/>
  <c r="BP233" i="3"/>
  <c r="BQ233" i="3"/>
  <c r="BR233" i="3"/>
  <c r="BS233" i="3"/>
  <c r="BT233" i="3"/>
  <c r="BB234" i="3"/>
  <c r="BC234" i="3"/>
  <c r="BD234" i="3"/>
  <c r="BE234" i="3"/>
  <c r="BA234" i="3" s="1"/>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L237" i="3"/>
  <c r="BB238" i="3"/>
  <c r="BA238" i="3" s="1"/>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A240" i="3" s="1"/>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L241" i="3" s="1"/>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A244" i="3" s="1"/>
  <c r="BC244" i="3"/>
  <c r="BD244" i="3"/>
  <c r="BE244" i="3"/>
  <c r="BF244" i="3"/>
  <c r="BG244" i="3"/>
  <c r="BH244" i="3"/>
  <c r="BI244" i="3"/>
  <c r="BJ244" i="3"/>
  <c r="BK244" i="3"/>
  <c r="BM244" i="3"/>
  <c r="BN244" i="3"/>
  <c r="BL244" i="3" s="1"/>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A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A248" i="3" s="1"/>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M250" i="3"/>
  <c r="BN250" i="3"/>
  <c r="BL250" i="3" s="1"/>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A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L255" i="3" s="1"/>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A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A261" i="3" s="1"/>
  <c r="BD261" i="3"/>
  <c r="BE261" i="3"/>
  <c r="BF261" i="3"/>
  <c r="BG261" i="3"/>
  <c r="BH261" i="3"/>
  <c r="BI261" i="3"/>
  <c r="BJ261" i="3"/>
  <c r="BK261" i="3"/>
  <c r="BM261" i="3"/>
  <c r="BN261" i="3"/>
  <c r="BO261" i="3"/>
  <c r="BP261" i="3"/>
  <c r="BL261" i="3" s="1"/>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L263" i="3" s="1"/>
  <c r="BN263" i="3"/>
  <c r="BO263" i="3"/>
  <c r="BP263" i="3"/>
  <c r="BQ263" i="3"/>
  <c r="BR263" i="3"/>
  <c r="BS263" i="3"/>
  <c r="BT263" i="3"/>
  <c r="BB264" i="3"/>
  <c r="BC264" i="3"/>
  <c r="BD264" i="3"/>
  <c r="BE264" i="3"/>
  <c r="BF264" i="3"/>
  <c r="BA264" i="3" s="1"/>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A267" i="3" s="1"/>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A270" i="3" s="1"/>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L271" i="3" s="1"/>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L273" i="3"/>
  <c r="BB274" i="3"/>
  <c r="BA274" i="3" s="1"/>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A276" i="3" s="1"/>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A278" i="3" s="1"/>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A280" i="3" s="1"/>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L281" i="3" s="1"/>
  <c r="BN281" i="3"/>
  <c r="BO281" i="3"/>
  <c r="BP281" i="3"/>
  <c r="BQ281" i="3"/>
  <c r="BR281" i="3"/>
  <c r="BS281" i="3"/>
  <c r="BT281" i="3"/>
  <c r="BB282" i="3"/>
  <c r="BC282" i="3"/>
  <c r="BD282" i="3"/>
  <c r="BE282" i="3"/>
  <c r="BA282" i="3" s="1"/>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L285" i="3"/>
  <c r="BB286" i="3"/>
  <c r="BA286" i="3" s="1"/>
  <c r="BC286" i="3"/>
  <c r="BD286" i="3"/>
  <c r="BE286" i="3"/>
  <c r="BF286" i="3"/>
  <c r="BG286" i="3"/>
  <c r="BH286" i="3"/>
  <c r="BI286" i="3"/>
  <c r="BJ286" i="3"/>
  <c r="BK286" i="3"/>
  <c r="BM286" i="3"/>
  <c r="BN286" i="3"/>
  <c r="BL286" i="3" s="1"/>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A288" i="3" s="1"/>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L289" i="3" s="1"/>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A292" i="3" s="1"/>
  <c r="BC292" i="3"/>
  <c r="BD292" i="3"/>
  <c r="BE292" i="3"/>
  <c r="BF292" i="3"/>
  <c r="BG292" i="3"/>
  <c r="BH292" i="3"/>
  <c r="BI292" i="3"/>
  <c r="BJ292" i="3"/>
  <c r="BK292" i="3"/>
  <c r="BM292" i="3"/>
  <c r="BN292" i="3"/>
  <c r="BL292" i="3" s="1"/>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A296" i="3" s="1"/>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M298" i="3"/>
  <c r="BN298" i="3"/>
  <c r="BL298" i="3" s="1"/>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A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A303" i="3" s="1"/>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A309" i="3" s="1"/>
  <c r="BD309" i="3"/>
  <c r="BE309" i="3"/>
  <c r="BF309" i="3"/>
  <c r="BG309" i="3"/>
  <c r="BH309" i="3"/>
  <c r="BI309" i="3"/>
  <c r="BJ309" i="3"/>
  <c r="BK309" i="3"/>
  <c r="BM309" i="3"/>
  <c r="BN309" i="3"/>
  <c r="BO309" i="3"/>
  <c r="BP309" i="3"/>
  <c r="BL309" i="3" s="1"/>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A312" i="3" s="1"/>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L313" i="3" s="1"/>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A315" i="3" s="1"/>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A318" i="3" s="1"/>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L319" i="3" s="1"/>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L321" i="3"/>
  <c r="BB322" i="3"/>
  <c r="BA322" i="3" s="1"/>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A324" i="3" s="1"/>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L325" i="3" s="1"/>
  <c r="BB326" i="3"/>
  <c r="BC326" i="3"/>
  <c r="BD326" i="3"/>
  <c r="BA326" i="3" s="1"/>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A328" i="3" s="1"/>
  <c r="BC328" i="3"/>
  <c r="BD328" i="3"/>
  <c r="BE328" i="3"/>
  <c r="BF328" i="3"/>
  <c r="BG328" i="3"/>
  <c r="BH328" i="3"/>
  <c r="BI328" i="3"/>
  <c r="BJ328" i="3"/>
  <c r="BK328" i="3"/>
  <c r="BM328" i="3"/>
  <c r="BN328" i="3"/>
  <c r="BL328" i="3" s="1"/>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A330" i="3" s="1"/>
  <c r="BK330" i="3"/>
  <c r="BM330" i="3"/>
  <c r="BN330" i="3"/>
  <c r="BO330" i="3"/>
  <c r="BP330" i="3"/>
  <c r="BQ330" i="3"/>
  <c r="BR330" i="3"/>
  <c r="BS330" i="3"/>
  <c r="BT330" i="3"/>
  <c r="BB331" i="3"/>
  <c r="BC331" i="3"/>
  <c r="BA331" i="3" s="1"/>
  <c r="BD331" i="3"/>
  <c r="BE331" i="3"/>
  <c r="BF331" i="3"/>
  <c r="BG331" i="3"/>
  <c r="BH331" i="3"/>
  <c r="BI331" i="3"/>
  <c r="BJ331" i="3"/>
  <c r="BK331" i="3"/>
  <c r="BM331" i="3"/>
  <c r="BN331" i="3"/>
  <c r="BO331" i="3"/>
  <c r="BP331" i="3"/>
  <c r="BQ331" i="3"/>
  <c r="BR331" i="3"/>
  <c r="BS331" i="3"/>
  <c r="BT331" i="3"/>
  <c r="BB332" i="3"/>
  <c r="BA332" i="3" s="1"/>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M334" i="3"/>
  <c r="BN334" i="3"/>
  <c r="BL334" i="3" s="1"/>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A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L337" i="3" s="1"/>
  <c r="BR337" i="3"/>
  <c r="BS337" i="3"/>
  <c r="BT337" i="3"/>
  <c r="BB338" i="3"/>
  <c r="BA338" i="3" s="1"/>
  <c r="BC338" i="3"/>
  <c r="BD338" i="3"/>
  <c r="BE338" i="3"/>
  <c r="BF338" i="3"/>
  <c r="BG338" i="3"/>
  <c r="BH338" i="3"/>
  <c r="BI338" i="3"/>
  <c r="BJ338" i="3"/>
  <c r="BK338" i="3"/>
  <c r="BM338" i="3"/>
  <c r="BN338" i="3"/>
  <c r="BL338" i="3" s="1"/>
  <c r="BO338" i="3"/>
  <c r="BP338" i="3"/>
  <c r="BQ338" i="3"/>
  <c r="BR338" i="3"/>
  <c r="BS338" i="3"/>
  <c r="BT338" i="3"/>
  <c r="BB339" i="3"/>
  <c r="BC339" i="3"/>
  <c r="BA339" i="3" s="1"/>
  <c r="BD339" i="3"/>
  <c r="BE339" i="3"/>
  <c r="BF339" i="3"/>
  <c r="BG339" i="3"/>
  <c r="BH339" i="3"/>
  <c r="BI339" i="3"/>
  <c r="BJ339" i="3"/>
  <c r="BK339" i="3"/>
  <c r="BM339" i="3"/>
  <c r="BN339" i="3"/>
  <c r="BO339" i="3"/>
  <c r="BP339" i="3"/>
  <c r="BQ339" i="3"/>
  <c r="BR339" i="3"/>
  <c r="BS339" i="3"/>
  <c r="BT339" i="3"/>
  <c r="BB340" i="3"/>
  <c r="BA340" i="3" s="1"/>
  <c r="BC340" i="3"/>
  <c r="BD340" i="3"/>
  <c r="BE340" i="3"/>
  <c r="BF340" i="3"/>
  <c r="BG340" i="3"/>
  <c r="BH340" i="3"/>
  <c r="BI340" i="3"/>
  <c r="BJ340" i="3"/>
  <c r="BK340" i="3"/>
  <c r="BM340" i="3"/>
  <c r="BN340" i="3"/>
  <c r="BO340" i="3"/>
  <c r="BP340" i="3"/>
  <c r="BQ340" i="3"/>
  <c r="BR340" i="3"/>
  <c r="BS340" i="3"/>
  <c r="BT340" i="3"/>
  <c r="BB341" i="3"/>
  <c r="BC341" i="3"/>
  <c r="BA341" i="3" s="1"/>
  <c r="BD341" i="3"/>
  <c r="BE341" i="3"/>
  <c r="BF341" i="3"/>
  <c r="BG341" i="3"/>
  <c r="BH341" i="3"/>
  <c r="BI341" i="3"/>
  <c r="BJ341" i="3"/>
  <c r="BK341" i="3"/>
  <c r="BM341" i="3"/>
  <c r="BN341" i="3"/>
  <c r="BO341" i="3"/>
  <c r="BP341" i="3"/>
  <c r="BQ341" i="3"/>
  <c r="BR341" i="3"/>
  <c r="BS341" i="3"/>
  <c r="BT341" i="3"/>
  <c r="BB342" i="3"/>
  <c r="BC342" i="3"/>
  <c r="BD342" i="3"/>
  <c r="BE342" i="3"/>
  <c r="BA342" i="3" s="1"/>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L345" i="3" s="1"/>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L347" i="3" s="1"/>
  <c r="BN347" i="3"/>
  <c r="BO347" i="3"/>
  <c r="BP347" i="3"/>
  <c r="BQ347" i="3"/>
  <c r="BR347" i="3"/>
  <c r="BS347" i="3"/>
  <c r="BT347" i="3"/>
  <c r="BB348" i="3"/>
  <c r="BA348" i="3" s="1"/>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L349" i="3" s="1"/>
  <c r="BB350" i="3"/>
  <c r="BC350" i="3"/>
  <c r="BD350" i="3"/>
  <c r="BA350" i="3" s="1"/>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A352" i="3" s="1"/>
  <c r="BC352" i="3"/>
  <c r="BD352" i="3"/>
  <c r="BE352" i="3"/>
  <c r="BF352" i="3"/>
  <c r="BG352" i="3"/>
  <c r="BH352" i="3"/>
  <c r="BI352" i="3"/>
  <c r="BJ352" i="3"/>
  <c r="BK352" i="3"/>
  <c r="BM352" i="3"/>
  <c r="BN352" i="3"/>
  <c r="BL352" i="3" s="1"/>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A354" i="3" s="1"/>
  <c r="BK354" i="3"/>
  <c r="BM354" i="3"/>
  <c r="BN354" i="3"/>
  <c r="BO354" i="3"/>
  <c r="BP354" i="3"/>
  <c r="BQ354" i="3"/>
  <c r="BR354" i="3"/>
  <c r="BS354" i="3"/>
  <c r="BT354" i="3"/>
  <c r="BB355" i="3"/>
  <c r="BC355" i="3"/>
  <c r="BA355" i="3" s="1"/>
  <c r="BD355" i="3"/>
  <c r="BE355" i="3"/>
  <c r="BF355" i="3"/>
  <c r="BG355" i="3"/>
  <c r="BH355" i="3"/>
  <c r="BI355" i="3"/>
  <c r="BJ355" i="3"/>
  <c r="BK355" i="3"/>
  <c r="BM355" i="3"/>
  <c r="BN355" i="3"/>
  <c r="BO355" i="3"/>
  <c r="BP355" i="3"/>
  <c r="BQ355" i="3"/>
  <c r="BR355" i="3"/>
  <c r="BS355" i="3"/>
  <c r="BT355" i="3"/>
  <c r="BB356" i="3"/>
  <c r="BA356" i="3" s="1"/>
  <c r="BC356" i="3"/>
  <c r="BD356" i="3"/>
  <c r="BE356" i="3"/>
  <c r="BF356" i="3"/>
  <c r="BG356" i="3"/>
  <c r="BH356" i="3"/>
  <c r="BI356" i="3"/>
  <c r="BJ356" i="3"/>
  <c r="BK356" i="3"/>
  <c r="BM356" i="3"/>
  <c r="BN356" i="3"/>
  <c r="BL356" i="3" s="1"/>
  <c r="AZ356" i="3" s="1"/>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L357" i="3" s="1"/>
  <c r="BB358" i="3"/>
  <c r="BC358" i="3"/>
  <c r="BD358" i="3"/>
  <c r="BE358" i="3"/>
  <c r="BF358" i="3"/>
  <c r="BG358" i="3"/>
  <c r="BH358" i="3"/>
  <c r="BI358" i="3"/>
  <c r="BJ358" i="3"/>
  <c r="BK358" i="3"/>
  <c r="BA358" i="3"/>
  <c r="BM358" i="3"/>
  <c r="BN358" i="3"/>
  <c r="BO358" i="3"/>
  <c r="BP358" i="3"/>
  <c r="BQ358" i="3"/>
  <c r="BR358" i="3"/>
  <c r="BS358" i="3"/>
  <c r="BT358" i="3"/>
  <c r="BB359" i="3"/>
  <c r="BC359" i="3"/>
  <c r="BD359" i="3"/>
  <c r="BE359" i="3"/>
  <c r="BF359" i="3"/>
  <c r="BG359" i="3"/>
  <c r="BH359" i="3"/>
  <c r="BI359" i="3"/>
  <c r="BJ359" i="3"/>
  <c r="BK359" i="3"/>
  <c r="BM359" i="3"/>
  <c r="BL359" i="3" s="1"/>
  <c r="BN359" i="3"/>
  <c r="BO359" i="3"/>
  <c r="BP359" i="3"/>
  <c r="BQ359" i="3"/>
  <c r="BR359" i="3"/>
  <c r="BS359" i="3"/>
  <c r="BT359" i="3"/>
  <c r="BB360" i="3"/>
  <c r="BA360" i="3" s="1"/>
  <c r="BC360" i="3"/>
  <c r="BD360" i="3"/>
  <c r="BE360" i="3"/>
  <c r="BF360" i="3"/>
  <c r="BG360" i="3"/>
  <c r="BH360" i="3"/>
  <c r="BI360" i="3"/>
  <c r="BJ360" i="3"/>
  <c r="BK360" i="3"/>
  <c r="BM360" i="3"/>
  <c r="BN360" i="3"/>
  <c r="BO360" i="3"/>
  <c r="BP360" i="3"/>
  <c r="BQ360" i="3"/>
  <c r="BR360" i="3"/>
  <c r="BS360" i="3"/>
  <c r="BT360" i="3"/>
  <c r="BB361" i="3"/>
  <c r="BC361" i="3"/>
  <c r="BA361" i="3" s="1"/>
  <c r="BD361" i="3"/>
  <c r="BE361" i="3"/>
  <c r="BF361" i="3"/>
  <c r="BG361" i="3"/>
  <c r="BH361" i="3"/>
  <c r="BI361" i="3"/>
  <c r="BJ361" i="3"/>
  <c r="BK361" i="3"/>
  <c r="BM361" i="3"/>
  <c r="BL361" i="3" s="1"/>
  <c r="BN361" i="3"/>
  <c r="BO361" i="3"/>
  <c r="BP361" i="3"/>
  <c r="BQ361" i="3"/>
  <c r="BR361" i="3"/>
  <c r="BS361" i="3"/>
  <c r="BT361" i="3"/>
  <c r="BB362" i="3"/>
  <c r="BC362" i="3"/>
  <c r="BD362" i="3"/>
  <c r="BA362" i="3" s="1"/>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L363" i="3" s="1"/>
  <c r="BN363" i="3"/>
  <c r="BO363" i="3"/>
  <c r="BP363" i="3"/>
  <c r="BQ363" i="3"/>
  <c r="BR363" i="3"/>
  <c r="BS363" i="3"/>
  <c r="BT363" i="3"/>
  <c r="BB364" i="3"/>
  <c r="BA364" i="3" s="1"/>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L365" i="3" s="1"/>
  <c r="BN365" i="3"/>
  <c r="BO365" i="3"/>
  <c r="BP365" i="3"/>
  <c r="BQ365" i="3"/>
  <c r="BR365" i="3"/>
  <c r="BS365" i="3"/>
  <c r="BT365" i="3"/>
  <c r="BB366" i="3"/>
  <c r="BC366" i="3"/>
  <c r="BD366" i="3"/>
  <c r="BA366" i="3" s="1"/>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L367" i="3" s="1"/>
  <c r="BS367" i="3"/>
  <c r="BT367" i="3"/>
  <c r="BB368" i="3"/>
  <c r="BA368" i="3" s="1"/>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L369" i="3"/>
  <c r="BB370" i="3"/>
  <c r="BA370" i="3" s="1"/>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L371" i="3" s="1"/>
  <c r="BN371" i="3"/>
  <c r="BO371" i="3"/>
  <c r="BP371" i="3"/>
  <c r="BQ371" i="3"/>
  <c r="BR371" i="3"/>
  <c r="BS371" i="3"/>
  <c r="BT371" i="3"/>
  <c r="BB372" i="3"/>
  <c r="BC372" i="3"/>
  <c r="BD372" i="3"/>
  <c r="BE372" i="3"/>
  <c r="BF372" i="3"/>
  <c r="BG372" i="3"/>
  <c r="BH372" i="3"/>
  <c r="BI372" i="3"/>
  <c r="BJ372" i="3"/>
  <c r="BK372" i="3"/>
  <c r="BA372" i="3" s="1"/>
  <c r="BM372" i="3"/>
  <c r="BN372" i="3"/>
  <c r="BO372" i="3"/>
  <c r="BP372" i="3"/>
  <c r="BQ372" i="3"/>
  <c r="BR372" i="3"/>
  <c r="BS372" i="3"/>
  <c r="BT372" i="3"/>
  <c r="BB373" i="3"/>
  <c r="BC373" i="3"/>
  <c r="BD373" i="3"/>
  <c r="BE373" i="3"/>
  <c r="BF373" i="3"/>
  <c r="BG373" i="3"/>
  <c r="BH373" i="3"/>
  <c r="BI373" i="3"/>
  <c r="BJ373" i="3"/>
  <c r="BK373" i="3"/>
  <c r="BM373" i="3"/>
  <c r="BL373" i="3" s="1"/>
  <c r="BN373" i="3"/>
  <c r="BO373" i="3"/>
  <c r="BP373" i="3"/>
  <c r="BQ373" i="3"/>
  <c r="BR373" i="3"/>
  <c r="BS373" i="3"/>
  <c r="BT373" i="3"/>
  <c r="BB374" i="3"/>
  <c r="BA374" i="3" s="1"/>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L375" i="3" s="1"/>
  <c r="BN375" i="3"/>
  <c r="BO375" i="3"/>
  <c r="BP375" i="3"/>
  <c r="BQ375" i="3"/>
  <c r="BR375" i="3"/>
  <c r="BS375" i="3"/>
  <c r="BT375" i="3"/>
  <c r="BB376" i="3"/>
  <c r="BA376" i="3" s="1"/>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L377" i="3" s="1"/>
  <c r="BN377" i="3"/>
  <c r="BO377" i="3"/>
  <c r="BP377" i="3"/>
  <c r="BQ377" i="3"/>
  <c r="BR377" i="3"/>
  <c r="BS377" i="3"/>
  <c r="BT377" i="3"/>
  <c r="BB378" i="3"/>
  <c r="BA378" i="3" s="1"/>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L379" i="3" s="1"/>
  <c r="BP379" i="3"/>
  <c r="BQ379" i="3"/>
  <c r="BR379" i="3"/>
  <c r="BS379" i="3"/>
  <c r="BT379" i="3"/>
  <c r="BB380" i="3"/>
  <c r="BA380" i="3" s="1"/>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L381" i="3"/>
  <c r="BB382" i="3"/>
  <c r="BA382" i="3" s="1"/>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L383" i="3" s="1"/>
  <c r="BO383" i="3"/>
  <c r="BP383" i="3"/>
  <c r="BQ383" i="3"/>
  <c r="BR383" i="3"/>
  <c r="BS383" i="3"/>
  <c r="BT383" i="3"/>
  <c r="BB384" i="3"/>
  <c r="BC384" i="3"/>
  <c r="BD384" i="3"/>
  <c r="BE384" i="3"/>
  <c r="BF384" i="3"/>
  <c r="BG384" i="3"/>
  <c r="BH384" i="3"/>
  <c r="BI384" i="3"/>
  <c r="BJ384" i="3"/>
  <c r="BK384" i="3"/>
  <c r="BA384" i="3" s="1"/>
  <c r="BM384" i="3"/>
  <c r="BN384" i="3"/>
  <c r="BO384" i="3"/>
  <c r="BP384" i="3"/>
  <c r="BQ384" i="3"/>
  <c r="BR384" i="3"/>
  <c r="BS384" i="3"/>
  <c r="BT384" i="3"/>
  <c r="BB385" i="3"/>
  <c r="BC385" i="3"/>
  <c r="BD385" i="3"/>
  <c r="BE385" i="3"/>
  <c r="BF385" i="3"/>
  <c r="BG385" i="3"/>
  <c r="BH385" i="3"/>
  <c r="BI385" i="3"/>
  <c r="BJ385" i="3"/>
  <c r="BK385" i="3"/>
  <c r="BM385" i="3"/>
  <c r="BL385" i="3" s="1"/>
  <c r="BN385" i="3"/>
  <c r="BO385" i="3"/>
  <c r="BP385" i="3"/>
  <c r="BQ385" i="3"/>
  <c r="BR385" i="3"/>
  <c r="BS385" i="3"/>
  <c r="BT385" i="3"/>
  <c r="BB386" i="3"/>
  <c r="BA386" i="3" s="1"/>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L387" i="3" s="1"/>
  <c r="BN387" i="3"/>
  <c r="BO387" i="3"/>
  <c r="BP387" i="3"/>
  <c r="BQ387" i="3"/>
  <c r="BR387" i="3"/>
  <c r="BS387" i="3"/>
  <c r="BT387" i="3"/>
  <c r="BB388" i="3"/>
  <c r="BA388" i="3" s="1"/>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L389" i="3" s="1"/>
  <c r="BN389" i="3"/>
  <c r="BO389" i="3"/>
  <c r="BP389" i="3"/>
  <c r="BQ389" i="3"/>
  <c r="BR389" i="3"/>
  <c r="BS389" i="3"/>
  <c r="BT389" i="3"/>
  <c r="BB390" i="3"/>
  <c r="BA390" i="3" s="1"/>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L391" i="3" s="1"/>
  <c r="BP391" i="3"/>
  <c r="BQ391" i="3"/>
  <c r="BR391" i="3"/>
  <c r="BS391" i="3"/>
  <c r="BT391" i="3"/>
  <c r="BB392" i="3"/>
  <c r="BA392" i="3" s="1"/>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L393" i="3"/>
  <c r="BB394" i="3"/>
  <c r="BA394" i="3" s="1"/>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L395" i="3" s="1"/>
  <c r="BO395" i="3"/>
  <c r="BP395" i="3"/>
  <c r="BQ395" i="3"/>
  <c r="BR395" i="3"/>
  <c r="BS395" i="3"/>
  <c r="BT395" i="3"/>
  <c r="BB396" i="3"/>
  <c r="BC396" i="3"/>
  <c r="BD396" i="3"/>
  <c r="BE396" i="3"/>
  <c r="BF396" i="3"/>
  <c r="BG396" i="3"/>
  <c r="BH396" i="3"/>
  <c r="BI396" i="3"/>
  <c r="BJ396" i="3"/>
  <c r="BK396" i="3"/>
  <c r="BA396" i="3" s="1"/>
  <c r="BM396" i="3"/>
  <c r="BN396" i="3"/>
  <c r="BO396" i="3"/>
  <c r="BP396" i="3"/>
  <c r="BQ396" i="3"/>
  <c r="BR396" i="3"/>
  <c r="BS396" i="3"/>
  <c r="BT396" i="3"/>
  <c r="BB397" i="3"/>
  <c r="BC397" i="3"/>
  <c r="BD397" i="3"/>
  <c r="BE397" i="3"/>
  <c r="BF397" i="3"/>
  <c r="BG397" i="3"/>
  <c r="BH397" i="3"/>
  <c r="BI397" i="3"/>
  <c r="BJ397" i="3"/>
  <c r="BK397" i="3"/>
  <c r="BM397" i="3"/>
  <c r="BL397" i="3" s="1"/>
  <c r="BN397" i="3"/>
  <c r="BO397" i="3"/>
  <c r="BP397" i="3"/>
  <c r="BQ397" i="3"/>
  <c r="BR397" i="3"/>
  <c r="BS397" i="3"/>
  <c r="BT397" i="3"/>
  <c r="BB398" i="3"/>
  <c r="BA398" i="3" s="1"/>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L399" i="3" s="1"/>
  <c r="BN399" i="3"/>
  <c r="BO399" i="3"/>
  <c r="BP399" i="3"/>
  <c r="BQ399" i="3"/>
  <c r="BR399" i="3"/>
  <c r="BS399" i="3"/>
  <c r="BT399" i="3"/>
  <c r="BB400" i="3"/>
  <c r="BA400" i="3" s="1"/>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L401" i="3" s="1"/>
  <c r="BN401" i="3"/>
  <c r="BO401" i="3"/>
  <c r="BP401" i="3"/>
  <c r="BQ401" i="3"/>
  <c r="BR401" i="3"/>
  <c r="BS401" i="3"/>
  <c r="BT401" i="3"/>
  <c r="BB402" i="3"/>
  <c r="BA402" i="3" s="1"/>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L403" i="3" s="1"/>
  <c r="BP403" i="3"/>
  <c r="BQ403" i="3"/>
  <c r="BR403" i="3"/>
  <c r="BS403" i="3"/>
  <c r="BT403" i="3"/>
  <c r="BB404" i="3"/>
  <c r="BA404" i="3" s="1"/>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L405" i="3"/>
  <c r="BB406" i="3"/>
  <c r="BA406" i="3" s="1"/>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L407" i="3" s="1"/>
  <c r="BO407" i="3"/>
  <c r="BP407" i="3"/>
  <c r="BQ407" i="3"/>
  <c r="BR407" i="3"/>
  <c r="BS407" i="3"/>
  <c r="BT407" i="3"/>
  <c r="BB408" i="3"/>
  <c r="BC408" i="3"/>
  <c r="BD408" i="3"/>
  <c r="BE408" i="3"/>
  <c r="BF408" i="3"/>
  <c r="BG408" i="3"/>
  <c r="BH408" i="3"/>
  <c r="BI408" i="3"/>
  <c r="BJ408" i="3"/>
  <c r="BK408" i="3"/>
  <c r="BA408" i="3"/>
  <c r="BM408" i="3"/>
  <c r="BN408" i="3"/>
  <c r="BO408" i="3"/>
  <c r="BP408" i="3"/>
  <c r="BQ408" i="3"/>
  <c r="BR408" i="3"/>
  <c r="BS408" i="3"/>
  <c r="BT408" i="3"/>
  <c r="BB409" i="3"/>
  <c r="BC409" i="3"/>
  <c r="BD409" i="3"/>
  <c r="BE409" i="3"/>
  <c r="BF409" i="3"/>
  <c r="BG409" i="3"/>
  <c r="BH409" i="3"/>
  <c r="BI409" i="3"/>
  <c r="BJ409" i="3"/>
  <c r="BK409" i="3"/>
  <c r="BM409" i="3"/>
  <c r="BL409" i="3" s="1"/>
  <c r="BN409" i="3"/>
  <c r="BO409" i="3"/>
  <c r="BP409" i="3"/>
  <c r="BQ409" i="3"/>
  <c r="BR409" i="3"/>
  <c r="BS409" i="3"/>
  <c r="BT409" i="3"/>
  <c r="BB410" i="3"/>
  <c r="BA410" i="3" s="1"/>
  <c r="BC410" i="3"/>
  <c r="BD410" i="3"/>
  <c r="BE410" i="3"/>
  <c r="BF410" i="3"/>
  <c r="BG410" i="3"/>
  <c r="BH410" i="3"/>
  <c r="BI410" i="3"/>
  <c r="BJ410" i="3"/>
  <c r="BK410" i="3"/>
  <c r="BM410" i="3"/>
  <c r="BN410" i="3"/>
  <c r="BO410" i="3"/>
  <c r="BP410" i="3"/>
  <c r="BQ410" i="3"/>
  <c r="BR410" i="3"/>
  <c r="BS410" i="3"/>
  <c r="BT410" i="3"/>
  <c r="BB411" i="3"/>
  <c r="BC411" i="3"/>
  <c r="BA411" i="3" s="1"/>
  <c r="BD411" i="3"/>
  <c r="BE411" i="3"/>
  <c r="BF411" i="3"/>
  <c r="BG411" i="3"/>
  <c r="BH411" i="3"/>
  <c r="BI411" i="3"/>
  <c r="BJ411" i="3"/>
  <c r="BK411" i="3"/>
  <c r="BM411" i="3"/>
  <c r="BL411" i="3" s="1"/>
  <c r="BN411" i="3"/>
  <c r="BO411" i="3"/>
  <c r="BP411" i="3"/>
  <c r="BQ411" i="3"/>
  <c r="BR411" i="3"/>
  <c r="BS411" i="3"/>
  <c r="BT411" i="3"/>
  <c r="BB412" i="3"/>
  <c r="BA412" i="3" s="1"/>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L413" i="3" s="1"/>
  <c r="BN413" i="3"/>
  <c r="BO413" i="3"/>
  <c r="BP413" i="3"/>
  <c r="BQ413" i="3"/>
  <c r="BR413" i="3"/>
  <c r="BS413" i="3"/>
  <c r="BT413" i="3"/>
  <c r="BB414" i="3"/>
  <c r="BA414" i="3" s="1"/>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L415" i="3" s="1"/>
  <c r="BP415" i="3"/>
  <c r="BQ415" i="3"/>
  <c r="BR415" i="3"/>
  <c r="BS415" i="3"/>
  <c r="BT415" i="3"/>
  <c r="BB416" i="3"/>
  <c r="BA416" i="3" s="1"/>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L417" i="3"/>
  <c r="BB418" i="3"/>
  <c r="BA418" i="3" s="1"/>
  <c r="BC418" i="3"/>
  <c r="BD418" i="3"/>
  <c r="BE418" i="3"/>
  <c r="BF418" i="3"/>
  <c r="BG418" i="3"/>
  <c r="BH418" i="3"/>
  <c r="BI418" i="3"/>
  <c r="BJ418" i="3"/>
  <c r="BK418" i="3"/>
  <c r="BM418" i="3"/>
  <c r="BN418" i="3"/>
  <c r="BL418" i="3" s="1"/>
  <c r="BO418" i="3"/>
  <c r="BP418" i="3"/>
  <c r="BQ418" i="3"/>
  <c r="BR418" i="3"/>
  <c r="BS418" i="3"/>
  <c r="BT418" i="3"/>
  <c r="BB419" i="3"/>
  <c r="BC419" i="3"/>
  <c r="BD419" i="3"/>
  <c r="BE419" i="3"/>
  <c r="BF419" i="3"/>
  <c r="BG419" i="3"/>
  <c r="BH419" i="3"/>
  <c r="BI419" i="3"/>
  <c r="BJ419" i="3"/>
  <c r="BK419" i="3"/>
  <c r="BM419" i="3"/>
  <c r="BN419" i="3"/>
  <c r="BL419" i="3" s="1"/>
  <c r="BO419" i="3"/>
  <c r="BP419" i="3"/>
  <c r="BQ419" i="3"/>
  <c r="BR419" i="3"/>
  <c r="BS419" i="3"/>
  <c r="BT419" i="3"/>
  <c r="BB420" i="3"/>
  <c r="BC420" i="3"/>
  <c r="BD420" i="3"/>
  <c r="BE420" i="3"/>
  <c r="BF420" i="3"/>
  <c r="BG420" i="3"/>
  <c r="BH420" i="3"/>
  <c r="BI420" i="3"/>
  <c r="BJ420" i="3"/>
  <c r="BK420" i="3"/>
  <c r="BA420" i="3"/>
  <c r="BM420" i="3"/>
  <c r="BN420" i="3"/>
  <c r="BO420" i="3"/>
  <c r="BP420" i="3"/>
  <c r="BQ420" i="3"/>
  <c r="BR420" i="3"/>
  <c r="BS420" i="3"/>
  <c r="BT420" i="3"/>
  <c r="BB421" i="3"/>
  <c r="BC421" i="3"/>
  <c r="BD421" i="3"/>
  <c r="BE421" i="3"/>
  <c r="BF421" i="3"/>
  <c r="BG421" i="3"/>
  <c r="BH421" i="3"/>
  <c r="BI421" i="3"/>
  <c r="BJ421" i="3"/>
  <c r="BK421" i="3"/>
  <c r="BM421" i="3"/>
  <c r="BL421" i="3" s="1"/>
  <c r="BN421" i="3"/>
  <c r="BO421" i="3"/>
  <c r="BP421" i="3"/>
  <c r="BQ421" i="3"/>
  <c r="BR421" i="3"/>
  <c r="BS421" i="3"/>
  <c r="BT421" i="3"/>
  <c r="BB422" i="3"/>
  <c r="BA422" i="3" s="1"/>
  <c r="BC422" i="3"/>
  <c r="BD422" i="3"/>
  <c r="BE422" i="3"/>
  <c r="BF422" i="3"/>
  <c r="BG422" i="3"/>
  <c r="BH422" i="3"/>
  <c r="BI422" i="3"/>
  <c r="BJ422" i="3"/>
  <c r="BK422" i="3"/>
  <c r="BM422" i="3"/>
  <c r="BN422" i="3"/>
  <c r="BO422" i="3"/>
  <c r="BP422" i="3"/>
  <c r="BQ422" i="3"/>
  <c r="BR422" i="3"/>
  <c r="BS422" i="3"/>
  <c r="BT422" i="3"/>
  <c r="BB423" i="3"/>
  <c r="BC423" i="3"/>
  <c r="BA423" i="3" s="1"/>
  <c r="BD423" i="3"/>
  <c r="BE423" i="3"/>
  <c r="BF423" i="3"/>
  <c r="BG423" i="3"/>
  <c r="BH423" i="3"/>
  <c r="BI423" i="3"/>
  <c r="BJ423" i="3"/>
  <c r="BK423" i="3"/>
  <c r="BM423" i="3"/>
  <c r="BL423" i="3" s="1"/>
  <c r="BN423" i="3"/>
  <c r="BO423" i="3"/>
  <c r="BP423" i="3"/>
  <c r="BQ423" i="3"/>
  <c r="BR423" i="3"/>
  <c r="BS423" i="3"/>
  <c r="BT423" i="3"/>
  <c r="BB424" i="3"/>
  <c r="BA424" i="3" s="1"/>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L425" i="3" s="1"/>
  <c r="BN425" i="3"/>
  <c r="BO425" i="3"/>
  <c r="BP425" i="3"/>
  <c r="BQ425" i="3"/>
  <c r="BR425" i="3"/>
  <c r="BS425" i="3"/>
  <c r="BT425" i="3"/>
  <c r="BB426" i="3"/>
  <c r="BA426" i="3" s="1"/>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L427" i="3" s="1"/>
  <c r="BP427" i="3"/>
  <c r="BQ427" i="3"/>
  <c r="BR427" i="3"/>
  <c r="BS427" i="3"/>
  <c r="BT427" i="3"/>
  <c r="BB428" i="3"/>
  <c r="BA428" i="3" s="1"/>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L429" i="3"/>
  <c r="BB430" i="3"/>
  <c r="BA430" i="3" s="1"/>
  <c r="BC430" i="3"/>
  <c r="BD430" i="3"/>
  <c r="BE430" i="3"/>
  <c r="BF430" i="3"/>
  <c r="BG430" i="3"/>
  <c r="BH430" i="3"/>
  <c r="BI430" i="3"/>
  <c r="BJ430" i="3"/>
  <c r="BK430" i="3"/>
  <c r="BM430" i="3"/>
  <c r="BN430" i="3"/>
  <c r="BL430" i="3" s="1"/>
  <c r="BO430" i="3"/>
  <c r="BP430" i="3"/>
  <c r="BQ430" i="3"/>
  <c r="BR430" i="3"/>
  <c r="BS430" i="3"/>
  <c r="BT430" i="3"/>
  <c r="BB431" i="3"/>
  <c r="BC431" i="3"/>
  <c r="BD431" i="3"/>
  <c r="BE431" i="3"/>
  <c r="BF431" i="3"/>
  <c r="BG431" i="3"/>
  <c r="BH431" i="3"/>
  <c r="BI431" i="3"/>
  <c r="BJ431" i="3"/>
  <c r="BK431" i="3"/>
  <c r="BM431" i="3"/>
  <c r="BN431" i="3"/>
  <c r="BL431" i="3" s="1"/>
  <c r="BO431" i="3"/>
  <c r="BP431" i="3"/>
  <c r="BQ431" i="3"/>
  <c r="BR431" i="3"/>
  <c r="BS431" i="3"/>
  <c r="BT431" i="3"/>
  <c r="BB432" i="3"/>
  <c r="BC432" i="3"/>
  <c r="BD432" i="3"/>
  <c r="BE432" i="3"/>
  <c r="BF432" i="3"/>
  <c r="BG432" i="3"/>
  <c r="BH432" i="3"/>
  <c r="BI432" i="3"/>
  <c r="BJ432" i="3"/>
  <c r="BK432" i="3"/>
  <c r="BA432" i="3"/>
  <c r="BM432" i="3"/>
  <c r="BN432" i="3"/>
  <c r="BO432" i="3"/>
  <c r="BP432" i="3"/>
  <c r="BQ432" i="3"/>
  <c r="BR432" i="3"/>
  <c r="BS432" i="3"/>
  <c r="BT432" i="3"/>
  <c r="BB433" i="3"/>
  <c r="BC433" i="3"/>
  <c r="BD433" i="3"/>
  <c r="BE433" i="3"/>
  <c r="BF433" i="3"/>
  <c r="BG433" i="3"/>
  <c r="BH433" i="3"/>
  <c r="BI433" i="3"/>
  <c r="BJ433" i="3"/>
  <c r="BK433" i="3"/>
  <c r="BM433" i="3"/>
  <c r="BL433" i="3" s="1"/>
  <c r="BN433" i="3"/>
  <c r="BO433" i="3"/>
  <c r="BP433" i="3"/>
  <c r="BQ433" i="3"/>
  <c r="BR433" i="3"/>
  <c r="BS433" i="3"/>
  <c r="BT433" i="3"/>
  <c r="BB434" i="3"/>
  <c r="BA434" i="3" s="1"/>
  <c r="BC434" i="3"/>
  <c r="BD434" i="3"/>
  <c r="BE434" i="3"/>
  <c r="BF434" i="3"/>
  <c r="BG434" i="3"/>
  <c r="BH434" i="3"/>
  <c r="BI434" i="3"/>
  <c r="BJ434" i="3"/>
  <c r="BK434" i="3"/>
  <c r="BM434" i="3"/>
  <c r="BN434" i="3"/>
  <c r="BO434" i="3"/>
  <c r="BP434" i="3"/>
  <c r="BQ434" i="3"/>
  <c r="BR434" i="3"/>
  <c r="BS434" i="3"/>
  <c r="BT434" i="3"/>
  <c r="BB435" i="3"/>
  <c r="BC435" i="3"/>
  <c r="BA435" i="3" s="1"/>
  <c r="BD435" i="3"/>
  <c r="BE435" i="3"/>
  <c r="BF435" i="3"/>
  <c r="BG435" i="3"/>
  <c r="BH435" i="3"/>
  <c r="BI435" i="3"/>
  <c r="BJ435" i="3"/>
  <c r="BK435" i="3"/>
  <c r="BM435" i="3"/>
  <c r="BL435" i="3" s="1"/>
  <c r="BN435" i="3"/>
  <c r="BO435" i="3"/>
  <c r="BP435" i="3"/>
  <c r="BQ435" i="3"/>
  <c r="BR435" i="3"/>
  <c r="BS435" i="3"/>
  <c r="BT435" i="3"/>
  <c r="BB436" i="3"/>
  <c r="BA436" i="3" s="1"/>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L437" i="3" s="1"/>
  <c r="BN437" i="3"/>
  <c r="BO437" i="3"/>
  <c r="BP437" i="3"/>
  <c r="BQ437" i="3"/>
  <c r="BR437" i="3"/>
  <c r="BS437" i="3"/>
  <c r="BT437" i="3"/>
  <c r="BB438" i="3"/>
  <c r="BA438" i="3" s="1"/>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M439" i="3"/>
  <c r="BN439" i="3"/>
  <c r="BO439" i="3"/>
  <c r="BL439" i="3" s="1"/>
  <c r="BP439" i="3"/>
  <c r="BQ439" i="3"/>
  <c r="BR439" i="3"/>
  <c r="BS439" i="3"/>
  <c r="BT439" i="3"/>
  <c r="BB440" i="3"/>
  <c r="BA440" i="3" s="1"/>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L441" i="3"/>
  <c r="BB442" i="3"/>
  <c r="BA442" i="3" s="1"/>
  <c r="BC442" i="3"/>
  <c r="BD442" i="3"/>
  <c r="BE442" i="3"/>
  <c r="BF442" i="3"/>
  <c r="BG442" i="3"/>
  <c r="BH442" i="3"/>
  <c r="BI442" i="3"/>
  <c r="BJ442" i="3"/>
  <c r="BK442" i="3"/>
  <c r="BM442" i="3"/>
  <c r="BN442" i="3"/>
  <c r="BL442" i="3" s="1"/>
  <c r="BO442" i="3"/>
  <c r="BP442" i="3"/>
  <c r="BQ442" i="3"/>
  <c r="BR442" i="3"/>
  <c r="BS442" i="3"/>
  <c r="BT442" i="3"/>
  <c r="BB443" i="3"/>
  <c r="BC443" i="3"/>
  <c r="BD443" i="3"/>
  <c r="BE443" i="3"/>
  <c r="BF443" i="3"/>
  <c r="BG443" i="3"/>
  <c r="BH443" i="3"/>
  <c r="BI443" i="3"/>
  <c r="BJ443" i="3"/>
  <c r="BK443" i="3"/>
  <c r="BM443" i="3"/>
  <c r="BN443" i="3"/>
  <c r="BL443" i="3" s="1"/>
  <c r="BO443" i="3"/>
  <c r="BP443" i="3"/>
  <c r="BQ443" i="3"/>
  <c r="BR443" i="3"/>
  <c r="BS443" i="3"/>
  <c r="BT443" i="3"/>
  <c r="BB444" i="3"/>
  <c r="BC444" i="3"/>
  <c r="BD444" i="3"/>
  <c r="BE444" i="3"/>
  <c r="BF444" i="3"/>
  <c r="BG444" i="3"/>
  <c r="BH444" i="3"/>
  <c r="BI444" i="3"/>
  <c r="BJ444" i="3"/>
  <c r="BK444" i="3"/>
  <c r="BA444" i="3"/>
  <c r="BM444" i="3"/>
  <c r="BN444" i="3"/>
  <c r="BO444" i="3"/>
  <c r="BP444" i="3"/>
  <c r="BQ444" i="3"/>
  <c r="BR444" i="3"/>
  <c r="BS444" i="3"/>
  <c r="BT444" i="3"/>
  <c r="BB445" i="3"/>
  <c r="BC445" i="3"/>
  <c r="BD445" i="3"/>
  <c r="BE445" i="3"/>
  <c r="BF445" i="3"/>
  <c r="BG445" i="3"/>
  <c r="BH445" i="3"/>
  <c r="BI445" i="3"/>
  <c r="BJ445" i="3"/>
  <c r="BK445" i="3"/>
  <c r="BM445" i="3"/>
  <c r="BL445" i="3" s="1"/>
  <c r="BN445" i="3"/>
  <c r="BO445" i="3"/>
  <c r="BP445" i="3"/>
  <c r="BQ445" i="3"/>
  <c r="BR445" i="3"/>
  <c r="BS445" i="3"/>
  <c r="BT445" i="3"/>
  <c r="BB446" i="3"/>
  <c r="BC446" i="3"/>
  <c r="BD446" i="3"/>
  <c r="BA446" i="3" s="1"/>
  <c r="BE446" i="3"/>
  <c r="BF446" i="3"/>
  <c r="BG446" i="3"/>
  <c r="BH446" i="3"/>
  <c r="BI446" i="3"/>
  <c r="BJ446" i="3"/>
  <c r="BK446" i="3"/>
  <c r="BM446" i="3"/>
  <c r="BN446" i="3"/>
  <c r="BO446" i="3"/>
  <c r="BP446" i="3"/>
  <c r="BQ446" i="3"/>
  <c r="BR446" i="3"/>
  <c r="BS446" i="3"/>
  <c r="BT446" i="3"/>
  <c r="BB447" i="3"/>
  <c r="BC447" i="3"/>
  <c r="BA447" i="3" s="1"/>
  <c r="BD447" i="3"/>
  <c r="BE447" i="3"/>
  <c r="BF447" i="3"/>
  <c r="BG447" i="3"/>
  <c r="BH447" i="3"/>
  <c r="BI447" i="3"/>
  <c r="BJ447" i="3"/>
  <c r="BK447" i="3"/>
  <c r="BM447" i="3"/>
  <c r="BL447" i="3" s="1"/>
  <c r="BN447" i="3"/>
  <c r="BO447" i="3"/>
  <c r="BP447" i="3"/>
  <c r="BQ447" i="3"/>
  <c r="BR447" i="3"/>
  <c r="BS447" i="3"/>
  <c r="BT447" i="3"/>
  <c r="BB448" i="3"/>
  <c r="BA448" i="3" s="1"/>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L449" i="3" s="1"/>
  <c r="BN449" i="3"/>
  <c r="BO449" i="3"/>
  <c r="BP449" i="3"/>
  <c r="BQ449" i="3"/>
  <c r="BR449" i="3"/>
  <c r="BS449" i="3"/>
  <c r="BT449" i="3"/>
  <c r="BB450" i="3"/>
  <c r="BA450" i="3" s="1"/>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L451" i="3" s="1"/>
  <c r="BP451" i="3"/>
  <c r="BQ451" i="3"/>
  <c r="BR451" i="3"/>
  <c r="BS451" i="3"/>
  <c r="BT451" i="3"/>
  <c r="BB452" i="3"/>
  <c r="BA452" i="3" s="1"/>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L453" i="3"/>
  <c r="BB454" i="3"/>
  <c r="BA454" i="3" s="1"/>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L455" i="3" s="1"/>
  <c r="BO455" i="3"/>
  <c r="BP455" i="3"/>
  <c r="BQ455" i="3"/>
  <c r="BR455" i="3"/>
  <c r="BS455" i="3"/>
  <c r="BT455" i="3"/>
  <c r="BB456" i="3"/>
  <c r="BC456" i="3"/>
  <c r="BD456" i="3"/>
  <c r="BE456" i="3"/>
  <c r="BF456" i="3"/>
  <c r="BG456" i="3"/>
  <c r="BH456" i="3"/>
  <c r="BI456" i="3"/>
  <c r="BJ456" i="3"/>
  <c r="BK456" i="3"/>
  <c r="BA456" i="3" s="1"/>
  <c r="BM456" i="3"/>
  <c r="BN456" i="3"/>
  <c r="BO456" i="3"/>
  <c r="BP456" i="3"/>
  <c r="BQ456" i="3"/>
  <c r="BR456" i="3"/>
  <c r="BS456" i="3"/>
  <c r="BT456" i="3"/>
  <c r="BB457" i="3"/>
  <c r="BC457" i="3"/>
  <c r="BD457" i="3"/>
  <c r="BE457" i="3"/>
  <c r="BF457" i="3"/>
  <c r="BG457" i="3"/>
  <c r="BH457" i="3"/>
  <c r="BI457" i="3"/>
  <c r="BJ457" i="3"/>
  <c r="BK457" i="3"/>
  <c r="BM457" i="3"/>
  <c r="BL457" i="3" s="1"/>
  <c r="BN457" i="3"/>
  <c r="BO457" i="3"/>
  <c r="BP457" i="3"/>
  <c r="BQ457" i="3"/>
  <c r="BR457" i="3"/>
  <c r="BS457" i="3"/>
  <c r="BT457" i="3"/>
  <c r="BB458" i="3"/>
  <c r="BC458" i="3"/>
  <c r="BD458" i="3"/>
  <c r="BA458" i="3" s="1"/>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L459" i="3" s="1"/>
  <c r="BN459" i="3"/>
  <c r="BO459" i="3"/>
  <c r="BP459" i="3"/>
  <c r="BQ459" i="3"/>
  <c r="BR459" i="3"/>
  <c r="BS459" i="3"/>
  <c r="BT459" i="3"/>
  <c r="BB460" i="3"/>
  <c r="BA460" i="3" s="1"/>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L461" i="3" s="1"/>
  <c r="BN461" i="3"/>
  <c r="BO461" i="3"/>
  <c r="BP461" i="3"/>
  <c r="BQ461" i="3"/>
  <c r="BR461" i="3"/>
  <c r="BS461" i="3"/>
  <c r="BT461" i="3"/>
  <c r="BB462" i="3"/>
  <c r="BA462" i="3" s="1"/>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L463" i="3" s="1"/>
  <c r="BO463" i="3"/>
  <c r="BP463" i="3"/>
  <c r="BQ463" i="3"/>
  <c r="BR463" i="3"/>
  <c r="BS463" i="3"/>
  <c r="BT463" i="3"/>
  <c r="BB464" i="3"/>
  <c r="BA464" i="3" s="1"/>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L465" i="3"/>
  <c r="BB466" i="3"/>
  <c r="BA466" i="3" s="1"/>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L467" i="3" s="1"/>
  <c r="BO467" i="3"/>
  <c r="BP467" i="3"/>
  <c r="BQ467" i="3"/>
  <c r="BR467" i="3"/>
  <c r="BS467" i="3"/>
  <c r="BT467" i="3"/>
  <c r="BB468" i="3"/>
  <c r="BC468" i="3"/>
  <c r="BD468" i="3"/>
  <c r="BE468" i="3"/>
  <c r="BF468" i="3"/>
  <c r="BG468" i="3"/>
  <c r="BH468" i="3"/>
  <c r="BI468" i="3"/>
  <c r="BJ468" i="3"/>
  <c r="BK468" i="3"/>
  <c r="BA468" i="3"/>
  <c r="BM468" i="3"/>
  <c r="BN468" i="3"/>
  <c r="BO468" i="3"/>
  <c r="BP468" i="3"/>
  <c r="BQ468" i="3"/>
  <c r="BR468" i="3"/>
  <c r="BS468" i="3"/>
  <c r="BT468" i="3"/>
  <c r="BB469" i="3"/>
  <c r="BC469" i="3"/>
  <c r="BD469" i="3"/>
  <c r="BE469" i="3"/>
  <c r="BF469" i="3"/>
  <c r="BG469" i="3"/>
  <c r="BH469" i="3"/>
  <c r="BI469" i="3"/>
  <c r="BJ469" i="3"/>
  <c r="BK469" i="3"/>
  <c r="BM469" i="3"/>
  <c r="BL469" i="3" s="1"/>
  <c r="BN469" i="3"/>
  <c r="BO469" i="3"/>
  <c r="BP469" i="3"/>
  <c r="BQ469" i="3"/>
  <c r="BR469" i="3"/>
  <c r="BS469" i="3"/>
  <c r="BT469" i="3"/>
  <c r="BB470" i="3"/>
  <c r="BC470" i="3"/>
  <c r="BD470" i="3"/>
  <c r="BA470" i="3" s="1"/>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L471" i="3" s="1"/>
  <c r="BN471" i="3"/>
  <c r="BO471" i="3"/>
  <c r="BP471" i="3"/>
  <c r="BQ471" i="3"/>
  <c r="BR471" i="3"/>
  <c r="BS471" i="3"/>
  <c r="BT471" i="3"/>
  <c r="BB472" i="3"/>
  <c r="BA472" i="3" s="1"/>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L473" i="3" s="1"/>
  <c r="BN473" i="3"/>
  <c r="BO473" i="3"/>
  <c r="BP473" i="3"/>
  <c r="BQ473" i="3"/>
  <c r="BR473" i="3"/>
  <c r="BS473" i="3"/>
  <c r="BT473" i="3"/>
  <c r="BB474" i="3"/>
  <c r="BA474" i="3" s="1"/>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L475" i="3" s="1"/>
  <c r="BP475" i="3"/>
  <c r="BQ475" i="3"/>
  <c r="BR475" i="3"/>
  <c r="BS475" i="3"/>
  <c r="BT475" i="3"/>
  <c r="BB476" i="3"/>
  <c r="BA476" i="3" s="1"/>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L477" i="3"/>
  <c r="BB478" i="3"/>
  <c r="BA478" i="3" s="1"/>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L479" i="3" s="1"/>
  <c r="BO479" i="3"/>
  <c r="BP479" i="3"/>
  <c r="BQ479" i="3"/>
  <c r="BR479" i="3"/>
  <c r="BS479" i="3"/>
  <c r="BT479" i="3"/>
  <c r="BB480" i="3"/>
  <c r="BC480" i="3"/>
  <c r="BD480" i="3"/>
  <c r="BE480" i="3"/>
  <c r="BF480" i="3"/>
  <c r="BG480" i="3"/>
  <c r="BH480" i="3"/>
  <c r="BI480" i="3"/>
  <c r="BJ480" i="3"/>
  <c r="BK480" i="3"/>
  <c r="BA480" i="3"/>
  <c r="BM480" i="3"/>
  <c r="BN480" i="3"/>
  <c r="BO480" i="3"/>
  <c r="BP480" i="3"/>
  <c r="BQ480" i="3"/>
  <c r="BR480" i="3"/>
  <c r="BS480" i="3"/>
  <c r="BT480" i="3"/>
  <c r="BB481" i="3"/>
  <c r="BC481" i="3"/>
  <c r="BD481" i="3"/>
  <c r="BE481" i="3"/>
  <c r="BF481" i="3"/>
  <c r="BG481" i="3"/>
  <c r="BH481" i="3"/>
  <c r="BI481" i="3"/>
  <c r="BJ481" i="3"/>
  <c r="BK481" i="3"/>
  <c r="BM481" i="3"/>
  <c r="BL481" i="3" s="1"/>
  <c r="BN481" i="3"/>
  <c r="BO481" i="3"/>
  <c r="BP481" i="3"/>
  <c r="BQ481" i="3"/>
  <c r="BR481" i="3"/>
  <c r="BS481" i="3"/>
  <c r="BT481" i="3"/>
  <c r="BB482" i="3"/>
  <c r="BC482" i="3"/>
  <c r="BD482" i="3"/>
  <c r="BA482" i="3" s="1"/>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L483" i="3" s="1"/>
  <c r="BN483" i="3"/>
  <c r="BO483" i="3"/>
  <c r="BP483" i="3"/>
  <c r="BQ483" i="3"/>
  <c r="BR483" i="3"/>
  <c r="BS483" i="3"/>
  <c r="BT483" i="3"/>
  <c r="BB484" i="3"/>
  <c r="BA484" i="3" s="1"/>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L485" i="3" s="1"/>
  <c r="BN485" i="3"/>
  <c r="BO485" i="3"/>
  <c r="BP485" i="3"/>
  <c r="BQ485" i="3"/>
  <c r="BR485" i="3"/>
  <c r="BS485" i="3"/>
  <c r="BT485" i="3"/>
  <c r="BB486" i="3"/>
  <c r="BA486" i="3" s="1"/>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L487" i="3" s="1"/>
  <c r="BP487" i="3"/>
  <c r="BQ487" i="3"/>
  <c r="BR487" i="3"/>
  <c r="BS487" i="3"/>
  <c r="BT487" i="3"/>
  <c r="BB488" i="3"/>
  <c r="BA488" i="3" s="1"/>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L489" i="3"/>
  <c r="BB490" i="3"/>
  <c r="BA490" i="3" s="1"/>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L491" i="3" s="1"/>
  <c r="BO491" i="3"/>
  <c r="BP491" i="3"/>
  <c r="BQ491" i="3"/>
  <c r="BR491" i="3"/>
  <c r="BS491" i="3"/>
  <c r="BT491" i="3"/>
  <c r="BB492" i="3"/>
  <c r="BC492" i="3"/>
  <c r="BD492" i="3"/>
  <c r="BE492" i="3"/>
  <c r="BF492" i="3"/>
  <c r="BG492" i="3"/>
  <c r="BH492" i="3"/>
  <c r="BI492" i="3"/>
  <c r="BJ492" i="3"/>
  <c r="BK492" i="3"/>
  <c r="BA492" i="3"/>
  <c r="BM492" i="3"/>
  <c r="BN492" i="3"/>
  <c r="BO492" i="3"/>
  <c r="BP492" i="3"/>
  <c r="BQ492" i="3"/>
  <c r="BR492" i="3"/>
  <c r="BS492" i="3"/>
  <c r="BT492" i="3"/>
  <c r="BB493" i="3"/>
  <c r="BC493" i="3"/>
  <c r="BD493" i="3"/>
  <c r="BE493" i="3"/>
  <c r="BF493" i="3"/>
  <c r="BG493" i="3"/>
  <c r="BH493" i="3"/>
  <c r="BI493" i="3"/>
  <c r="BJ493" i="3"/>
  <c r="BK493" i="3"/>
  <c r="BM493" i="3"/>
  <c r="BL493" i="3" s="1"/>
  <c r="BN493" i="3"/>
  <c r="BO493" i="3"/>
  <c r="BP493" i="3"/>
  <c r="BQ493" i="3"/>
  <c r="BR493" i="3"/>
  <c r="BS493" i="3"/>
  <c r="BT493" i="3"/>
  <c r="BB494" i="3"/>
  <c r="BA494" i="3" s="1"/>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L495" i="3" s="1"/>
  <c r="BN495" i="3"/>
  <c r="BO495" i="3"/>
  <c r="BP495" i="3"/>
  <c r="BQ495" i="3"/>
  <c r="BR495" i="3"/>
  <c r="BS495" i="3"/>
  <c r="BT495" i="3"/>
  <c r="BB496" i="3"/>
  <c r="BC496" i="3"/>
  <c r="BD496" i="3"/>
  <c r="BE496" i="3"/>
  <c r="BF496" i="3"/>
  <c r="BG496" i="3"/>
  <c r="BA496" i="3" s="1"/>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L497" i="3" s="1"/>
  <c r="BN497" i="3"/>
  <c r="BO497" i="3"/>
  <c r="BP497" i="3"/>
  <c r="BQ497" i="3"/>
  <c r="BR497" i="3"/>
  <c r="BS497" i="3"/>
  <c r="BT497" i="3"/>
  <c r="BB498" i="3"/>
  <c r="BA498" i="3" s="1"/>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L499" i="3" s="1"/>
  <c r="BO499" i="3"/>
  <c r="BP499" i="3"/>
  <c r="BQ499" i="3"/>
  <c r="BR499" i="3"/>
  <c r="BS499" i="3"/>
  <c r="BT499" i="3"/>
  <c r="BB500" i="3"/>
  <c r="BA500" i="3" s="1"/>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L501" i="3"/>
  <c r="BB502" i="3"/>
  <c r="BA502" i="3" s="1"/>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O504" i="3"/>
  <c r="BP504" i="3"/>
  <c r="BQ504" i="3"/>
  <c r="BR504" i="3"/>
  <c r="BS504" i="3"/>
  <c r="BT504" i="3"/>
  <c r="BB505" i="3"/>
  <c r="BC505" i="3"/>
  <c r="BD505" i="3"/>
  <c r="BE505" i="3"/>
  <c r="BF505" i="3"/>
  <c r="BG505" i="3"/>
  <c r="BH505" i="3"/>
  <c r="BI505" i="3"/>
  <c r="BJ505" i="3"/>
  <c r="BK505" i="3"/>
  <c r="BM505" i="3"/>
  <c r="BL505" i="3" s="1"/>
  <c r="BN505" i="3"/>
  <c r="BO505" i="3"/>
  <c r="BP505" i="3"/>
  <c r="BQ505" i="3"/>
  <c r="BR505" i="3"/>
  <c r="BS505" i="3"/>
  <c r="BT505" i="3"/>
  <c r="BB506" i="3"/>
  <c r="BA506" i="3" s="1"/>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L508" i="3"/>
  <c r="BB509" i="3"/>
  <c r="BA509" i="3" s="1"/>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O511" i="3"/>
  <c r="BP511" i="3"/>
  <c r="BQ511" i="3"/>
  <c r="BR511" i="3"/>
  <c r="BS511" i="3"/>
  <c r="BT511" i="3"/>
  <c r="BB512" i="3"/>
  <c r="BC512" i="3"/>
  <c r="BD512" i="3"/>
  <c r="BE512" i="3"/>
  <c r="BF512" i="3"/>
  <c r="BG512" i="3"/>
  <c r="BH512" i="3"/>
  <c r="BI512" i="3"/>
  <c r="BJ512" i="3"/>
  <c r="BK512" i="3"/>
  <c r="BM512" i="3"/>
  <c r="BL512" i="3" s="1"/>
  <c r="BN512" i="3"/>
  <c r="BO512" i="3"/>
  <c r="BP512" i="3"/>
  <c r="BQ512" i="3"/>
  <c r="BR512" i="3"/>
  <c r="BS512" i="3"/>
  <c r="BT512" i="3"/>
  <c r="BB513" i="3"/>
  <c r="BA513" i="3" s="1"/>
  <c r="BC513" i="3"/>
  <c r="BD513" i="3"/>
  <c r="BE513" i="3"/>
  <c r="BF513" i="3"/>
  <c r="BG513" i="3"/>
  <c r="BH513" i="3"/>
  <c r="BI513" i="3"/>
  <c r="BJ513" i="3"/>
  <c r="BK513" i="3"/>
  <c r="BM513" i="3"/>
  <c r="BN513" i="3"/>
  <c r="BL513" i="3" s="1"/>
  <c r="BO513" i="3"/>
  <c r="BP513" i="3"/>
  <c r="BQ513" i="3"/>
  <c r="BR513" i="3"/>
  <c r="BS513" i="3"/>
  <c r="BT513" i="3"/>
  <c r="BB514" i="3"/>
  <c r="BC514" i="3"/>
  <c r="BD514" i="3"/>
  <c r="BE514" i="3"/>
  <c r="BF514" i="3"/>
  <c r="BG514" i="3"/>
  <c r="BH514" i="3"/>
  <c r="BI514" i="3"/>
  <c r="BJ514" i="3"/>
  <c r="BK514" i="3"/>
  <c r="BM514" i="3"/>
  <c r="BL514" i="3" s="1"/>
  <c r="BN514" i="3"/>
  <c r="BO514" i="3"/>
  <c r="BP514" i="3"/>
  <c r="BQ514" i="3"/>
  <c r="BR514" i="3"/>
  <c r="BS514" i="3"/>
  <c r="BT514" i="3"/>
  <c r="BB515" i="3"/>
  <c r="BC515" i="3"/>
  <c r="BD515" i="3"/>
  <c r="BE515" i="3"/>
  <c r="BF515" i="3"/>
  <c r="BG515" i="3"/>
  <c r="BA515" i="3" s="1"/>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L516" i="3" s="1"/>
  <c r="BN516" i="3"/>
  <c r="BO516" i="3"/>
  <c r="BP516" i="3"/>
  <c r="BQ516" i="3"/>
  <c r="BR516" i="3"/>
  <c r="BS516" i="3"/>
  <c r="BT516" i="3"/>
  <c r="BB517" i="3"/>
  <c r="BA517" i="3" s="1"/>
  <c r="BC517" i="3"/>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L518" i="3" s="1"/>
  <c r="BN518" i="3"/>
  <c r="BO518" i="3"/>
  <c r="BP518" i="3"/>
  <c r="BQ518" i="3"/>
  <c r="BR518" i="3"/>
  <c r="BS518" i="3"/>
  <c r="BT518" i="3"/>
  <c r="BB519" i="3"/>
  <c r="BC519" i="3"/>
  <c r="BA519" i="3" s="1"/>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L520" i="3"/>
  <c r="BB521" i="3"/>
  <c r="BA521" i="3" s="1"/>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O523" i="3"/>
  <c r="BP523" i="3"/>
  <c r="BQ523" i="3"/>
  <c r="BR523" i="3"/>
  <c r="BS523" i="3"/>
  <c r="BT523" i="3"/>
  <c r="BB524" i="3"/>
  <c r="BC524" i="3"/>
  <c r="BD524" i="3"/>
  <c r="BE524" i="3"/>
  <c r="BF524" i="3"/>
  <c r="BG524" i="3"/>
  <c r="BH524" i="3"/>
  <c r="BI524" i="3"/>
  <c r="BJ524" i="3"/>
  <c r="BK524" i="3"/>
  <c r="BM524" i="3"/>
  <c r="BL524" i="3" s="1"/>
  <c r="BN524" i="3"/>
  <c r="BO524" i="3"/>
  <c r="BP524" i="3"/>
  <c r="BQ524" i="3"/>
  <c r="BR524" i="3"/>
  <c r="BS524" i="3"/>
  <c r="BT524" i="3"/>
  <c r="BB525" i="3"/>
  <c r="BA525" i="3" s="1"/>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L526" i="3" s="1"/>
  <c r="BO526" i="3"/>
  <c r="BP526" i="3"/>
  <c r="BQ526" i="3"/>
  <c r="BR526" i="3"/>
  <c r="BS526" i="3"/>
  <c r="BT526" i="3"/>
  <c r="BB527" i="3"/>
  <c r="BC527" i="3"/>
  <c r="BD527" i="3"/>
  <c r="BA527" i="3" s="1"/>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L528" i="3" s="1"/>
  <c r="BN528" i="3"/>
  <c r="BO528" i="3"/>
  <c r="BP528" i="3"/>
  <c r="BQ528" i="3"/>
  <c r="BR528" i="3"/>
  <c r="BS528" i="3"/>
  <c r="BT528" i="3"/>
  <c r="BB529" i="3"/>
  <c r="BA529" i="3" s="1"/>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L530" i="3" s="1"/>
  <c r="BN530" i="3"/>
  <c r="BO530" i="3"/>
  <c r="BP530" i="3"/>
  <c r="BQ530" i="3"/>
  <c r="BR530" i="3"/>
  <c r="BS530" i="3"/>
  <c r="BT530" i="3"/>
  <c r="BB531" i="3"/>
  <c r="BC531" i="3"/>
  <c r="BD531" i="3"/>
  <c r="BE531" i="3"/>
  <c r="BA531" i="3" s="1"/>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L532" i="3" s="1"/>
  <c r="BS532" i="3"/>
  <c r="BT532" i="3"/>
  <c r="BB533" i="3"/>
  <c r="BA533" i="3" s="1"/>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A535" i="3" s="1"/>
  <c r="BI535" i="3"/>
  <c r="BJ535" i="3"/>
  <c r="BK535" i="3"/>
  <c r="BM535" i="3"/>
  <c r="BN535" i="3"/>
  <c r="BO535" i="3"/>
  <c r="BP535" i="3"/>
  <c r="BQ535" i="3"/>
  <c r="BR535" i="3"/>
  <c r="BS535" i="3"/>
  <c r="BT535" i="3"/>
  <c r="BB536" i="3"/>
  <c r="BC536" i="3"/>
  <c r="BD536" i="3"/>
  <c r="BE536" i="3"/>
  <c r="BF536" i="3"/>
  <c r="BG536" i="3"/>
  <c r="BH536" i="3"/>
  <c r="BI536" i="3"/>
  <c r="BJ536" i="3"/>
  <c r="BK536" i="3"/>
  <c r="BM536" i="3"/>
  <c r="BL536" i="3" s="1"/>
  <c r="BN536" i="3"/>
  <c r="BO536" i="3"/>
  <c r="BP536" i="3"/>
  <c r="BQ536" i="3"/>
  <c r="BR536" i="3"/>
  <c r="BS536" i="3"/>
  <c r="BT536" i="3"/>
  <c r="BB537" i="3"/>
  <c r="BA537" i="3" s="1"/>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L538" i="3" s="1"/>
  <c r="BO538" i="3"/>
  <c r="BP538" i="3"/>
  <c r="BQ538" i="3"/>
  <c r="BR538" i="3"/>
  <c r="BS538" i="3"/>
  <c r="BT538" i="3"/>
  <c r="BB539" i="3"/>
  <c r="BC539" i="3"/>
  <c r="BD539" i="3"/>
  <c r="BA539" i="3" s="1"/>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L540" i="3" s="1"/>
  <c r="BN540" i="3"/>
  <c r="BO540" i="3"/>
  <c r="BP540" i="3"/>
  <c r="BQ540" i="3"/>
  <c r="BR540" i="3"/>
  <c r="BS540" i="3"/>
  <c r="BT540" i="3"/>
  <c r="BB541" i="3"/>
  <c r="BA541" i="3" s="1"/>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L542" i="3" s="1"/>
  <c r="BN542" i="3"/>
  <c r="BO542" i="3"/>
  <c r="BP542" i="3"/>
  <c r="BQ542" i="3"/>
  <c r="BR542" i="3"/>
  <c r="BS542" i="3"/>
  <c r="BT542" i="3"/>
  <c r="BB543" i="3"/>
  <c r="BC543" i="3"/>
  <c r="BD543" i="3"/>
  <c r="BE543" i="3"/>
  <c r="BA543" i="3" s="1"/>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L544" i="3" s="1"/>
  <c r="BS544" i="3"/>
  <c r="BT544" i="3"/>
  <c r="BB545" i="3"/>
  <c r="BA545" i="3" s="1"/>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A547" i="3" s="1"/>
  <c r="BI547" i="3"/>
  <c r="BJ547" i="3"/>
  <c r="BK547" i="3"/>
  <c r="BM547" i="3"/>
  <c r="BN547" i="3"/>
  <c r="BO547" i="3"/>
  <c r="BP547" i="3"/>
  <c r="BQ547" i="3"/>
  <c r="BR547" i="3"/>
  <c r="BS547" i="3"/>
  <c r="BT547" i="3"/>
  <c r="BB548" i="3"/>
  <c r="BC548" i="3"/>
  <c r="BD548" i="3"/>
  <c r="BE548" i="3"/>
  <c r="BF548" i="3"/>
  <c r="BG548" i="3"/>
  <c r="BH548" i="3"/>
  <c r="BI548" i="3"/>
  <c r="BJ548" i="3"/>
  <c r="BK548" i="3"/>
  <c r="BM548" i="3"/>
  <c r="BL548" i="3" s="1"/>
  <c r="BN548" i="3"/>
  <c r="BO548" i="3"/>
  <c r="BP548" i="3"/>
  <c r="BQ548" i="3"/>
  <c r="BR548" i="3"/>
  <c r="BS548" i="3"/>
  <c r="BT548" i="3"/>
  <c r="BB549" i="3"/>
  <c r="BA549" i="3" s="1"/>
  <c r="BC549" i="3"/>
  <c r="BD549" i="3"/>
  <c r="BE549" i="3"/>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L550" i="3" s="1"/>
  <c r="BO550" i="3"/>
  <c r="BP550" i="3"/>
  <c r="BQ550" i="3"/>
  <c r="BR550" i="3"/>
  <c r="BS550" i="3"/>
  <c r="BT550" i="3"/>
  <c r="BB551" i="3"/>
  <c r="BC551" i="3"/>
  <c r="BD551" i="3"/>
  <c r="BA551" i="3" s="1"/>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L552" i="3" s="1"/>
  <c r="BN552" i="3"/>
  <c r="BO552" i="3"/>
  <c r="BP552" i="3"/>
  <c r="BQ552" i="3"/>
  <c r="BR552" i="3"/>
  <c r="BS552" i="3"/>
  <c r="BT552" i="3"/>
  <c r="BB553" i="3"/>
  <c r="BA553" i="3" s="1"/>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L554" i="3" s="1"/>
  <c r="BN554" i="3"/>
  <c r="BO554" i="3"/>
  <c r="BP554" i="3"/>
  <c r="BQ554" i="3"/>
  <c r="BR554" i="3"/>
  <c r="BS554" i="3"/>
  <c r="BT554" i="3"/>
  <c r="BB555" i="3"/>
  <c r="BC555" i="3"/>
  <c r="BD555" i="3"/>
  <c r="BE555" i="3"/>
  <c r="BA555" i="3" s="1"/>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L556" i="3" s="1"/>
  <c r="BS556" i="3"/>
  <c r="BT556" i="3"/>
  <c r="BB557" i="3"/>
  <c r="BA557" i="3" s="1"/>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A559" i="3" s="1"/>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L560" i="3" s="1"/>
  <c r="BO560" i="3"/>
  <c r="BP560" i="3"/>
  <c r="BQ560" i="3"/>
  <c r="BR560" i="3"/>
  <c r="BS560" i="3"/>
  <c r="BT560" i="3"/>
  <c r="BB561" i="3"/>
  <c r="BA561" i="3" s="1"/>
  <c r="BC561" i="3"/>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A565" i="3" s="1"/>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L566" i="3" s="1"/>
  <c r="BN566" i="3"/>
  <c r="BO566" i="3"/>
  <c r="BP566" i="3"/>
  <c r="BQ566" i="3"/>
  <c r="BR566" i="3"/>
  <c r="BS566" i="3"/>
  <c r="BT566" i="3"/>
  <c r="BB567" i="3"/>
  <c r="BC567" i="3"/>
  <c r="BD567" i="3"/>
  <c r="BE567" i="3"/>
  <c r="BA567" i="3" s="1"/>
  <c r="BF567" i="3"/>
  <c r="BG567" i="3"/>
  <c r="BH567" i="3"/>
  <c r="BI567" i="3"/>
  <c r="BJ567" i="3"/>
  <c r="BK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L568" i="3" s="1"/>
  <c r="BS568" i="3"/>
  <c r="BT568" i="3"/>
  <c r="BB569" i="3"/>
  <c r="BA569" i="3" s="1"/>
  <c r="BC569" i="3"/>
  <c r="BD569" i="3"/>
  <c r="BE569" i="3"/>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A571" i="3" s="1"/>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Y6" i="1"/>
  <c r="I5" i="3"/>
  <c r="F19" i="6" s="1"/>
  <c r="B3" i="4"/>
  <c r="F25" i="12"/>
  <c r="C25" i="12"/>
  <c r="C16" i="11"/>
  <c r="C15" i="11"/>
  <c r="C14" i="11"/>
  <c r="C9" i="11"/>
  <c r="C8" i="11"/>
  <c r="K36" i="36"/>
  <c r="K38" i="35"/>
  <c r="K42" i="37"/>
  <c r="K49" i="34"/>
  <c r="K48" i="33"/>
  <c r="K48" i="21"/>
  <c r="K44" i="40"/>
  <c r="K49" i="39"/>
  <c r="E77" i="9"/>
  <c r="F77" i="9"/>
  <c r="AH5" i="59"/>
  <c r="AG5" i="59"/>
  <c r="AE5" i="59"/>
  <c r="AF5" i="59" s="1"/>
  <c r="AD5" i="59"/>
  <c r="Q5" i="59"/>
  <c r="P5" i="59"/>
  <c r="O5" i="59"/>
  <c r="N5" i="59"/>
  <c r="A21" i="31"/>
  <c r="C109" i="9"/>
  <c r="Q15" i="59"/>
  <c r="F15" i="59"/>
  <c r="Q14" i="59"/>
  <c r="F14" i="59"/>
  <c r="F13" i="59" s="1"/>
  <c r="F12" i="59" s="1"/>
  <c r="F11" i="59" s="1"/>
  <c r="F10" i="59" s="1"/>
  <c r="F9" i="59" s="1"/>
  <c r="F8" i="59" s="1"/>
  <c r="F7" i="59" s="1"/>
  <c r="V7" i="59" s="1"/>
  <c r="Q13" i="59"/>
  <c r="Q12" i="59"/>
  <c r="Q11" i="59"/>
  <c r="Q10" i="59"/>
  <c r="Q9" i="59"/>
  <c r="Q8" i="59"/>
  <c r="Q7" i="59"/>
  <c r="P15" i="59"/>
  <c r="E15" i="59" s="1"/>
  <c r="P14" i="59"/>
  <c r="P13" i="59"/>
  <c r="P12" i="59"/>
  <c r="P11" i="59"/>
  <c r="P10" i="59"/>
  <c r="P9" i="59"/>
  <c r="P8" i="59"/>
  <c r="P7" i="59"/>
  <c r="O15" i="59"/>
  <c r="C15" i="59" s="1"/>
  <c r="O14" i="59"/>
  <c r="O13" i="59"/>
  <c r="O12" i="59"/>
  <c r="O11" i="59"/>
  <c r="O10" i="59"/>
  <c r="O9" i="59"/>
  <c r="O8" i="59"/>
  <c r="O7" i="59"/>
  <c r="N15" i="59"/>
  <c r="B15" i="59" s="1"/>
  <c r="N14" i="59"/>
  <c r="N13" i="59"/>
  <c r="N12" i="59"/>
  <c r="N11" i="59"/>
  <c r="N10" i="59"/>
  <c r="N9" i="59"/>
  <c r="N8" i="59"/>
  <c r="N7" i="59"/>
  <c r="AH6" i="59"/>
  <c r="AG6" i="59"/>
  <c r="AE6" i="59"/>
  <c r="AF6" i="59" s="1"/>
  <c r="AD6" i="59"/>
  <c r="Q6" i="59"/>
  <c r="P6" i="59"/>
  <c r="O6" i="59"/>
  <c r="N6" i="59"/>
  <c r="AH7" i="59"/>
  <c r="AG7" i="59"/>
  <c r="AE7" i="59"/>
  <c r="AF7" i="59" s="1"/>
  <c r="AD7" i="59"/>
  <c r="AH8" i="59"/>
  <c r="AG8" i="59"/>
  <c r="AE8" i="59"/>
  <c r="AF8" i="59" s="1"/>
  <c r="AD8" i="59"/>
  <c r="AH9" i="59"/>
  <c r="AG9" i="59"/>
  <c r="AE9" i="59"/>
  <c r="AF9" i="59" s="1"/>
  <c r="AD9" i="59"/>
  <c r="AH10" i="59"/>
  <c r="AG10" i="59"/>
  <c r="AE10" i="59"/>
  <c r="AF10" i="59"/>
  <c r="AD10" i="59"/>
  <c r="M15" i="49"/>
  <c r="L15" i="49"/>
  <c r="K15" i="49"/>
  <c r="J15" i="49"/>
  <c r="I15" i="49"/>
  <c r="H15" i="49"/>
  <c r="G15" i="49"/>
  <c r="F15" i="49"/>
  <c r="E15" i="49"/>
  <c r="D15" i="49"/>
  <c r="C15" i="49"/>
  <c r="B15" i="49"/>
  <c r="AH11" i="59"/>
  <c r="AG11" i="59"/>
  <c r="AE11" i="59"/>
  <c r="AF11" i="59" s="1"/>
  <c r="AD11" i="59"/>
  <c r="L3" i="59"/>
  <c r="AH3" i="59"/>
  <c r="K3" i="59"/>
  <c r="AG3" i="59"/>
  <c r="J3" i="59"/>
  <c r="AE3" i="59" s="1"/>
  <c r="AF3" i="59" s="1"/>
  <c r="I3" i="59"/>
  <c r="AD3" i="59" s="1"/>
  <c r="AH12" i="59"/>
  <c r="AG12" i="59"/>
  <c r="AE12" i="59"/>
  <c r="AF12" i="59" s="1"/>
  <c r="AD12" i="59"/>
  <c r="AH13" i="59"/>
  <c r="AG13" i="59"/>
  <c r="AE13" i="59"/>
  <c r="AF13" i="59" s="1"/>
  <c r="AD13" i="59"/>
  <c r="Q28" i="59"/>
  <c r="F29" i="59" s="1"/>
  <c r="F30" i="59" s="1"/>
  <c r="Q29" i="59"/>
  <c r="Q30" i="59"/>
  <c r="J50" i="15"/>
  <c r="J51" i="15" s="1"/>
  <c r="D16" i="59"/>
  <c r="AH14" i="59"/>
  <c r="AG14" i="59"/>
  <c r="AE14" i="59"/>
  <c r="AF14" i="59" s="1"/>
  <c r="AD14" i="59"/>
  <c r="AE15" i="59"/>
  <c r="AF15" i="59"/>
  <c r="AG15" i="59"/>
  <c r="AH15" i="59"/>
  <c r="AD15" i="59"/>
  <c r="N16" i="59"/>
  <c r="Q16" i="59"/>
  <c r="P16" i="59"/>
  <c r="O16" i="59"/>
  <c r="L4" i="9"/>
  <c r="A30" i="51" s="1"/>
  <c r="M4" i="9"/>
  <c r="K59" i="15"/>
  <c r="P62" i="15" s="1"/>
  <c r="P75" i="15"/>
  <c r="Q74" i="44"/>
  <c r="Q61" i="44"/>
  <c r="Q60" i="44"/>
  <c r="Q53" i="44"/>
  <c r="J51" i="44"/>
  <c r="J52" i="44" s="1"/>
  <c r="M48" i="44"/>
  <c r="A16" i="55"/>
  <c r="A15" i="55"/>
  <c r="B66" i="63" s="1"/>
  <c r="A14" i="55"/>
  <c r="A11" i="55"/>
  <c r="A10" i="55"/>
  <c r="B61" i="63" s="1"/>
  <c r="A9" i="55"/>
  <c r="B60" i="63"/>
  <c r="A8" i="55"/>
  <c r="A6" i="54"/>
  <c r="A8" i="54"/>
  <c r="A7" i="54"/>
  <c r="A28" i="51"/>
  <c r="A27" i="51"/>
  <c r="B20" i="63" s="1"/>
  <c r="Q17" i="59"/>
  <c r="O17" i="59"/>
  <c r="N18" i="59"/>
  <c r="O18" i="59"/>
  <c r="P18" i="59"/>
  <c r="Q18" i="59"/>
  <c r="N17" i="59"/>
  <c r="P17" i="59"/>
  <c r="N19" i="59"/>
  <c r="B19" i="59" s="1"/>
  <c r="O19" i="59"/>
  <c r="C19" i="59" s="1"/>
  <c r="P19" i="59"/>
  <c r="E19" i="59" s="1"/>
  <c r="Q19" i="59"/>
  <c r="F19" i="59"/>
  <c r="F18" i="59" s="1"/>
  <c r="F17" i="59" s="1"/>
  <c r="K75" i="9"/>
  <c r="K6" i="4"/>
  <c r="O76" i="9" s="1"/>
  <c r="B22" i="31"/>
  <c r="E15" i="66"/>
  <c r="F15" i="66"/>
  <c r="E16" i="66"/>
  <c r="F16" i="66"/>
  <c r="E17" i="66"/>
  <c r="F17" i="66"/>
  <c r="E18" i="66"/>
  <c r="F18" i="66"/>
  <c r="E19" i="66"/>
  <c r="F19" i="66"/>
  <c r="E20" i="66"/>
  <c r="F20" i="66"/>
  <c r="E21" i="66"/>
  <c r="F21" i="66"/>
  <c r="E22" i="66"/>
  <c r="F22" i="66"/>
  <c r="E23" i="66"/>
  <c r="F23" i="66"/>
  <c r="B3" i="66"/>
  <c r="V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H30" i="59"/>
  <c r="AG30" i="59"/>
  <c r="AE30" i="59"/>
  <c r="AF30" i="59" s="1"/>
  <c r="AD30" i="59"/>
  <c r="AD31" i="59"/>
  <c r="AE31" i="59"/>
  <c r="AF31" i="59" s="1"/>
  <c r="AG31" i="59"/>
  <c r="AH31" i="59"/>
  <c r="S2" i="31"/>
  <c r="M2" i="31"/>
  <c r="N2" i="31"/>
  <c r="O2" i="31"/>
  <c r="P2" i="31"/>
  <c r="Q2" i="31"/>
  <c r="R2" i="31"/>
  <c r="C3" i="65"/>
  <c r="C1" i="65"/>
  <c r="N1" i="65"/>
  <c r="T15" i="59"/>
  <c r="B76" i="63"/>
  <c r="M5" i="54"/>
  <c r="A23" i="51"/>
  <c r="B17" i="63" s="1"/>
  <c r="Y12" i="46"/>
  <c r="AA9" i="46"/>
  <c r="AB9" i="46"/>
  <c r="AB10" i="46" s="1"/>
  <c r="AC9" i="46"/>
  <c r="AD9" i="46"/>
  <c r="AD10" i="46" s="1"/>
  <c r="AE9" i="46"/>
  <c r="AF9" i="46"/>
  <c r="AF10" i="46" s="1"/>
  <c r="AG9" i="46"/>
  <c r="AG10" i="46" s="1"/>
  <c r="AH9" i="46"/>
  <c r="AH10" i="46" s="1"/>
  <c r="AI9" i="46"/>
  <c r="AI12" i="46" s="1"/>
  <c r="AJ9" i="46"/>
  <c r="AJ10" i="46" s="1"/>
  <c r="Z9" i="46"/>
  <c r="Z10" i="46" s="1"/>
  <c r="AI10" i="46"/>
  <c r="AE10" i="46"/>
  <c r="AA10" i="46"/>
  <c r="Y10" i="46"/>
  <c r="Z12" i="46"/>
  <c r="AG12" i="46"/>
  <c r="AE12" i="46"/>
  <c r="AA12" i="46"/>
  <c r="A21" i="64"/>
  <c r="B75" i="63" s="1"/>
  <c r="B73" i="63"/>
  <c r="C57" i="10"/>
  <c r="A28" i="64"/>
  <c r="A27" i="64"/>
  <c r="A15" i="64"/>
  <c r="A14" i="64"/>
  <c r="A11" i="64"/>
  <c r="A3" i="64"/>
  <c r="A45" i="9"/>
  <c r="K40" i="9" s="1"/>
  <c r="A44" i="9"/>
  <c r="C56" i="10"/>
  <c r="C55" i="10"/>
  <c r="C54" i="10"/>
  <c r="B49" i="63"/>
  <c r="B44" i="63"/>
  <c r="B40" i="63"/>
  <c r="B30" i="63"/>
  <c r="B27" i="63"/>
  <c r="B25" i="63"/>
  <c r="A11" i="51"/>
  <c r="A26" i="64"/>
  <c r="A26" i="51"/>
  <c r="B19" i="63"/>
  <c r="K39" i="9"/>
  <c r="B58" i="63"/>
  <c r="B53" i="63"/>
  <c r="B51" i="63"/>
  <c r="A46" i="9"/>
  <c r="K41" i="9" s="1"/>
  <c r="B8" i="63"/>
  <c r="A21" i="55"/>
  <c r="B71" i="63"/>
  <c r="A20" i="55"/>
  <c r="B69" i="63" s="1"/>
  <c r="B26" i="63"/>
  <c r="B28" i="63"/>
  <c r="B29" i="63"/>
  <c r="B31" i="63"/>
  <c r="B33" i="63"/>
  <c r="B35" i="63"/>
  <c r="B36" i="63"/>
  <c r="B37" i="63"/>
  <c r="B63" i="63"/>
  <c r="B64" i="63"/>
  <c r="B68" i="63"/>
  <c r="D51" i="10"/>
  <c r="B59" i="63"/>
  <c r="B10" i="63"/>
  <c r="B51" i="10"/>
  <c r="A15" i="51"/>
  <c r="B12" i="63"/>
  <c r="A14" i="51"/>
  <c r="B11" i="63"/>
  <c r="A4" i="55"/>
  <c r="B57" i="63"/>
  <c r="B41" i="63"/>
  <c r="G5" i="54"/>
  <c r="B34" i="63" s="1"/>
  <c r="E5" i="54"/>
  <c r="B32" i="63" s="1"/>
  <c r="R2" i="54"/>
  <c r="B24" i="63" s="1"/>
  <c r="B49" i="50"/>
  <c r="B5" i="63" s="1"/>
  <c r="B40" i="50"/>
  <c r="B3" i="63" s="1"/>
  <c r="N4" i="63"/>
  <c r="B21" i="63"/>
  <c r="B67" i="63"/>
  <c r="I19" i="46"/>
  <c r="D80" i="59"/>
  <c r="F79" i="59"/>
  <c r="F78" i="59" s="1"/>
  <c r="F77" i="59" s="1"/>
  <c r="E79" i="59"/>
  <c r="E78" i="59" s="1"/>
  <c r="E77" i="59" s="1"/>
  <c r="C79" i="59"/>
  <c r="D79" i="59"/>
  <c r="B79" i="59"/>
  <c r="B78" i="59"/>
  <c r="B77" i="59" s="1"/>
  <c r="D76" i="59"/>
  <c r="F75" i="59"/>
  <c r="F74" i="59" s="1"/>
  <c r="F73" i="59" s="1"/>
  <c r="E75" i="59"/>
  <c r="E74" i="59" s="1"/>
  <c r="E73" i="59" s="1"/>
  <c r="C75" i="59"/>
  <c r="C74" i="59" s="1"/>
  <c r="D75" i="59"/>
  <c r="B75" i="59"/>
  <c r="B74" i="59" s="1"/>
  <c r="B73" i="59" s="1"/>
  <c r="D72" i="59"/>
  <c r="Q71" i="59"/>
  <c r="P71" i="59"/>
  <c r="O71" i="59"/>
  <c r="N71" i="59"/>
  <c r="F71" i="59"/>
  <c r="V71" i="59"/>
  <c r="E71" i="59"/>
  <c r="E70" i="59" s="1"/>
  <c r="E69" i="59" s="1"/>
  <c r="U71" i="59"/>
  <c r="C71" i="59"/>
  <c r="T71" i="59" s="1"/>
  <c r="B71" i="59"/>
  <c r="S71" i="59"/>
  <c r="Q70" i="59"/>
  <c r="P70" i="59"/>
  <c r="O70" i="59"/>
  <c r="N70" i="59"/>
  <c r="F70" i="59"/>
  <c r="F69" i="59"/>
  <c r="B70" i="59"/>
  <c r="B69" i="59"/>
  <c r="Q69" i="59"/>
  <c r="P69" i="59"/>
  <c r="O69" i="59"/>
  <c r="N69" i="59"/>
  <c r="Q68" i="59"/>
  <c r="P68" i="59"/>
  <c r="O68" i="59"/>
  <c r="N68" i="59"/>
  <c r="D68" i="59"/>
  <c r="Q67" i="59"/>
  <c r="P67" i="59"/>
  <c r="O67" i="59"/>
  <c r="N67" i="59"/>
  <c r="F67" i="59"/>
  <c r="V67" i="59" s="1"/>
  <c r="E67" i="59"/>
  <c r="U67" i="59" s="1"/>
  <c r="C67" i="59"/>
  <c r="T67" i="59" s="1"/>
  <c r="B67" i="59"/>
  <c r="S67" i="59" s="1"/>
  <c r="Q66" i="59"/>
  <c r="P66" i="59"/>
  <c r="O66" i="59"/>
  <c r="N66" i="59"/>
  <c r="F66" i="59"/>
  <c r="F65" i="59" s="1"/>
  <c r="B66" i="59"/>
  <c r="B65" i="59" s="1"/>
  <c r="Q65" i="59"/>
  <c r="P65" i="59"/>
  <c r="O65" i="59"/>
  <c r="N65" i="59"/>
  <c r="Q64" i="59"/>
  <c r="P64" i="59"/>
  <c r="O64" i="59"/>
  <c r="N64" i="59"/>
  <c r="D64" i="59"/>
  <c r="Q63" i="59"/>
  <c r="P63" i="59"/>
  <c r="O63" i="59"/>
  <c r="N63" i="59"/>
  <c r="F63" i="59"/>
  <c r="V63" i="59" s="1"/>
  <c r="E63" i="59"/>
  <c r="U63" i="59"/>
  <c r="C63" i="59"/>
  <c r="T63" i="59" s="1"/>
  <c r="B63" i="59"/>
  <c r="B62" i="59" s="1"/>
  <c r="B61" i="59" s="1"/>
  <c r="Q62" i="59"/>
  <c r="P62" i="59"/>
  <c r="O62" i="59"/>
  <c r="N62" i="59"/>
  <c r="Q61" i="59"/>
  <c r="P61" i="59"/>
  <c r="O61" i="59"/>
  <c r="N61" i="59"/>
  <c r="Q60" i="59"/>
  <c r="P60" i="59"/>
  <c r="O60" i="59"/>
  <c r="N60" i="59"/>
  <c r="D60" i="59"/>
  <c r="F59" i="59"/>
  <c r="E59" i="59"/>
  <c r="E58" i="59" s="1"/>
  <c r="C59" i="59"/>
  <c r="B59" i="59"/>
  <c r="N59" i="59" s="1"/>
  <c r="D56" i="59"/>
  <c r="Q55" i="59"/>
  <c r="P55" i="59"/>
  <c r="O55" i="59"/>
  <c r="N55" i="59"/>
  <c r="Q54" i="59"/>
  <c r="P54" i="59"/>
  <c r="O54" i="59"/>
  <c r="N54" i="59"/>
  <c r="Q53" i="59"/>
  <c r="P53" i="59"/>
  <c r="O53" i="59"/>
  <c r="N53" i="59"/>
  <c r="Q52" i="59"/>
  <c r="F53" i="59" s="1"/>
  <c r="P52" i="59"/>
  <c r="E53" i="59" s="1"/>
  <c r="E54" i="59" s="1"/>
  <c r="O52" i="59"/>
  <c r="C53" i="59"/>
  <c r="N52" i="59"/>
  <c r="B53" i="59"/>
  <c r="D52" i="59"/>
  <c r="Q51" i="59"/>
  <c r="P51" i="59"/>
  <c r="O51" i="59"/>
  <c r="N51" i="59"/>
  <c r="Q50" i="59"/>
  <c r="P50" i="59"/>
  <c r="O50" i="59"/>
  <c r="N50" i="59"/>
  <c r="Q49" i="59"/>
  <c r="P49" i="59"/>
  <c r="O49" i="59"/>
  <c r="N49" i="59"/>
  <c r="Q48" i="59"/>
  <c r="F49" i="59"/>
  <c r="F50" i="59" s="1"/>
  <c r="F51" i="59" s="1"/>
  <c r="V51" i="59" s="1"/>
  <c r="P48" i="59"/>
  <c r="E49" i="59" s="1"/>
  <c r="O48" i="59"/>
  <c r="C49" i="59" s="1"/>
  <c r="N48" i="59"/>
  <c r="B49" i="59" s="1"/>
  <c r="B50" i="59" s="1"/>
  <c r="B51" i="59" s="1"/>
  <c r="S51" i="59" s="1"/>
  <c r="D48" i="59"/>
  <c r="Q47" i="59"/>
  <c r="P47" i="59"/>
  <c r="O47" i="59"/>
  <c r="N47" i="59"/>
  <c r="Q46" i="59"/>
  <c r="P46" i="59"/>
  <c r="O46" i="59"/>
  <c r="N46" i="59"/>
  <c r="Q45" i="59"/>
  <c r="P45" i="59"/>
  <c r="O45" i="59"/>
  <c r="N45" i="59"/>
  <c r="Q44" i="59"/>
  <c r="F45" i="59" s="1"/>
  <c r="F46" i="59" s="1"/>
  <c r="P44" i="59"/>
  <c r="E45" i="59" s="1"/>
  <c r="O44" i="59"/>
  <c r="C45" i="59" s="1"/>
  <c r="N44" i="59"/>
  <c r="B45" i="59" s="1"/>
  <c r="B46" i="59" s="1"/>
  <c r="D44" i="59"/>
  <c r="Q43" i="59"/>
  <c r="P43" i="59"/>
  <c r="O43" i="59"/>
  <c r="N43" i="59"/>
  <c r="Q42" i="59"/>
  <c r="P42" i="59"/>
  <c r="O42" i="59"/>
  <c r="N42" i="59"/>
  <c r="Q41" i="59"/>
  <c r="P41" i="59"/>
  <c r="O41" i="59"/>
  <c r="N41" i="59"/>
  <c r="Q40" i="59"/>
  <c r="F41" i="59"/>
  <c r="F42" i="59" s="1"/>
  <c r="P40" i="59"/>
  <c r="E41" i="59" s="1"/>
  <c r="O40" i="59"/>
  <c r="C41" i="59" s="1"/>
  <c r="N40" i="59"/>
  <c r="B41" i="59" s="1"/>
  <c r="B42" i="59" s="1"/>
  <c r="B43" i="59" s="1"/>
  <c r="S43" i="59" s="1"/>
  <c r="D40" i="59"/>
  <c r="T39" i="59"/>
  <c r="Q39" i="59"/>
  <c r="P39" i="59"/>
  <c r="O39" i="59"/>
  <c r="N39" i="59"/>
  <c r="D39" i="59"/>
  <c r="Q38" i="59"/>
  <c r="P38" i="59"/>
  <c r="O38" i="59"/>
  <c r="N38" i="59"/>
  <c r="Q37" i="59"/>
  <c r="F38" i="59" s="1"/>
  <c r="F39" i="59" s="1"/>
  <c r="V39" i="59" s="1"/>
  <c r="P37" i="59"/>
  <c r="O37" i="59"/>
  <c r="N37" i="59"/>
  <c r="Q36" i="59"/>
  <c r="F37" i="59"/>
  <c r="P36" i="59"/>
  <c r="E37" i="59"/>
  <c r="E38" i="59" s="1"/>
  <c r="O36" i="59"/>
  <c r="C37" i="59" s="1"/>
  <c r="N36" i="59"/>
  <c r="B37" i="59" s="1"/>
  <c r="B38" i="59" s="1"/>
  <c r="B39" i="59" s="1"/>
  <c r="S39" i="59" s="1"/>
  <c r="D36" i="59"/>
  <c r="Q35" i="59"/>
  <c r="P35" i="59"/>
  <c r="O35" i="59"/>
  <c r="N35" i="59"/>
  <c r="Q34" i="59"/>
  <c r="P34" i="59"/>
  <c r="O34" i="59"/>
  <c r="N34" i="59"/>
  <c r="Q33" i="59"/>
  <c r="P33" i="59"/>
  <c r="O33" i="59"/>
  <c r="C34" i="59" s="1"/>
  <c r="N33" i="59"/>
  <c r="Q32" i="59"/>
  <c r="F33" i="59" s="1"/>
  <c r="P32" i="59"/>
  <c r="E33" i="59" s="1"/>
  <c r="E34" i="59" s="1"/>
  <c r="E35" i="59" s="1"/>
  <c r="U35" i="59" s="1"/>
  <c r="O32" i="59"/>
  <c r="C33" i="59"/>
  <c r="D33" i="59" s="1"/>
  <c r="N32" i="59"/>
  <c r="B33" i="59"/>
  <c r="B34" i="59" s="1"/>
  <c r="B35" i="59" s="1"/>
  <c r="S35" i="59" s="1"/>
  <c r="D32" i="59"/>
  <c r="Q31" i="59"/>
  <c r="P31" i="59"/>
  <c r="O31" i="59"/>
  <c r="N31" i="59"/>
  <c r="P30" i="59"/>
  <c r="O30" i="59"/>
  <c r="N30" i="59"/>
  <c r="P29" i="59"/>
  <c r="O29" i="59"/>
  <c r="N29" i="59"/>
  <c r="P28" i="59"/>
  <c r="E29" i="59" s="1"/>
  <c r="E30" i="59" s="1"/>
  <c r="E31" i="59" s="1"/>
  <c r="U31" i="59" s="1"/>
  <c r="O28" i="59"/>
  <c r="C29" i="59" s="1"/>
  <c r="N28" i="59"/>
  <c r="B29" i="59" s="1"/>
  <c r="B30" i="59" s="1"/>
  <c r="D28" i="59"/>
  <c r="Q27" i="59"/>
  <c r="P27" i="59"/>
  <c r="O27" i="59"/>
  <c r="N27" i="59"/>
  <c r="Q26" i="59"/>
  <c r="P26" i="59"/>
  <c r="O26" i="59"/>
  <c r="N26" i="59"/>
  <c r="Q25" i="59"/>
  <c r="P25" i="59"/>
  <c r="O25" i="59"/>
  <c r="N25" i="59"/>
  <c r="Q24" i="59"/>
  <c r="F25" i="59" s="1"/>
  <c r="F26" i="59" s="1"/>
  <c r="F27" i="59" s="1"/>
  <c r="V27" i="59" s="1"/>
  <c r="P24" i="59"/>
  <c r="E25" i="59" s="1"/>
  <c r="E26" i="59" s="1"/>
  <c r="O24" i="59"/>
  <c r="C25" i="59"/>
  <c r="C26" i="59" s="1"/>
  <c r="N24" i="59"/>
  <c r="B25" i="59"/>
  <c r="D24" i="59"/>
  <c r="Q23" i="59"/>
  <c r="P23" i="59"/>
  <c r="O23" i="59"/>
  <c r="N23" i="59"/>
  <c r="Q22" i="59"/>
  <c r="P22" i="59"/>
  <c r="AA3" i="59" s="1"/>
  <c r="O22" i="59"/>
  <c r="N22" i="59"/>
  <c r="Q21" i="59"/>
  <c r="P21" i="59"/>
  <c r="O21" i="59"/>
  <c r="N21" i="59"/>
  <c r="Q20" i="59"/>
  <c r="F21" i="59" s="1"/>
  <c r="F22" i="59" s="1"/>
  <c r="F23" i="59" s="1"/>
  <c r="V23" i="59" s="1"/>
  <c r="P20" i="59"/>
  <c r="O20" i="59"/>
  <c r="C21" i="59" s="1"/>
  <c r="N20" i="59"/>
  <c r="B21" i="59" s="1"/>
  <c r="B22" i="59" s="1"/>
  <c r="B23" i="59" s="1"/>
  <c r="S23" i="59" s="1"/>
  <c r="D20" i="59"/>
  <c r="E21" i="59"/>
  <c r="E22" i="59"/>
  <c r="E23" i="59" s="1"/>
  <c r="U23" i="59" s="1"/>
  <c r="T59" i="59"/>
  <c r="O59" i="59"/>
  <c r="D59" i="59"/>
  <c r="C58" i="59"/>
  <c r="C57" i="59" s="1"/>
  <c r="P59" i="59"/>
  <c r="U59" i="59"/>
  <c r="C62" i="59"/>
  <c r="C61" i="59" s="1"/>
  <c r="D61" i="59" s="1"/>
  <c r="E62" i="59"/>
  <c r="E61" i="59" s="1"/>
  <c r="D63" i="59"/>
  <c r="E66" i="59"/>
  <c r="E65" i="59"/>
  <c r="C70" i="59"/>
  <c r="D70" i="59" s="1"/>
  <c r="C78" i="59"/>
  <c r="U16" i="4"/>
  <c r="S16" i="4"/>
  <c r="Q16" i="4"/>
  <c r="O16" i="4"/>
  <c r="M16" i="4"/>
  <c r="K16" i="4"/>
  <c r="D78" i="59"/>
  <c r="C77" i="59"/>
  <c r="D77" i="59"/>
  <c r="D62" i="59"/>
  <c r="O58"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c r="F21" i="37"/>
  <c r="AA21" i="37" s="1"/>
  <c r="C21" i="37"/>
  <c r="D77" i="37"/>
  <c r="E77" i="37" s="1"/>
  <c r="F77" i="37" s="1"/>
  <c r="G77" i="37" s="1"/>
  <c r="Q21" i="34"/>
  <c r="Z21" i="34" s="1"/>
  <c r="C21" i="34"/>
  <c r="D84" i="34"/>
  <c r="E84" i="34" s="1"/>
  <c r="F84" i="34" s="1"/>
  <c r="G84" i="34" s="1"/>
  <c r="F21" i="34"/>
  <c r="Q21" i="33"/>
  <c r="Z21" i="33" s="1"/>
  <c r="C21" i="33"/>
  <c r="D83" i="33"/>
  <c r="E83" i="33"/>
  <c r="F83" i="33" s="1"/>
  <c r="G83" i="33" s="1"/>
  <c r="Q21" i="21"/>
  <c r="Z21" i="21" s="1"/>
  <c r="D83" i="21"/>
  <c r="E83" i="21"/>
  <c r="F83" i="21" s="1"/>
  <c r="G83" i="21" s="1"/>
  <c r="F21" i="21"/>
  <c r="AA21" i="21" s="1"/>
  <c r="C21" i="21"/>
  <c r="Q27" i="40"/>
  <c r="Z27" i="40" s="1"/>
  <c r="D96" i="40"/>
  <c r="E96" i="40" s="1"/>
  <c r="F27" i="40"/>
  <c r="AA27" i="40" s="1"/>
  <c r="Q31" i="39"/>
  <c r="Z31" i="39" s="1"/>
  <c r="D105" i="39"/>
  <c r="E105" i="39" s="1"/>
  <c r="F31" i="39"/>
  <c r="AA31" i="39" s="1"/>
  <c r="G20" i="20"/>
  <c r="B85" i="46" s="1"/>
  <c r="C22" i="20"/>
  <c r="B65" i="46" s="1"/>
  <c r="S18" i="36"/>
  <c r="S21" i="37"/>
  <c r="C27" i="40"/>
  <c r="B54" i="46"/>
  <c r="E66" i="36"/>
  <c r="H18" i="35"/>
  <c r="J18" i="35"/>
  <c r="H21" i="37"/>
  <c r="J21" i="37"/>
  <c r="J21" i="34"/>
  <c r="H21" i="34"/>
  <c r="F21" i="33"/>
  <c r="H21" i="33"/>
  <c r="J21" i="33"/>
  <c r="H21" i="21"/>
  <c r="J21" i="21"/>
  <c r="F96" i="40"/>
  <c r="H27" i="40"/>
  <c r="F105" i="39"/>
  <c r="H31" i="39"/>
  <c r="F23" i="15"/>
  <c r="D23" i="15" s="1"/>
  <c r="G17" i="11"/>
  <c r="F15" i="15"/>
  <c r="F17" i="15"/>
  <c r="F18" i="15"/>
  <c r="F20" i="15"/>
  <c r="F21" i="15"/>
  <c r="F33" i="15"/>
  <c r="F60" i="15" s="1"/>
  <c r="K2" i="4"/>
  <c r="K1" i="4"/>
  <c r="B1" i="4"/>
  <c r="B37" i="50" s="1"/>
  <c r="B2" i="63" s="1"/>
  <c r="C31" i="57"/>
  <c r="C32" i="57"/>
  <c r="E26" i="57" s="1"/>
  <c r="I23" i="57"/>
  <c r="D20" i="57"/>
  <c r="I19" i="57"/>
  <c r="I18" i="57"/>
  <c r="I17" i="57"/>
  <c r="I20" i="57" s="1"/>
  <c r="E15" i="57"/>
  <c r="I14" i="57"/>
  <c r="I13" i="57"/>
  <c r="I12" i="57"/>
  <c r="I9" i="57"/>
  <c r="I8" i="57"/>
  <c r="I7" i="57"/>
  <c r="I6" i="57"/>
  <c r="I5" i="57"/>
  <c r="I4" i="57"/>
  <c r="I3" i="57"/>
  <c r="I10" i="57" s="1"/>
  <c r="C30" i="57"/>
  <c r="C112" i="9"/>
  <c r="C7" i="11"/>
  <c r="F113" i="46"/>
  <c r="D99" i="46"/>
  <c r="D108" i="46"/>
  <c r="E99" i="46"/>
  <c r="E108" i="46" s="1"/>
  <c r="F99" i="46"/>
  <c r="F100" i="46" s="1"/>
  <c r="G99" i="46"/>
  <c r="G108" i="46" s="1"/>
  <c r="H99" i="46"/>
  <c r="H108" i="46" s="1"/>
  <c r="I99" i="46"/>
  <c r="I108" i="46" s="1"/>
  <c r="J99" i="46"/>
  <c r="J108" i="46"/>
  <c r="K99" i="46"/>
  <c r="K108" i="46" s="1"/>
  <c r="L99" i="46"/>
  <c r="L100" i="46" s="1"/>
  <c r="M99" i="46"/>
  <c r="M108" i="46" s="1"/>
  <c r="N99" i="46"/>
  <c r="N108" i="46" s="1"/>
  <c r="C99" i="46"/>
  <c r="C108" i="46" s="1"/>
  <c r="K58" i="46"/>
  <c r="J58" i="46" s="1"/>
  <c r="D58" i="46"/>
  <c r="K50" i="46"/>
  <c r="D77" i="46"/>
  <c r="B83" i="46"/>
  <c r="B82" i="46"/>
  <c r="B71" i="46"/>
  <c r="B60" i="46"/>
  <c r="B49" i="46"/>
  <c r="M87" i="46"/>
  <c r="N87" i="46" s="1"/>
  <c r="K87" i="46"/>
  <c r="J87" i="46" s="1"/>
  <c r="M86" i="46"/>
  <c r="N86" i="46" s="1"/>
  <c r="K86" i="46"/>
  <c r="D86" i="46"/>
  <c r="J86" i="46"/>
  <c r="M85" i="46"/>
  <c r="N85" i="46" s="1"/>
  <c r="D85" i="46"/>
  <c r="K85" i="46"/>
  <c r="J85" i="46" s="1"/>
  <c r="M84" i="46"/>
  <c r="N84" i="46" s="1"/>
  <c r="K84" i="46"/>
  <c r="J84" i="46"/>
  <c r="M83" i="46"/>
  <c r="N83" i="46" s="1"/>
  <c r="K83" i="46"/>
  <c r="D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s="1"/>
  <c r="M74" i="46"/>
  <c r="N74" i="46" s="1"/>
  <c r="K74" i="46"/>
  <c r="J74" i="46"/>
  <c r="D74" i="46"/>
  <c r="M73" i="46"/>
  <c r="N73" i="46" s="1"/>
  <c r="D73" i="46"/>
  <c r="K73" i="46"/>
  <c r="J73" i="46" s="1"/>
  <c r="M72" i="46"/>
  <c r="N72" i="46" s="1"/>
  <c r="K72" i="46"/>
  <c r="J72" i="46" s="1"/>
  <c r="D72" i="46"/>
  <c r="M71" i="46"/>
  <c r="N71" i="46"/>
  <c r="K71" i="46"/>
  <c r="J71" i="46" s="1"/>
  <c r="M70" i="46"/>
  <c r="N70" i="46" s="1"/>
  <c r="K70" i="46"/>
  <c r="J70" i="46" s="1"/>
  <c r="D70" i="46"/>
  <c r="M69" i="46"/>
  <c r="N69" i="46" s="1"/>
  <c r="K69" i="46"/>
  <c r="J69" i="46" s="1"/>
  <c r="M66" i="46"/>
  <c r="N66" i="46" s="1"/>
  <c r="K66" i="46"/>
  <c r="M65" i="46"/>
  <c r="N65" i="46" s="1"/>
  <c r="K65" i="46"/>
  <c r="J65" i="46"/>
  <c r="D65" i="46"/>
  <c r="M64" i="46"/>
  <c r="N64" i="46" s="1"/>
  <c r="K64" i="46"/>
  <c r="J64" i="46" s="1"/>
  <c r="D64" i="46"/>
  <c r="M63" i="46"/>
  <c r="N63" i="46"/>
  <c r="K63" i="46"/>
  <c r="J63" i="46" s="1"/>
  <c r="D63" i="46"/>
  <c r="M62" i="46"/>
  <c r="N62" i="46" s="1"/>
  <c r="K62" i="46"/>
  <c r="J62" i="46" s="1"/>
  <c r="D62" i="46"/>
  <c r="M61" i="46"/>
  <c r="N61" i="46"/>
  <c r="K61" i="46"/>
  <c r="J61" i="46"/>
  <c r="D61" i="46"/>
  <c r="M60" i="46"/>
  <c r="N60" i="46" s="1"/>
  <c r="K60" i="46"/>
  <c r="J60" i="46" s="1"/>
  <c r="D60" i="46"/>
  <c r="M59" i="46"/>
  <c r="N59" i="46" s="1"/>
  <c r="K59" i="46"/>
  <c r="J59" i="46"/>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c r="K51" i="46"/>
  <c r="J51" i="46"/>
  <c r="M50" i="46"/>
  <c r="N50" i="46" s="1"/>
  <c r="M49" i="46"/>
  <c r="N49" i="46" s="1"/>
  <c r="K49" i="46"/>
  <c r="J49" i="46" s="1"/>
  <c r="D49" i="46"/>
  <c r="M48" i="46"/>
  <c r="N48" i="46" s="1"/>
  <c r="K48" i="46"/>
  <c r="J48" i="46" s="1"/>
  <c r="D48" i="46"/>
  <c r="M47" i="46"/>
  <c r="N47" i="46"/>
  <c r="K47" i="46"/>
  <c r="J47" i="46" s="1"/>
  <c r="D47" i="46"/>
  <c r="D51" i="46"/>
  <c r="D55" i="46"/>
  <c r="D80" i="46"/>
  <c r="D75" i="46"/>
  <c r="J66"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c r="D10" i="1"/>
  <c r="B2" i="1"/>
  <c r="C42" i="1" s="1"/>
  <c r="A12" i="1"/>
  <c r="R12" i="1" s="1"/>
  <c r="A13" i="1"/>
  <c r="B13" i="1" s="1"/>
  <c r="E13" i="1" s="1"/>
  <c r="A7" i="1"/>
  <c r="A8" i="1"/>
  <c r="A9" i="1"/>
  <c r="A10" i="1"/>
  <c r="R10" i="1" s="1"/>
  <c r="A11" i="1"/>
  <c r="A6" i="1"/>
  <c r="T4" i="1"/>
  <c r="O12" i="1"/>
  <c r="O13" i="1"/>
  <c r="G79" i="36"/>
  <c r="G85" i="35"/>
  <c r="G97" i="37"/>
  <c r="G110" i="34"/>
  <c r="G109" i="33"/>
  <c r="L2" i="31"/>
  <c r="K2" i="31"/>
  <c r="J2" i="31"/>
  <c r="I2" i="31"/>
  <c r="H2" i="31"/>
  <c r="G2" i="31"/>
  <c r="F2" i="31"/>
  <c r="E2" i="31"/>
  <c r="D2" i="31"/>
  <c r="C2" i="31"/>
  <c r="D60" i="15"/>
  <c r="G19" i="20"/>
  <c r="B84" i="46" s="1"/>
  <c r="AX112" i="3"/>
  <c r="AW112" i="3"/>
  <c r="AV112" i="3"/>
  <c r="AC112" i="3"/>
  <c r="H112" i="3"/>
  <c r="G112" i="3"/>
  <c r="AX111" i="3"/>
  <c r="AW111" i="3"/>
  <c r="AV111" i="3"/>
  <c r="AC111" i="3"/>
  <c r="H111" i="3"/>
  <c r="G111" i="3" s="1"/>
  <c r="AX110" i="3"/>
  <c r="AW110" i="3"/>
  <c r="AV110" i="3"/>
  <c r="AC110" i="3"/>
  <c r="H110" i="3"/>
  <c r="G110" i="3"/>
  <c r="AX109" i="3"/>
  <c r="AW109" i="3"/>
  <c r="AV109" i="3"/>
  <c r="AC109" i="3"/>
  <c r="H109" i="3"/>
  <c r="G109" i="3" s="1"/>
  <c r="AX108" i="3"/>
  <c r="AW108" i="3"/>
  <c r="AV108" i="3"/>
  <c r="AC108" i="3"/>
  <c r="H108" i="3"/>
  <c r="G108" i="3"/>
  <c r="AX107" i="3"/>
  <c r="AW107" i="3"/>
  <c r="AV107" i="3"/>
  <c r="AC107" i="3"/>
  <c r="H107" i="3"/>
  <c r="G107" i="3" s="1"/>
  <c r="AX106" i="3"/>
  <c r="AW106" i="3"/>
  <c r="AV106" i="3"/>
  <c r="AC106" i="3"/>
  <c r="H106" i="3"/>
  <c r="G106" i="3"/>
  <c r="AX105" i="3"/>
  <c r="AW105" i="3"/>
  <c r="AV105" i="3"/>
  <c r="AC105" i="3"/>
  <c r="H105" i="3"/>
  <c r="G105" i="3" s="1"/>
  <c r="AX104" i="3"/>
  <c r="AW104" i="3"/>
  <c r="AV104" i="3"/>
  <c r="AC104" i="3"/>
  <c r="H104" i="3"/>
  <c r="G104" i="3"/>
  <c r="AX103" i="3"/>
  <c r="AW103" i="3"/>
  <c r="AV103" i="3"/>
  <c r="AC103" i="3"/>
  <c r="H103" i="3"/>
  <c r="G103" i="3" s="1"/>
  <c r="AX102" i="3"/>
  <c r="AW102" i="3"/>
  <c r="AV102" i="3"/>
  <c r="AC102" i="3"/>
  <c r="H102" i="3"/>
  <c r="G102" i="3"/>
  <c r="AX101" i="3"/>
  <c r="AW101" i="3"/>
  <c r="AV101" i="3"/>
  <c r="AC101" i="3"/>
  <c r="H101" i="3"/>
  <c r="G101" i="3" s="1"/>
  <c r="AX100" i="3"/>
  <c r="AW100" i="3"/>
  <c r="AV100" i="3"/>
  <c r="AC100" i="3"/>
  <c r="G100" i="3" s="1"/>
  <c r="H100" i="3"/>
  <c r="AX99" i="3"/>
  <c r="AW99" i="3"/>
  <c r="AV99" i="3"/>
  <c r="AC99" i="3"/>
  <c r="H99" i="3"/>
  <c r="G99" i="3" s="1"/>
  <c r="AX98" i="3"/>
  <c r="AW98" i="3"/>
  <c r="AV98" i="3"/>
  <c r="AC98" i="3"/>
  <c r="G98" i="3" s="1"/>
  <c r="H98" i="3"/>
  <c r="AX97" i="3"/>
  <c r="AW97" i="3"/>
  <c r="AV97" i="3"/>
  <c r="AC97" i="3"/>
  <c r="H97" i="3"/>
  <c r="G97" i="3" s="1"/>
  <c r="AX96" i="3"/>
  <c r="AW96" i="3"/>
  <c r="AV96" i="3"/>
  <c r="AC96" i="3"/>
  <c r="G96" i="3" s="1"/>
  <c r="H96" i="3"/>
  <c r="AX95" i="3"/>
  <c r="AW95" i="3"/>
  <c r="AV95" i="3"/>
  <c r="AC95" i="3"/>
  <c r="H95" i="3"/>
  <c r="G95" i="3" s="1"/>
  <c r="AX94" i="3"/>
  <c r="AW94" i="3"/>
  <c r="AV94" i="3"/>
  <c r="AC94" i="3"/>
  <c r="G94" i="3" s="1"/>
  <c r="H94" i="3"/>
  <c r="AX93" i="3"/>
  <c r="AW93" i="3"/>
  <c r="AV93" i="3"/>
  <c r="AC93" i="3"/>
  <c r="H93" i="3"/>
  <c r="G93" i="3" s="1"/>
  <c r="AX92" i="3"/>
  <c r="AW92" i="3"/>
  <c r="AV92" i="3"/>
  <c r="AC92" i="3"/>
  <c r="G92" i="3" s="1"/>
  <c r="H92" i="3"/>
  <c r="AX91" i="3"/>
  <c r="AW91" i="3"/>
  <c r="AV91" i="3"/>
  <c r="AC91" i="3"/>
  <c r="H91" i="3"/>
  <c r="G91" i="3" s="1"/>
  <c r="AX90" i="3"/>
  <c r="AW90" i="3"/>
  <c r="AV90" i="3"/>
  <c r="AC90" i="3"/>
  <c r="G90" i="3" s="1"/>
  <c r="H90" i="3"/>
  <c r="AX89" i="3"/>
  <c r="AW89" i="3"/>
  <c r="AV89" i="3"/>
  <c r="AC89" i="3"/>
  <c r="H89" i="3"/>
  <c r="G89" i="3" s="1"/>
  <c r="AX88" i="3"/>
  <c r="AW88" i="3"/>
  <c r="AV88" i="3"/>
  <c r="AC88" i="3"/>
  <c r="H88" i="3"/>
  <c r="G88" i="3" s="1"/>
  <c r="AX87" i="3"/>
  <c r="AW87" i="3"/>
  <c r="AV87" i="3"/>
  <c r="AC87" i="3"/>
  <c r="H87" i="3"/>
  <c r="G87" i="3" s="1"/>
  <c r="AX86" i="3"/>
  <c r="AW86" i="3"/>
  <c r="AV86" i="3"/>
  <c r="AC86" i="3"/>
  <c r="H86" i="3"/>
  <c r="G86" i="3" s="1"/>
  <c r="AX85" i="3"/>
  <c r="AW85" i="3"/>
  <c r="AV85" i="3"/>
  <c r="AC85" i="3"/>
  <c r="H85" i="3"/>
  <c r="G85" i="3" s="1"/>
  <c r="AX84" i="3"/>
  <c r="AW84" i="3"/>
  <c r="AV84" i="3"/>
  <c r="AC84" i="3"/>
  <c r="H84" i="3"/>
  <c r="G84" i="3" s="1"/>
  <c r="AX83" i="3"/>
  <c r="AW83" i="3"/>
  <c r="AV83" i="3"/>
  <c r="AC83" i="3"/>
  <c r="H83" i="3"/>
  <c r="G83" i="3" s="1"/>
  <c r="AX82" i="3"/>
  <c r="AW82" i="3"/>
  <c r="AV82" i="3"/>
  <c r="AC82" i="3"/>
  <c r="H82" i="3"/>
  <c r="G82" i="3" s="1"/>
  <c r="AX81" i="3"/>
  <c r="AW81" i="3"/>
  <c r="AV81" i="3"/>
  <c r="AC81" i="3"/>
  <c r="H81" i="3"/>
  <c r="G81" i="3" s="1"/>
  <c r="AX80" i="3"/>
  <c r="AW80" i="3"/>
  <c r="AV80" i="3"/>
  <c r="AC80" i="3"/>
  <c r="H80" i="3"/>
  <c r="G80" i="3" s="1"/>
  <c r="AX79" i="3"/>
  <c r="AW79" i="3"/>
  <c r="AV79" i="3"/>
  <c r="AC79" i="3"/>
  <c r="H79" i="3"/>
  <c r="G79" i="3" s="1"/>
  <c r="AX78" i="3"/>
  <c r="AW78" i="3"/>
  <c r="AV78" i="3"/>
  <c r="AC78" i="3"/>
  <c r="H78" i="3"/>
  <c r="G78" i="3" s="1"/>
  <c r="AX77" i="3"/>
  <c r="AW77" i="3"/>
  <c r="AV77" i="3"/>
  <c r="AC77" i="3"/>
  <c r="H77" i="3"/>
  <c r="G77" i="3" s="1"/>
  <c r="AX76" i="3"/>
  <c r="AW76" i="3"/>
  <c r="AV76" i="3"/>
  <c r="AC76" i="3"/>
  <c r="H76" i="3"/>
  <c r="G76" i="3" s="1"/>
  <c r="AX75" i="3"/>
  <c r="AW75" i="3"/>
  <c r="AV75" i="3"/>
  <c r="AC75" i="3"/>
  <c r="H75" i="3"/>
  <c r="G75" i="3" s="1"/>
  <c r="AX74" i="3"/>
  <c r="AW74" i="3"/>
  <c r="AV74" i="3"/>
  <c r="AC74" i="3"/>
  <c r="H74" i="3"/>
  <c r="G74" i="3" s="1"/>
  <c r="AX73" i="3"/>
  <c r="AW73" i="3"/>
  <c r="AV73" i="3"/>
  <c r="AC73" i="3"/>
  <c r="H73" i="3"/>
  <c r="G73" i="3" s="1"/>
  <c r="AX72" i="3"/>
  <c r="AW72" i="3"/>
  <c r="AV72" i="3"/>
  <c r="AC72" i="3"/>
  <c r="H72" i="3"/>
  <c r="G72" i="3" s="1"/>
  <c r="AX71" i="3"/>
  <c r="AW71" i="3"/>
  <c r="AV71" i="3"/>
  <c r="AC71" i="3"/>
  <c r="H71" i="3"/>
  <c r="G71" i="3" s="1"/>
  <c r="AX70" i="3"/>
  <c r="AW70" i="3"/>
  <c r="AV70" i="3"/>
  <c r="AC70" i="3"/>
  <c r="H70" i="3"/>
  <c r="G70" i="3" s="1"/>
  <c r="AX69" i="3"/>
  <c r="AW69" i="3"/>
  <c r="AV69" i="3"/>
  <c r="AC69" i="3"/>
  <c r="H69" i="3"/>
  <c r="G69" i="3" s="1"/>
  <c r="AX68" i="3"/>
  <c r="AW68" i="3"/>
  <c r="AV68" i="3"/>
  <c r="AC68" i="3"/>
  <c r="H68" i="3"/>
  <c r="G68" i="3" s="1"/>
  <c r="AX67" i="3"/>
  <c r="AW67" i="3"/>
  <c r="AV67" i="3"/>
  <c r="AC67" i="3"/>
  <c r="H67" i="3"/>
  <c r="G67" i="3" s="1"/>
  <c r="AX66" i="3"/>
  <c r="AW66" i="3"/>
  <c r="AV66" i="3"/>
  <c r="AC66" i="3"/>
  <c r="H66" i="3"/>
  <c r="G66" i="3" s="1"/>
  <c r="AX65" i="3"/>
  <c r="AW65" i="3"/>
  <c r="AV65" i="3"/>
  <c r="AC65" i="3"/>
  <c r="H65" i="3"/>
  <c r="G65" i="3" s="1"/>
  <c r="AX64" i="3"/>
  <c r="AW64" i="3"/>
  <c r="AV64" i="3"/>
  <c r="AC64" i="3"/>
  <c r="H64" i="3"/>
  <c r="G64" i="3" s="1"/>
  <c r="AX63" i="3"/>
  <c r="AW63" i="3"/>
  <c r="AV63" i="3"/>
  <c r="AC63" i="3"/>
  <c r="H63" i="3"/>
  <c r="G63" i="3" s="1"/>
  <c r="AX62" i="3"/>
  <c r="AW62" i="3"/>
  <c r="AV62" i="3"/>
  <c r="AC62" i="3"/>
  <c r="H62" i="3"/>
  <c r="G62" i="3" s="1"/>
  <c r="AX61" i="3"/>
  <c r="AW61" i="3"/>
  <c r="AV61" i="3"/>
  <c r="AC61" i="3"/>
  <c r="H61" i="3"/>
  <c r="G61" i="3" s="1"/>
  <c r="AX60" i="3"/>
  <c r="AW60" i="3"/>
  <c r="AV60" i="3"/>
  <c r="AC60" i="3"/>
  <c r="H60" i="3"/>
  <c r="G60" i="3" s="1"/>
  <c r="AX59" i="3"/>
  <c r="AW59" i="3"/>
  <c r="AV59" i="3"/>
  <c r="AC59" i="3"/>
  <c r="H59" i="3"/>
  <c r="G59" i="3" s="1"/>
  <c r="AX58" i="3"/>
  <c r="AW58" i="3"/>
  <c r="AV58" i="3"/>
  <c r="AC58" i="3"/>
  <c r="H58" i="3"/>
  <c r="G58" i="3" s="1"/>
  <c r="AX57" i="3"/>
  <c r="AW57" i="3"/>
  <c r="AV57" i="3"/>
  <c r="AC57" i="3"/>
  <c r="H57" i="3"/>
  <c r="G57" i="3" s="1"/>
  <c r="AX56" i="3"/>
  <c r="AW56" i="3"/>
  <c r="AV56" i="3"/>
  <c r="AC56" i="3"/>
  <c r="H56" i="3"/>
  <c r="G56" i="3" s="1"/>
  <c r="AX55" i="3"/>
  <c r="AW55" i="3"/>
  <c r="AV55" i="3"/>
  <c r="AC55" i="3"/>
  <c r="H55" i="3"/>
  <c r="G55" i="3" s="1"/>
  <c r="AX54" i="3"/>
  <c r="AW54" i="3"/>
  <c r="AV54" i="3"/>
  <c r="AC54" i="3"/>
  <c r="H54" i="3"/>
  <c r="G54" i="3" s="1"/>
  <c r="AX53" i="3"/>
  <c r="AW53" i="3"/>
  <c r="AV53" i="3"/>
  <c r="AC53" i="3"/>
  <c r="H53" i="3"/>
  <c r="G53" i="3" s="1"/>
  <c r="AX52" i="3"/>
  <c r="AW52" i="3"/>
  <c r="AV52" i="3"/>
  <c r="AC52" i="3"/>
  <c r="H52" i="3"/>
  <c r="G52" i="3" s="1"/>
  <c r="AX51" i="3"/>
  <c r="AW51" i="3"/>
  <c r="AV51" i="3"/>
  <c r="AC51" i="3"/>
  <c r="H51" i="3"/>
  <c r="G51" i="3" s="1"/>
  <c r="AX50" i="3"/>
  <c r="AW50" i="3"/>
  <c r="AV50" i="3"/>
  <c r="AC50" i="3"/>
  <c r="H50" i="3"/>
  <c r="G50" i="3" s="1"/>
  <c r="AX49" i="3"/>
  <c r="AW49" i="3"/>
  <c r="AV49" i="3"/>
  <c r="AC49" i="3"/>
  <c r="H49" i="3"/>
  <c r="G49" i="3" s="1"/>
  <c r="AX48" i="3"/>
  <c r="AW48" i="3"/>
  <c r="AV48" i="3"/>
  <c r="AC48" i="3"/>
  <c r="H48" i="3"/>
  <c r="G48" i="3" s="1"/>
  <c r="AX47" i="3"/>
  <c r="AW47" i="3"/>
  <c r="AV47" i="3"/>
  <c r="AC47" i="3"/>
  <c r="H47" i="3"/>
  <c r="G47" i="3" s="1"/>
  <c r="AX46" i="3"/>
  <c r="AW46" i="3"/>
  <c r="AV46" i="3"/>
  <c r="AC46" i="3"/>
  <c r="H46" i="3"/>
  <c r="G46" i="3" s="1"/>
  <c r="AX45" i="3"/>
  <c r="AW45" i="3"/>
  <c r="AV45" i="3"/>
  <c r="AC45" i="3"/>
  <c r="H45" i="3"/>
  <c r="G45" i="3" s="1"/>
  <c r="AX44" i="3"/>
  <c r="AW44" i="3"/>
  <c r="AV44" i="3"/>
  <c r="AC44" i="3"/>
  <c r="H44" i="3"/>
  <c r="G44" i="3" s="1"/>
  <c r="AX43" i="3"/>
  <c r="AW43" i="3"/>
  <c r="AV43" i="3"/>
  <c r="AC43" i="3"/>
  <c r="H43" i="3"/>
  <c r="G43" i="3" s="1"/>
  <c r="AX42" i="3"/>
  <c r="AW42" i="3"/>
  <c r="AV42" i="3"/>
  <c r="AC42" i="3"/>
  <c r="H42" i="3"/>
  <c r="G42" i="3" s="1"/>
  <c r="AX41" i="3"/>
  <c r="AW41" i="3"/>
  <c r="AV41" i="3"/>
  <c r="AC41" i="3"/>
  <c r="H41" i="3"/>
  <c r="G41" i="3" s="1"/>
  <c r="AX40" i="3"/>
  <c r="AW40" i="3"/>
  <c r="AV40" i="3"/>
  <c r="AC40" i="3"/>
  <c r="H40" i="3"/>
  <c r="G40" i="3" s="1"/>
  <c r="AX39" i="3"/>
  <c r="AW39" i="3"/>
  <c r="AV39" i="3"/>
  <c r="AC39" i="3"/>
  <c r="H39" i="3"/>
  <c r="G39" i="3" s="1"/>
  <c r="AX38" i="3"/>
  <c r="AW38" i="3"/>
  <c r="AV38" i="3"/>
  <c r="AC38" i="3"/>
  <c r="H38" i="3"/>
  <c r="G38" i="3" s="1"/>
  <c r="AX37" i="3"/>
  <c r="AW37" i="3"/>
  <c r="AV37" i="3"/>
  <c r="AC37" i="3"/>
  <c r="H37" i="3"/>
  <c r="G37" i="3" s="1"/>
  <c r="AX36" i="3"/>
  <c r="AW36" i="3"/>
  <c r="AV36" i="3"/>
  <c r="AC36" i="3"/>
  <c r="H36" i="3"/>
  <c r="G36" i="3" s="1"/>
  <c r="AX35" i="3"/>
  <c r="AW35" i="3"/>
  <c r="AV35" i="3"/>
  <c r="AC35" i="3"/>
  <c r="H35" i="3"/>
  <c r="G35" i="3" s="1"/>
  <c r="AX34" i="3"/>
  <c r="AW34" i="3"/>
  <c r="AV34" i="3"/>
  <c r="AC34" i="3"/>
  <c r="H34" i="3"/>
  <c r="G34" i="3" s="1"/>
  <c r="AX33" i="3"/>
  <c r="AW33" i="3"/>
  <c r="AV33" i="3"/>
  <c r="AC33" i="3"/>
  <c r="H33" i="3"/>
  <c r="G33" i="3" s="1"/>
  <c r="AX32" i="3"/>
  <c r="AW32" i="3"/>
  <c r="AV32" i="3"/>
  <c r="AC32" i="3"/>
  <c r="H32" i="3"/>
  <c r="G32" i="3" s="1"/>
  <c r="AX31" i="3"/>
  <c r="AW31" i="3"/>
  <c r="AV31" i="3"/>
  <c r="AC31" i="3"/>
  <c r="H31" i="3"/>
  <c r="G31" i="3" s="1"/>
  <c r="AX30" i="3"/>
  <c r="AW30" i="3"/>
  <c r="AV30" i="3"/>
  <c r="AC30" i="3"/>
  <c r="H30" i="3"/>
  <c r="G30" i="3" s="1"/>
  <c r="AX29" i="3"/>
  <c r="AW29" i="3"/>
  <c r="AV29" i="3"/>
  <c r="AC29" i="3"/>
  <c r="H29" i="3"/>
  <c r="G29" i="3" s="1"/>
  <c r="AX28" i="3"/>
  <c r="AW28" i="3"/>
  <c r="AV28" i="3"/>
  <c r="AC28" i="3"/>
  <c r="H28" i="3"/>
  <c r="G28" i="3" s="1"/>
  <c r="AX27" i="3"/>
  <c r="AW27" i="3"/>
  <c r="AV27" i="3"/>
  <c r="AC27" i="3"/>
  <c r="H27" i="3"/>
  <c r="G27" i="3" s="1"/>
  <c r="AX26" i="3"/>
  <c r="AW26" i="3"/>
  <c r="AV26" i="3"/>
  <c r="AC26" i="3"/>
  <c r="H26" i="3"/>
  <c r="G26" i="3" s="1"/>
  <c r="AX25" i="3"/>
  <c r="AW25" i="3"/>
  <c r="AV25" i="3"/>
  <c r="AC25" i="3"/>
  <c r="H25" i="3"/>
  <c r="G25" i="3" s="1"/>
  <c r="AX24" i="3"/>
  <c r="AW24" i="3"/>
  <c r="AV24" i="3"/>
  <c r="AC24" i="3"/>
  <c r="H24" i="3"/>
  <c r="G24" i="3" s="1"/>
  <c r="AX23" i="3"/>
  <c r="AW23" i="3"/>
  <c r="AV23" i="3"/>
  <c r="AC23" i="3"/>
  <c r="H23" i="3"/>
  <c r="G23" i="3" s="1"/>
  <c r="AX22" i="3"/>
  <c r="AW22" i="3"/>
  <c r="AV22" i="3"/>
  <c r="AC22" i="3"/>
  <c r="H22" i="3"/>
  <c r="G22" i="3" s="1"/>
  <c r="AX21" i="3"/>
  <c r="AW21" i="3"/>
  <c r="AV21" i="3"/>
  <c r="AC21" i="3"/>
  <c r="H21" i="3"/>
  <c r="G21" i="3" s="1"/>
  <c r="AX204" i="3"/>
  <c r="AW204" i="3"/>
  <c r="AV204" i="3"/>
  <c r="AC204" i="3"/>
  <c r="H204" i="3"/>
  <c r="G204" i="3" s="1"/>
  <c r="AX203" i="3"/>
  <c r="AW203" i="3"/>
  <c r="AV203" i="3"/>
  <c r="AC203" i="3"/>
  <c r="H203" i="3"/>
  <c r="G203" i="3" s="1"/>
  <c r="AX202" i="3"/>
  <c r="AW202" i="3"/>
  <c r="AV202" i="3"/>
  <c r="AC202" i="3"/>
  <c r="H202" i="3"/>
  <c r="G202" i="3" s="1"/>
  <c r="AX201" i="3"/>
  <c r="AW201" i="3"/>
  <c r="AV201" i="3"/>
  <c r="AC201" i="3"/>
  <c r="H201" i="3"/>
  <c r="G201" i="3" s="1"/>
  <c r="AX200" i="3"/>
  <c r="AW200" i="3"/>
  <c r="AV200" i="3"/>
  <c r="AC200" i="3"/>
  <c r="H200" i="3"/>
  <c r="G200" i="3" s="1"/>
  <c r="AX199" i="3"/>
  <c r="AW199" i="3"/>
  <c r="AV199" i="3"/>
  <c r="AC199" i="3"/>
  <c r="H199" i="3"/>
  <c r="G199" i="3" s="1"/>
  <c r="AX198" i="3"/>
  <c r="AW198" i="3"/>
  <c r="AV198" i="3"/>
  <c r="AC198" i="3"/>
  <c r="H198" i="3"/>
  <c r="AX197" i="3"/>
  <c r="AW197" i="3"/>
  <c r="AV197" i="3"/>
  <c r="AC197" i="3"/>
  <c r="H197" i="3"/>
  <c r="AX196" i="3"/>
  <c r="AW196" i="3"/>
  <c r="AV196" i="3"/>
  <c r="AC196" i="3"/>
  <c r="H196" i="3"/>
  <c r="AX195" i="3"/>
  <c r="AW195" i="3"/>
  <c r="AV195" i="3"/>
  <c r="AC195" i="3"/>
  <c r="H195" i="3"/>
  <c r="AX194" i="3"/>
  <c r="AW194" i="3"/>
  <c r="AV194" i="3"/>
  <c r="AC194" i="3"/>
  <c r="H194" i="3"/>
  <c r="AX193" i="3"/>
  <c r="AW193" i="3"/>
  <c r="AV193" i="3"/>
  <c r="AC193" i="3"/>
  <c r="H193" i="3"/>
  <c r="G193" i="3" s="1"/>
  <c r="AX192" i="3"/>
  <c r="AW192" i="3"/>
  <c r="AV192" i="3"/>
  <c r="AC192" i="3"/>
  <c r="G192" i="3" s="1"/>
  <c r="H192" i="3"/>
  <c r="AX191" i="3"/>
  <c r="AW191" i="3"/>
  <c r="AV191" i="3"/>
  <c r="AC191" i="3"/>
  <c r="H191" i="3"/>
  <c r="G191" i="3" s="1"/>
  <c r="AX190" i="3"/>
  <c r="AW190" i="3"/>
  <c r="AV190" i="3"/>
  <c r="AC190" i="3"/>
  <c r="H190" i="3"/>
  <c r="AX189" i="3"/>
  <c r="AW189" i="3"/>
  <c r="AV189" i="3"/>
  <c r="AC189" i="3"/>
  <c r="H189" i="3"/>
  <c r="AX188" i="3"/>
  <c r="AW188" i="3"/>
  <c r="AV188" i="3"/>
  <c r="AC188" i="3"/>
  <c r="H188" i="3"/>
  <c r="AX187" i="3"/>
  <c r="AW187" i="3"/>
  <c r="AV187" i="3"/>
  <c r="AC187" i="3"/>
  <c r="H187" i="3"/>
  <c r="AX186" i="3"/>
  <c r="AW186" i="3"/>
  <c r="AV186" i="3"/>
  <c r="AC186" i="3"/>
  <c r="H186" i="3"/>
  <c r="AX185" i="3"/>
  <c r="AW185" i="3"/>
  <c r="AV185" i="3"/>
  <c r="AC185" i="3"/>
  <c r="H185" i="3"/>
  <c r="G185" i="3" s="1"/>
  <c r="AX184" i="3"/>
  <c r="AW184" i="3"/>
  <c r="AV184" i="3"/>
  <c r="AC184" i="3"/>
  <c r="H184" i="3"/>
  <c r="G184" i="3" s="1"/>
  <c r="AX183" i="3"/>
  <c r="AW183" i="3"/>
  <c r="AV183" i="3"/>
  <c r="AC183" i="3"/>
  <c r="H183" i="3"/>
  <c r="G183" i="3" s="1"/>
  <c r="AX182" i="3"/>
  <c r="AW182" i="3"/>
  <c r="AV182" i="3"/>
  <c r="AC182" i="3"/>
  <c r="H182" i="3"/>
  <c r="AX181" i="3"/>
  <c r="AW181" i="3"/>
  <c r="AV181" i="3"/>
  <c r="AC181" i="3"/>
  <c r="H181" i="3"/>
  <c r="AX180" i="3"/>
  <c r="AW180" i="3"/>
  <c r="AV180" i="3"/>
  <c r="AC180" i="3"/>
  <c r="H180" i="3"/>
  <c r="AX179" i="3"/>
  <c r="AW179" i="3"/>
  <c r="AV179" i="3"/>
  <c r="AC179" i="3"/>
  <c r="H179" i="3"/>
  <c r="G179" i="3"/>
  <c r="AX178" i="3"/>
  <c r="AW178" i="3"/>
  <c r="AV178" i="3"/>
  <c r="AC178" i="3"/>
  <c r="H178" i="3"/>
  <c r="G178" i="3" s="1"/>
  <c r="AX177" i="3"/>
  <c r="AW177" i="3"/>
  <c r="AV177" i="3"/>
  <c r="AC177" i="3"/>
  <c r="H177" i="3"/>
  <c r="G177" i="3"/>
  <c r="AX176" i="3"/>
  <c r="AW176" i="3"/>
  <c r="AV176" i="3"/>
  <c r="AC176" i="3"/>
  <c r="H176" i="3"/>
  <c r="G176" i="3" s="1"/>
  <c r="AX175" i="3"/>
  <c r="AW175" i="3"/>
  <c r="AV175" i="3"/>
  <c r="AC175" i="3"/>
  <c r="H175" i="3"/>
  <c r="AX174" i="3"/>
  <c r="AW174" i="3"/>
  <c r="AV174" i="3"/>
  <c r="AC174" i="3"/>
  <c r="H174" i="3"/>
  <c r="AX173" i="3"/>
  <c r="AW173" i="3"/>
  <c r="AV173" i="3"/>
  <c r="AC173" i="3"/>
  <c r="H173" i="3"/>
  <c r="AX172" i="3"/>
  <c r="AW172" i="3"/>
  <c r="AV172" i="3"/>
  <c r="AC172" i="3"/>
  <c r="H172" i="3"/>
  <c r="G172" i="3" s="1"/>
  <c r="AX171" i="3"/>
  <c r="AW171" i="3"/>
  <c r="AV171" i="3"/>
  <c r="AC171" i="3"/>
  <c r="H171" i="3"/>
  <c r="AX170" i="3"/>
  <c r="AW170" i="3"/>
  <c r="AV170" i="3"/>
  <c r="AC170" i="3"/>
  <c r="H170" i="3"/>
  <c r="G170" i="3" s="1"/>
  <c r="AX169" i="3"/>
  <c r="AW169" i="3"/>
  <c r="AV169" i="3"/>
  <c r="AC169" i="3"/>
  <c r="H169" i="3"/>
  <c r="G169" i="3" s="1"/>
  <c r="AX168" i="3"/>
  <c r="AW168" i="3"/>
  <c r="AV168" i="3"/>
  <c r="AC168" i="3"/>
  <c r="H168" i="3"/>
  <c r="G168" i="3" s="1"/>
  <c r="AX167" i="3"/>
  <c r="AW167" i="3"/>
  <c r="AV167" i="3"/>
  <c r="AC167" i="3"/>
  <c r="H167" i="3"/>
  <c r="AX166" i="3"/>
  <c r="AW166" i="3"/>
  <c r="AV166" i="3"/>
  <c r="AC166" i="3"/>
  <c r="H166" i="3"/>
  <c r="AX165" i="3"/>
  <c r="AW165" i="3"/>
  <c r="AV165" i="3"/>
  <c r="AC165" i="3"/>
  <c r="H165" i="3"/>
  <c r="AX164" i="3"/>
  <c r="AW164" i="3"/>
  <c r="AV164" i="3"/>
  <c r="AC164" i="3"/>
  <c r="H164" i="3"/>
  <c r="AX163" i="3"/>
  <c r="AW163" i="3"/>
  <c r="AV163" i="3"/>
  <c r="AC163" i="3"/>
  <c r="H163" i="3"/>
  <c r="AX162" i="3"/>
  <c r="AW162" i="3"/>
  <c r="AV162" i="3"/>
  <c r="AC162" i="3"/>
  <c r="H162" i="3"/>
  <c r="G162" i="3" s="1"/>
  <c r="AX161" i="3"/>
  <c r="AW161" i="3"/>
  <c r="AV161" i="3"/>
  <c r="AC161" i="3"/>
  <c r="G161" i="3" s="1"/>
  <c r="H161" i="3"/>
  <c r="AX160" i="3"/>
  <c r="AW160" i="3"/>
  <c r="AV160" i="3"/>
  <c r="AC160" i="3"/>
  <c r="H160" i="3"/>
  <c r="G160" i="3" s="1"/>
  <c r="AX159" i="3"/>
  <c r="AW159" i="3"/>
  <c r="AV159" i="3"/>
  <c r="AC159" i="3"/>
  <c r="H159" i="3"/>
  <c r="AX158" i="3"/>
  <c r="AW158" i="3"/>
  <c r="AV158" i="3"/>
  <c r="AC158" i="3"/>
  <c r="H158" i="3"/>
  <c r="AX157" i="3"/>
  <c r="AW157" i="3"/>
  <c r="AV157" i="3"/>
  <c r="AC157" i="3"/>
  <c r="H157" i="3"/>
  <c r="AX156" i="3"/>
  <c r="AW156" i="3"/>
  <c r="AV156" i="3"/>
  <c r="AC156" i="3"/>
  <c r="H156" i="3"/>
  <c r="AX155" i="3"/>
  <c r="AW155" i="3"/>
  <c r="AV155" i="3"/>
  <c r="AC155" i="3"/>
  <c r="H155" i="3"/>
  <c r="AX154" i="3"/>
  <c r="AW154" i="3"/>
  <c r="AV154" i="3"/>
  <c r="AC154" i="3"/>
  <c r="H154" i="3"/>
  <c r="G154" i="3" s="1"/>
  <c r="AX153" i="3"/>
  <c r="AW153" i="3"/>
  <c r="AV153" i="3"/>
  <c r="AC153" i="3"/>
  <c r="H153" i="3"/>
  <c r="G153" i="3" s="1"/>
  <c r="AX152" i="3"/>
  <c r="AW152" i="3"/>
  <c r="AV152" i="3"/>
  <c r="AC152" i="3"/>
  <c r="H152" i="3"/>
  <c r="G152" i="3" s="1"/>
  <c r="AX151" i="3"/>
  <c r="AW151" i="3"/>
  <c r="AV151" i="3"/>
  <c r="AC151" i="3"/>
  <c r="H151" i="3"/>
  <c r="G151" i="3" s="1"/>
  <c r="AX150" i="3"/>
  <c r="AW150" i="3"/>
  <c r="AV150" i="3"/>
  <c r="AC150" i="3"/>
  <c r="H150" i="3"/>
  <c r="G150" i="3" s="1"/>
  <c r="AX149" i="3"/>
  <c r="AW149" i="3"/>
  <c r="AV149" i="3"/>
  <c r="AC149" i="3"/>
  <c r="H149" i="3"/>
  <c r="G149" i="3" s="1"/>
  <c r="AX148" i="3"/>
  <c r="AW148" i="3"/>
  <c r="AV148" i="3"/>
  <c r="AC148" i="3"/>
  <c r="H148" i="3"/>
  <c r="AX147" i="3"/>
  <c r="AW147" i="3"/>
  <c r="AV147" i="3"/>
  <c r="AC147" i="3"/>
  <c r="H147" i="3"/>
  <c r="AX146" i="3"/>
  <c r="AW146" i="3"/>
  <c r="AV146" i="3"/>
  <c r="AC146" i="3"/>
  <c r="H146" i="3"/>
  <c r="G146" i="3" s="1"/>
  <c r="AX145" i="3"/>
  <c r="AW145" i="3"/>
  <c r="AV145" i="3"/>
  <c r="AC145" i="3"/>
  <c r="H145" i="3"/>
  <c r="G145" i="3" s="1"/>
  <c r="AX144" i="3"/>
  <c r="AW144" i="3"/>
  <c r="AV144" i="3"/>
  <c r="AC144" i="3"/>
  <c r="H144" i="3"/>
  <c r="AX143" i="3"/>
  <c r="AW143" i="3"/>
  <c r="AV143" i="3"/>
  <c r="AC143" i="3"/>
  <c r="H143" i="3"/>
  <c r="G143" i="3" s="1"/>
  <c r="AX142" i="3"/>
  <c r="AW142" i="3"/>
  <c r="AV142" i="3"/>
  <c r="AC142" i="3"/>
  <c r="H142" i="3"/>
  <c r="G142" i="3"/>
  <c r="AX141" i="3"/>
  <c r="AW141" i="3"/>
  <c r="AV141" i="3"/>
  <c r="AC141" i="3"/>
  <c r="H141" i="3"/>
  <c r="G141" i="3" s="1"/>
  <c r="AX140" i="3"/>
  <c r="AW140" i="3"/>
  <c r="AV140" i="3"/>
  <c r="AC140" i="3"/>
  <c r="H140" i="3"/>
  <c r="AX139" i="3"/>
  <c r="AW139" i="3"/>
  <c r="AV139" i="3"/>
  <c r="AC139" i="3"/>
  <c r="H139" i="3"/>
  <c r="G139" i="3" s="1"/>
  <c r="AX138" i="3"/>
  <c r="AW138" i="3"/>
  <c r="AV138" i="3"/>
  <c r="AC138" i="3"/>
  <c r="H138" i="3"/>
  <c r="AX137" i="3"/>
  <c r="AW137" i="3"/>
  <c r="AV137" i="3"/>
  <c r="AC137" i="3"/>
  <c r="H137" i="3"/>
  <c r="G137" i="3" s="1"/>
  <c r="AX136" i="3"/>
  <c r="AW136" i="3"/>
  <c r="AV136" i="3"/>
  <c r="AC136" i="3"/>
  <c r="H136" i="3"/>
  <c r="AX135" i="3"/>
  <c r="AW135" i="3"/>
  <c r="AV135" i="3"/>
  <c r="AC135" i="3"/>
  <c r="H135" i="3"/>
  <c r="G135" i="3" s="1"/>
  <c r="AX134" i="3"/>
  <c r="AW134" i="3"/>
  <c r="AV134" i="3"/>
  <c r="AC134" i="3"/>
  <c r="H134" i="3"/>
  <c r="G134" i="3"/>
  <c r="AX133" i="3"/>
  <c r="AW133" i="3"/>
  <c r="AV133" i="3"/>
  <c r="AC133" i="3"/>
  <c r="H133" i="3"/>
  <c r="G133" i="3" s="1"/>
  <c r="AX132" i="3"/>
  <c r="AW132" i="3"/>
  <c r="AV132" i="3"/>
  <c r="AC132" i="3"/>
  <c r="H132" i="3"/>
  <c r="AX131" i="3"/>
  <c r="AW131" i="3"/>
  <c r="AV131" i="3"/>
  <c r="AC131" i="3"/>
  <c r="H131" i="3"/>
  <c r="AX130" i="3"/>
  <c r="AW130" i="3"/>
  <c r="AV130" i="3"/>
  <c r="AC130" i="3"/>
  <c r="H130" i="3"/>
  <c r="G130" i="3" s="1"/>
  <c r="AX129" i="3"/>
  <c r="AW129" i="3"/>
  <c r="AV129" i="3"/>
  <c r="AC129" i="3"/>
  <c r="H129" i="3"/>
  <c r="AX128" i="3"/>
  <c r="AW128" i="3"/>
  <c r="AV128" i="3"/>
  <c r="AC128" i="3"/>
  <c r="H128" i="3"/>
  <c r="AX127" i="3"/>
  <c r="AW127" i="3"/>
  <c r="AV127" i="3"/>
  <c r="AC127" i="3"/>
  <c r="H127" i="3"/>
  <c r="G127" i="3" s="1"/>
  <c r="AX126" i="3"/>
  <c r="AW126" i="3"/>
  <c r="AV126" i="3"/>
  <c r="AC126" i="3"/>
  <c r="H126" i="3"/>
  <c r="G126" i="3"/>
  <c r="AX125" i="3"/>
  <c r="AW125" i="3"/>
  <c r="AV125" i="3"/>
  <c r="AC125" i="3"/>
  <c r="H125" i="3"/>
  <c r="G125" i="3" s="1"/>
  <c r="AX124" i="3"/>
  <c r="AW124" i="3"/>
  <c r="AV124" i="3"/>
  <c r="AC124" i="3"/>
  <c r="H124" i="3"/>
  <c r="AX123" i="3"/>
  <c r="AW123" i="3"/>
  <c r="AV123" i="3"/>
  <c r="AC123" i="3"/>
  <c r="H123" i="3"/>
  <c r="AX122" i="3"/>
  <c r="AW122" i="3"/>
  <c r="AV122" i="3"/>
  <c r="AC122" i="3"/>
  <c r="H122" i="3"/>
  <c r="AX121" i="3"/>
  <c r="AW121" i="3"/>
  <c r="AV121" i="3"/>
  <c r="AC121" i="3"/>
  <c r="H121" i="3"/>
  <c r="G121" i="3" s="1"/>
  <c r="AX120" i="3"/>
  <c r="AW120" i="3"/>
  <c r="AV120" i="3"/>
  <c r="AC120" i="3"/>
  <c r="H120" i="3"/>
  <c r="AX119" i="3"/>
  <c r="AW119" i="3"/>
  <c r="AV119" i="3"/>
  <c r="AC119" i="3"/>
  <c r="H119" i="3"/>
  <c r="G119" i="3" s="1"/>
  <c r="AX118" i="3"/>
  <c r="AW118" i="3"/>
  <c r="AV118" i="3"/>
  <c r="AC118" i="3"/>
  <c r="H118" i="3"/>
  <c r="G118" i="3" s="1"/>
  <c r="AX117" i="3"/>
  <c r="AW117" i="3"/>
  <c r="AV117" i="3"/>
  <c r="AC117" i="3"/>
  <c r="H117" i="3"/>
  <c r="G117" i="3" s="1"/>
  <c r="AX116" i="3"/>
  <c r="AW116" i="3"/>
  <c r="AV116" i="3"/>
  <c r="AC116" i="3"/>
  <c r="H116" i="3"/>
  <c r="AX115" i="3"/>
  <c r="AW115" i="3"/>
  <c r="AV115" i="3"/>
  <c r="AC115" i="3"/>
  <c r="H115" i="3"/>
  <c r="AX114" i="3"/>
  <c r="AW114" i="3"/>
  <c r="AV114" i="3"/>
  <c r="AC114" i="3"/>
  <c r="H114" i="3"/>
  <c r="AX113" i="3"/>
  <c r="AW113" i="3"/>
  <c r="AV113" i="3"/>
  <c r="AC113" i="3"/>
  <c r="H113" i="3"/>
  <c r="AX296" i="3"/>
  <c r="AW296" i="3"/>
  <c r="AV296" i="3"/>
  <c r="AC296" i="3"/>
  <c r="H296" i="3"/>
  <c r="G296" i="3" s="1"/>
  <c r="AX295" i="3"/>
  <c r="AW295" i="3"/>
  <c r="AV295" i="3"/>
  <c r="AC295" i="3"/>
  <c r="H295" i="3"/>
  <c r="AX294" i="3"/>
  <c r="AW294" i="3"/>
  <c r="AV294" i="3"/>
  <c r="AC294" i="3"/>
  <c r="H294" i="3"/>
  <c r="G294" i="3" s="1"/>
  <c r="AX293" i="3"/>
  <c r="AW293" i="3"/>
  <c r="AV293" i="3"/>
  <c r="AC293" i="3"/>
  <c r="H293" i="3"/>
  <c r="G293" i="3" s="1"/>
  <c r="AX292" i="3"/>
  <c r="AW292" i="3"/>
  <c r="AV292" i="3"/>
  <c r="AC292" i="3"/>
  <c r="H292" i="3"/>
  <c r="G292" i="3" s="1"/>
  <c r="AX291" i="3"/>
  <c r="AW291" i="3"/>
  <c r="AV291" i="3"/>
  <c r="AC291" i="3"/>
  <c r="H291" i="3"/>
  <c r="AX290" i="3"/>
  <c r="AW290" i="3"/>
  <c r="AV290" i="3"/>
  <c r="AC290" i="3"/>
  <c r="H290" i="3"/>
  <c r="AX289" i="3"/>
  <c r="AW289" i="3"/>
  <c r="AV289" i="3"/>
  <c r="AC289" i="3"/>
  <c r="H289" i="3"/>
  <c r="AX288" i="3"/>
  <c r="AW288" i="3"/>
  <c r="AV288" i="3"/>
  <c r="AC288" i="3"/>
  <c r="H288" i="3"/>
  <c r="AX287" i="3"/>
  <c r="AW287" i="3"/>
  <c r="AV287" i="3"/>
  <c r="AC287" i="3"/>
  <c r="H287" i="3"/>
  <c r="AX286" i="3"/>
  <c r="AW286" i="3"/>
  <c r="AV286" i="3"/>
  <c r="AC286" i="3"/>
  <c r="H286" i="3"/>
  <c r="AX285" i="3"/>
  <c r="AW285" i="3"/>
  <c r="AV285" i="3"/>
  <c r="AC285" i="3"/>
  <c r="H285" i="3"/>
  <c r="AX284" i="3"/>
  <c r="AW284" i="3"/>
  <c r="AV284" i="3"/>
  <c r="AC284" i="3"/>
  <c r="H284" i="3"/>
  <c r="G284" i="3" s="1"/>
  <c r="AX283" i="3"/>
  <c r="AW283" i="3"/>
  <c r="AV283" i="3"/>
  <c r="AC283" i="3"/>
  <c r="H283" i="3"/>
  <c r="AX282" i="3"/>
  <c r="AW282" i="3"/>
  <c r="AV282" i="3"/>
  <c r="AC282" i="3"/>
  <c r="H282" i="3"/>
  <c r="G282" i="3" s="1"/>
  <c r="AX281" i="3"/>
  <c r="AW281" i="3"/>
  <c r="AV281" i="3"/>
  <c r="AC281" i="3"/>
  <c r="H281" i="3"/>
  <c r="G281" i="3" s="1"/>
  <c r="AX280" i="3"/>
  <c r="AW280" i="3"/>
  <c r="AV280" i="3"/>
  <c r="AC280" i="3"/>
  <c r="H280" i="3"/>
  <c r="G280" i="3" s="1"/>
  <c r="AX279" i="3"/>
  <c r="AW279" i="3"/>
  <c r="AV279" i="3"/>
  <c r="AC279" i="3"/>
  <c r="H279" i="3"/>
  <c r="AX278" i="3"/>
  <c r="AW278" i="3"/>
  <c r="AV278" i="3"/>
  <c r="AC278" i="3"/>
  <c r="H278" i="3"/>
  <c r="AX277" i="3"/>
  <c r="AW277" i="3"/>
  <c r="AV277" i="3"/>
  <c r="AC277" i="3"/>
  <c r="H277" i="3"/>
  <c r="AX276" i="3"/>
  <c r="AW276" i="3"/>
  <c r="AV276" i="3"/>
  <c r="AC276" i="3"/>
  <c r="H276" i="3"/>
  <c r="AX275" i="3"/>
  <c r="AW275" i="3"/>
  <c r="AV275" i="3"/>
  <c r="AC275" i="3"/>
  <c r="H275" i="3"/>
  <c r="AX274" i="3"/>
  <c r="AW274" i="3"/>
  <c r="AV274" i="3"/>
  <c r="AC274" i="3"/>
  <c r="H274" i="3"/>
  <c r="AX273" i="3"/>
  <c r="AW273" i="3"/>
  <c r="AV273" i="3"/>
  <c r="AC273" i="3"/>
  <c r="H273" i="3"/>
  <c r="AX272" i="3"/>
  <c r="AW272" i="3"/>
  <c r="AV272" i="3"/>
  <c r="AC272" i="3"/>
  <c r="H272" i="3"/>
  <c r="G272" i="3" s="1"/>
  <c r="AX271" i="3"/>
  <c r="AW271" i="3"/>
  <c r="AV271" i="3"/>
  <c r="AC271" i="3"/>
  <c r="H271" i="3"/>
  <c r="AX270" i="3"/>
  <c r="AW270" i="3"/>
  <c r="AV270" i="3"/>
  <c r="AC270" i="3"/>
  <c r="H270" i="3"/>
  <c r="G270" i="3" s="1"/>
  <c r="AX269" i="3"/>
  <c r="AW269" i="3"/>
  <c r="AV269" i="3"/>
  <c r="AC269" i="3"/>
  <c r="H269" i="3"/>
  <c r="G269" i="3" s="1"/>
  <c r="AX268" i="3"/>
  <c r="AW268" i="3"/>
  <c r="AV268" i="3"/>
  <c r="AC268" i="3"/>
  <c r="H268" i="3"/>
  <c r="G268" i="3" s="1"/>
  <c r="AX267" i="3"/>
  <c r="AW267" i="3"/>
  <c r="AV267" i="3"/>
  <c r="AC267" i="3"/>
  <c r="H267" i="3"/>
  <c r="AX266" i="3"/>
  <c r="AW266" i="3"/>
  <c r="AV266" i="3"/>
  <c r="AC266" i="3"/>
  <c r="H266" i="3"/>
  <c r="AX265" i="3"/>
  <c r="AW265" i="3"/>
  <c r="AV265" i="3"/>
  <c r="AC265" i="3"/>
  <c r="H265" i="3"/>
  <c r="AX264" i="3"/>
  <c r="AW264" i="3"/>
  <c r="AV264" i="3"/>
  <c r="AC264" i="3"/>
  <c r="H264" i="3"/>
  <c r="AX263" i="3"/>
  <c r="AW263" i="3"/>
  <c r="AV263" i="3"/>
  <c r="AC263" i="3"/>
  <c r="H263" i="3"/>
  <c r="AX262" i="3"/>
  <c r="AW262" i="3"/>
  <c r="AV262" i="3"/>
  <c r="AC262" i="3"/>
  <c r="H262" i="3"/>
  <c r="G262" i="3" s="1"/>
  <c r="AX261" i="3"/>
  <c r="AW261" i="3"/>
  <c r="AV261" i="3"/>
  <c r="AC261" i="3"/>
  <c r="H261" i="3"/>
  <c r="AX260" i="3"/>
  <c r="AW260" i="3"/>
  <c r="AV260" i="3"/>
  <c r="AC260" i="3"/>
  <c r="H260" i="3"/>
  <c r="G260" i="3" s="1"/>
  <c r="AX259" i="3"/>
  <c r="AW259" i="3"/>
  <c r="AV259" i="3"/>
  <c r="AC259" i="3"/>
  <c r="H259" i="3"/>
  <c r="AX258" i="3"/>
  <c r="AW258" i="3"/>
  <c r="AV258" i="3"/>
  <c r="AC258" i="3"/>
  <c r="H258" i="3"/>
  <c r="G258" i="3" s="1"/>
  <c r="AX257" i="3"/>
  <c r="AW257" i="3"/>
  <c r="AV257" i="3"/>
  <c r="AC257" i="3"/>
  <c r="H257" i="3"/>
  <c r="G257" i="3" s="1"/>
  <c r="AX256" i="3"/>
  <c r="AW256" i="3"/>
  <c r="AV256" i="3"/>
  <c r="AC256" i="3"/>
  <c r="H256" i="3"/>
  <c r="G256" i="3" s="1"/>
  <c r="AX255" i="3"/>
  <c r="AW255" i="3"/>
  <c r="AV255" i="3"/>
  <c r="AC255" i="3"/>
  <c r="H255" i="3"/>
  <c r="AX254" i="3"/>
  <c r="AW254" i="3"/>
  <c r="AV254" i="3"/>
  <c r="AC254" i="3"/>
  <c r="H254" i="3"/>
  <c r="AX253" i="3"/>
  <c r="AW253" i="3"/>
  <c r="AV253" i="3"/>
  <c r="AC253" i="3"/>
  <c r="H253" i="3"/>
  <c r="AX252" i="3"/>
  <c r="AW252" i="3"/>
  <c r="AV252" i="3"/>
  <c r="AC252" i="3"/>
  <c r="H252" i="3"/>
  <c r="AX251" i="3"/>
  <c r="AW251" i="3"/>
  <c r="AV251" i="3"/>
  <c r="AC251" i="3"/>
  <c r="H251" i="3"/>
  <c r="AX250" i="3"/>
  <c r="AW250" i="3"/>
  <c r="AV250" i="3"/>
  <c r="AC250" i="3"/>
  <c r="H250" i="3"/>
  <c r="AX249" i="3"/>
  <c r="AW249" i="3"/>
  <c r="AV249" i="3"/>
  <c r="AC249" i="3"/>
  <c r="H249" i="3"/>
  <c r="AX248" i="3"/>
  <c r="AW248" i="3"/>
  <c r="AV248" i="3"/>
  <c r="AC248" i="3"/>
  <c r="H248" i="3"/>
  <c r="G248" i="3" s="1"/>
  <c r="AX247" i="3"/>
  <c r="AW247" i="3"/>
  <c r="AV247" i="3"/>
  <c r="AC247" i="3"/>
  <c r="H247" i="3"/>
  <c r="AX246" i="3"/>
  <c r="AW246" i="3"/>
  <c r="AV246" i="3"/>
  <c r="AC246" i="3"/>
  <c r="H246" i="3"/>
  <c r="G246" i="3" s="1"/>
  <c r="AX245" i="3"/>
  <c r="AW245" i="3"/>
  <c r="AV245" i="3"/>
  <c r="AC245" i="3"/>
  <c r="H245" i="3"/>
  <c r="G245" i="3" s="1"/>
  <c r="AX244" i="3"/>
  <c r="AW244" i="3"/>
  <c r="AV244" i="3"/>
  <c r="AC244" i="3"/>
  <c r="H244" i="3"/>
  <c r="G244" i="3" s="1"/>
  <c r="AX243" i="3"/>
  <c r="AW243" i="3"/>
  <c r="AV243" i="3"/>
  <c r="AC243" i="3"/>
  <c r="H243" i="3"/>
  <c r="AX242" i="3"/>
  <c r="AW242" i="3"/>
  <c r="AV242" i="3"/>
  <c r="AC242" i="3"/>
  <c r="H242" i="3"/>
  <c r="AX241" i="3"/>
  <c r="AW241" i="3"/>
  <c r="AV241" i="3"/>
  <c r="AC241" i="3"/>
  <c r="H241" i="3"/>
  <c r="AX240" i="3"/>
  <c r="AW240" i="3"/>
  <c r="AV240" i="3"/>
  <c r="AC240" i="3"/>
  <c r="H240" i="3"/>
  <c r="AX239" i="3"/>
  <c r="AW239" i="3"/>
  <c r="AV239" i="3"/>
  <c r="AC239" i="3"/>
  <c r="H239" i="3"/>
  <c r="AX238" i="3"/>
  <c r="AW238" i="3"/>
  <c r="AV238" i="3"/>
  <c r="AC238" i="3"/>
  <c r="H238" i="3"/>
  <c r="G238" i="3" s="1"/>
  <c r="AX237" i="3"/>
  <c r="AW237" i="3"/>
  <c r="AV237" i="3"/>
  <c r="AC237" i="3"/>
  <c r="H237" i="3"/>
  <c r="AX236" i="3"/>
  <c r="AW236" i="3"/>
  <c r="AV236" i="3"/>
  <c r="AC236" i="3"/>
  <c r="H236" i="3"/>
  <c r="G236" i="3" s="1"/>
  <c r="AX235" i="3"/>
  <c r="AW235" i="3"/>
  <c r="AV235" i="3"/>
  <c r="AC235" i="3"/>
  <c r="H235" i="3"/>
  <c r="AX234" i="3"/>
  <c r="AW234" i="3"/>
  <c r="AV234" i="3"/>
  <c r="AC234" i="3"/>
  <c r="H234" i="3"/>
  <c r="G234" i="3" s="1"/>
  <c r="AX233" i="3"/>
  <c r="AW233" i="3"/>
  <c r="AV233" i="3"/>
  <c r="AC233" i="3"/>
  <c r="H233" i="3"/>
  <c r="G233" i="3" s="1"/>
  <c r="AX232" i="3"/>
  <c r="AW232" i="3"/>
  <c r="AV232" i="3"/>
  <c r="AC232" i="3"/>
  <c r="H232" i="3"/>
  <c r="G232" i="3" s="1"/>
  <c r="AX231" i="3"/>
  <c r="AW231" i="3"/>
  <c r="AV231" i="3"/>
  <c r="AC231" i="3"/>
  <c r="H231" i="3"/>
  <c r="AX230" i="3"/>
  <c r="AW230" i="3"/>
  <c r="AV230" i="3"/>
  <c r="AC230" i="3"/>
  <c r="H230" i="3"/>
  <c r="AX229" i="3"/>
  <c r="AW229" i="3"/>
  <c r="AV229" i="3"/>
  <c r="AC229" i="3"/>
  <c r="H229" i="3"/>
  <c r="AX228" i="3"/>
  <c r="AW228" i="3"/>
  <c r="AV228" i="3"/>
  <c r="AC228" i="3"/>
  <c r="H228" i="3"/>
  <c r="AX227" i="3"/>
  <c r="AW227" i="3"/>
  <c r="AV227" i="3"/>
  <c r="AC227" i="3"/>
  <c r="H227" i="3"/>
  <c r="G227" i="3" s="1"/>
  <c r="AX226" i="3"/>
  <c r="AW226" i="3"/>
  <c r="AV226" i="3"/>
  <c r="AC226" i="3"/>
  <c r="H226" i="3"/>
  <c r="G226" i="3" s="1"/>
  <c r="AX225" i="3"/>
  <c r="AW225" i="3"/>
  <c r="AV225" i="3"/>
  <c r="AC225" i="3"/>
  <c r="H225" i="3"/>
  <c r="AX224" i="3"/>
  <c r="AW224" i="3"/>
  <c r="AV224" i="3"/>
  <c r="AC224" i="3"/>
  <c r="H224" i="3"/>
  <c r="G224" i="3" s="1"/>
  <c r="AX223" i="3"/>
  <c r="AW223" i="3"/>
  <c r="AV223" i="3"/>
  <c r="AC223" i="3"/>
  <c r="H223" i="3"/>
  <c r="AX222" i="3"/>
  <c r="AW222" i="3"/>
  <c r="AV222" i="3"/>
  <c r="AC222" i="3"/>
  <c r="H222" i="3"/>
  <c r="G222" i="3" s="1"/>
  <c r="AX221" i="3"/>
  <c r="AW221" i="3"/>
  <c r="AV221" i="3"/>
  <c r="AC221" i="3"/>
  <c r="H221" i="3"/>
  <c r="G221" i="3" s="1"/>
  <c r="AX220" i="3"/>
  <c r="AW220" i="3"/>
  <c r="AV220" i="3"/>
  <c r="AC220" i="3"/>
  <c r="H220" i="3"/>
  <c r="G220" i="3" s="1"/>
  <c r="AX219" i="3"/>
  <c r="AW219" i="3"/>
  <c r="AV219" i="3"/>
  <c r="AC219" i="3"/>
  <c r="H219" i="3"/>
  <c r="AX218" i="3"/>
  <c r="AW218" i="3"/>
  <c r="AV218" i="3"/>
  <c r="AC218" i="3"/>
  <c r="H218" i="3"/>
  <c r="AX217" i="3"/>
  <c r="AW217" i="3"/>
  <c r="AV217" i="3"/>
  <c r="AC217" i="3"/>
  <c r="H217" i="3"/>
  <c r="AX216" i="3"/>
  <c r="AW216" i="3"/>
  <c r="AV216" i="3"/>
  <c r="AC216" i="3"/>
  <c r="H216" i="3"/>
  <c r="AX215" i="3"/>
  <c r="AW215" i="3"/>
  <c r="AV215" i="3"/>
  <c r="AC215" i="3"/>
  <c r="H215" i="3"/>
  <c r="G215" i="3" s="1"/>
  <c r="AX214" i="3"/>
  <c r="AW214" i="3"/>
  <c r="AV214" i="3"/>
  <c r="AC214" i="3"/>
  <c r="H214" i="3"/>
  <c r="G214" i="3" s="1"/>
  <c r="AX213" i="3"/>
  <c r="AW213" i="3"/>
  <c r="AV213" i="3"/>
  <c r="AC213" i="3"/>
  <c r="H213" i="3"/>
  <c r="AX212" i="3"/>
  <c r="AW212" i="3"/>
  <c r="AV212" i="3"/>
  <c r="AC212" i="3"/>
  <c r="H212" i="3"/>
  <c r="G212" i="3" s="1"/>
  <c r="AX211" i="3"/>
  <c r="AW211" i="3"/>
  <c r="AV211" i="3"/>
  <c r="AC211" i="3"/>
  <c r="H211" i="3"/>
  <c r="AX210" i="3"/>
  <c r="AW210" i="3"/>
  <c r="AV210" i="3"/>
  <c r="AC210" i="3"/>
  <c r="H210" i="3"/>
  <c r="G210" i="3" s="1"/>
  <c r="AX209" i="3"/>
  <c r="AW209" i="3"/>
  <c r="AV209" i="3"/>
  <c r="AC209" i="3"/>
  <c r="H209" i="3"/>
  <c r="G209" i="3" s="1"/>
  <c r="AX208" i="3"/>
  <c r="AW208" i="3"/>
  <c r="AV208" i="3"/>
  <c r="AC208" i="3"/>
  <c r="H208" i="3"/>
  <c r="G208" i="3" s="1"/>
  <c r="AX207" i="3"/>
  <c r="AW207" i="3"/>
  <c r="AV207" i="3"/>
  <c r="AC207" i="3"/>
  <c r="H207" i="3"/>
  <c r="AX206" i="3"/>
  <c r="AW206" i="3"/>
  <c r="AV206" i="3"/>
  <c r="AC206" i="3"/>
  <c r="H206" i="3"/>
  <c r="AX205" i="3"/>
  <c r="AW205" i="3"/>
  <c r="AV205" i="3"/>
  <c r="AC205" i="3"/>
  <c r="H205" i="3"/>
  <c r="AX388" i="3"/>
  <c r="AW388" i="3"/>
  <c r="AV388" i="3"/>
  <c r="AC388" i="3"/>
  <c r="H388" i="3"/>
  <c r="AX387" i="3"/>
  <c r="AW387" i="3"/>
  <c r="AV387" i="3"/>
  <c r="AC387" i="3"/>
  <c r="H387" i="3"/>
  <c r="AX386" i="3"/>
  <c r="AW386" i="3"/>
  <c r="AV386" i="3"/>
  <c r="AC386" i="3"/>
  <c r="H386" i="3"/>
  <c r="G386" i="3" s="1"/>
  <c r="AX385" i="3"/>
  <c r="AW385" i="3"/>
  <c r="AV385" i="3"/>
  <c r="AC385" i="3"/>
  <c r="H385" i="3"/>
  <c r="AX384" i="3"/>
  <c r="AW384" i="3"/>
  <c r="AV384" i="3"/>
  <c r="AC384" i="3"/>
  <c r="H384" i="3"/>
  <c r="AX383" i="3"/>
  <c r="AW383" i="3"/>
  <c r="AV383" i="3"/>
  <c r="AC383" i="3"/>
  <c r="H383" i="3"/>
  <c r="AX382" i="3"/>
  <c r="AW382" i="3"/>
  <c r="AV382" i="3"/>
  <c r="AC382" i="3"/>
  <c r="H382" i="3"/>
  <c r="AX381" i="3"/>
  <c r="AW381" i="3"/>
  <c r="AV381" i="3"/>
  <c r="AC381" i="3"/>
  <c r="H381" i="3"/>
  <c r="G381" i="3" s="1"/>
  <c r="AX380" i="3"/>
  <c r="AW380" i="3"/>
  <c r="AV380" i="3"/>
  <c r="AC380" i="3"/>
  <c r="H380" i="3"/>
  <c r="AX379" i="3"/>
  <c r="AW379" i="3"/>
  <c r="AV379" i="3"/>
  <c r="AC379" i="3"/>
  <c r="H379" i="3"/>
  <c r="G379" i="3" s="1"/>
  <c r="AX378" i="3"/>
  <c r="AW378" i="3"/>
  <c r="AV378" i="3"/>
  <c r="AC378" i="3"/>
  <c r="H378" i="3"/>
  <c r="AX377" i="3"/>
  <c r="AW377" i="3"/>
  <c r="AV377" i="3"/>
  <c r="AC377" i="3"/>
  <c r="H377" i="3"/>
  <c r="AX376" i="3"/>
  <c r="AW376" i="3"/>
  <c r="AV376" i="3"/>
  <c r="AC376" i="3"/>
  <c r="H376" i="3"/>
  <c r="AX375" i="3"/>
  <c r="AW375" i="3"/>
  <c r="AV375" i="3"/>
  <c r="AC375" i="3"/>
  <c r="H375" i="3"/>
  <c r="G375" i="3" s="1"/>
  <c r="AX374" i="3"/>
  <c r="AW374" i="3"/>
  <c r="AV374" i="3"/>
  <c r="AC374" i="3"/>
  <c r="H374" i="3"/>
  <c r="AX373" i="3"/>
  <c r="AW373" i="3"/>
  <c r="AV373" i="3"/>
  <c r="AC373" i="3"/>
  <c r="H373" i="3"/>
  <c r="AX372" i="3"/>
  <c r="AW372" i="3"/>
  <c r="AV372" i="3"/>
  <c r="AC372" i="3"/>
  <c r="H372" i="3"/>
  <c r="AX371" i="3"/>
  <c r="AW371" i="3"/>
  <c r="AV371" i="3"/>
  <c r="AC371" i="3"/>
  <c r="H371" i="3"/>
  <c r="AX370" i="3"/>
  <c r="AW370" i="3"/>
  <c r="AV370" i="3"/>
  <c r="AC370" i="3"/>
  <c r="H370" i="3"/>
  <c r="G370" i="3" s="1"/>
  <c r="AX369" i="3"/>
  <c r="AW369" i="3"/>
  <c r="AV369" i="3"/>
  <c r="AC369" i="3"/>
  <c r="H369" i="3"/>
  <c r="AX368" i="3"/>
  <c r="AW368" i="3"/>
  <c r="AV368" i="3"/>
  <c r="AC368" i="3"/>
  <c r="H368" i="3"/>
  <c r="AX367" i="3"/>
  <c r="AW367" i="3"/>
  <c r="AV367" i="3"/>
  <c r="AC367" i="3"/>
  <c r="H367" i="3"/>
  <c r="G367" i="3" s="1"/>
  <c r="AX366" i="3"/>
  <c r="AW366" i="3"/>
  <c r="AV366" i="3"/>
  <c r="AC366" i="3"/>
  <c r="H366" i="3"/>
  <c r="AX365" i="3"/>
  <c r="AW365" i="3"/>
  <c r="AV365" i="3"/>
  <c r="AC365" i="3"/>
  <c r="H365" i="3"/>
  <c r="G365" i="3" s="1"/>
  <c r="AX364" i="3"/>
  <c r="AW364" i="3"/>
  <c r="AV364" i="3"/>
  <c r="AC364" i="3"/>
  <c r="H364" i="3"/>
  <c r="AX363" i="3"/>
  <c r="AW363" i="3"/>
  <c r="AV363" i="3"/>
  <c r="AC363" i="3"/>
  <c r="G363" i="3" s="1"/>
  <c r="H363" i="3"/>
  <c r="AX362" i="3"/>
  <c r="AW362" i="3"/>
  <c r="AV362" i="3"/>
  <c r="AC362" i="3"/>
  <c r="H362" i="3"/>
  <c r="AX361" i="3"/>
  <c r="AW361" i="3"/>
  <c r="AV361" i="3"/>
  <c r="AC361" i="3"/>
  <c r="H361" i="3"/>
  <c r="AX360" i="3"/>
  <c r="AW360" i="3"/>
  <c r="AV360" i="3"/>
  <c r="AC360" i="3"/>
  <c r="H360" i="3"/>
  <c r="AX359" i="3"/>
  <c r="AW359" i="3"/>
  <c r="AV359" i="3"/>
  <c r="AC359" i="3"/>
  <c r="H359" i="3"/>
  <c r="AX358" i="3"/>
  <c r="AW358" i="3"/>
  <c r="AV358" i="3"/>
  <c r="AC358" i="3"/>
  <c r="H358" i="3"/>
  <c r="AX357" i="3"/>
  <c r="AW357" i="3"/>
  <c r="AV357" i="3"/>
  <c r="AC357" i="3"/>
  <c r="H357" i="3"/>
  <c r="AX356" i="3"/>
  <c r="AW356" i="3"/>
  <c r="AV356" i="3"/>
  <c r="AC356" i="3"/>
  <c r="H356" i="3"/>
  <c r="AX355" i="3"/>
  <c r="AW355" i="3"/>
  <c r="AV355" i="3"/>
  <c r="AC355" i="3"/>
  <c r="H355" i="3"/>
  <c r="AX354" i="3"/>
  <c r="AW354" i="3"/>
  <c r="AV354" i="3"/>
  <c r="AC354" i="3"/>
  <c r="H354" i="3"/>
  <c r="AX353" i="3"/>
  <c r="AW353" i="3"/>
  <c r="AV353" i="3"/>
  <c r="AC353" i="3"/>
  <c r="H353" i="3"/>
  <c r="AX352" i="3"/>
  <c r="AW352" i="3"/>
  <c r="AV352" i="3"/>
  <c r="AC352" i="3"/>
  <c r="H352" i="3"/>
  <c r="G352" i="3"/>
  <c r="AX351" i="3"/>
  <c r="AW351" i="3"/>
  <c r="AV351" i="3"/>
  <c r="AC351" i="3"/>
  <c r="H351" i="3"/>
  <c r="AX350" i="3"/>
  <c r="AW350" i="3"/>
  <c r="AV350" i="3"/>
  <c r="AC350" i="3"/>
  <c r="H350" i="3"/>
  <c r="AX349" i="3"/>
  <c r="AW349" i="3"/>
  <c r="AV349" i="3"/>
  <c r="AC349" i="3"/>
  <c r="G349" i="3" s="1"/>
  <c r="H349" i="3"/>
  <c r="AX348" i="3"/>
  <c r="AW348" i="3"/>
  <c r="AV348" i="3"/>
  <c r="AC348" i="3"/>
  <c r="H348" i="3"/>
  <c r="AX347" i="3"/>
  <c r="AW347" i="3"/>
  <c r="AV347" i="3"/>
  <c r="AC347" i="3"/>
  <c r="H347" i="3"/>
  <c r="G347" i="3" s="1"/>
  <c r="AX346" i="3"/>
  <c r="AW346" i="3"/>
  <c r="AV346" i="3"/>
  <c r="AC346" i="3"/>
  <c r="H346" i="3"/>
  <c r="AX345" i="3"/>
  <c r="AW345" i="3"/>
  <c r="AV345" i="3"/>
  <c r="AC345" i="3"/>
  <c r="H345" i="3"/>
  <c r="G345" i="3" s="1"/>
  <c r="AX344" i="3"/>
  <c r="AW344" i="3"/>
  <c r="AV344" i="3"/>
  <c r="AC344" i="3"/>
  <c r="H344" i="3"/>
  <c r="AX343" i="3"/>
  <c r="AW343" i="3"/>
  <c r="AV343" i="3"/>
  <c r="AC343" i="3"/>
  <c r="H343" i="3"/>
  <c r="AX342" i="3"/>
  <c r="AW342" i="3"/>
  <c r="AV342" i="3"/>
  <c r="AC342" i="3"/>
  <c r="H342" i="3"/>
  <c r="AX341" i="3"/>
  <c r="AW341" i="3"/>
  <c r="AV341" i="3"/>
  <c r="AC341" i="3"/>
  <c r="H341" i="3"/>
  <c r="AX340" i="3"/>
  <c r="AW340" i="3"/>
  <c r="AV340" i="3"/>
  <c r="AC340" i="3"/>
  <c r="H340" i="3"/>
  <c r="AX339" i="3"/>
  <c r="AW339" i="3"/>
  <c r="AV339" i="3"/>
  <c r="AC339" i="3"/>
  <c r="H339" i="3"/>
  <c r="AX338" i="3"/>
  <c r="AW338" i="3"/>
  <c r="AV338" i="3"/>
  <c r="AC338" i="3"/>
  <c r="H338" i="3"/>
  <c r="AX337" i="3"/>
  <c r="AW337" i="3"/>
  <c r="AV337" i="3"/>
  <c r="AC337" i="3"/>
  <c r="H337" i="3"/>
  <c r="AX336" i="3"/>
  <c r="AW336" i="3"/>
  <c r="AV336" i="3"/>
  <c r="AC336" i="3"/>
  <c r="H336" i="3"/>
  <c r="G336" i="3" s="1"/>
  <c r="AX335" i="3"/>
  <c r="AW335" i="3"/>
  <c r="AV335" i="3"/>
  <c r="AC335" i="3"/>
  <c r="H335" i="3"/>
  <c r="AX334" i="3"/>
  <c r="AW334" i="3"/>
  <c r="AV334" i="3"/>
  <c r="AC334" i="3"/>
  <c r="H334" i="3"/>
  <c r="AX333" i="3"/>
  <c r="AW333" i="3"/>
  <c r="AV333" i="3"/>
  <c r="AC333" i="3"/>
  <c r="H333" i="3"/>
  <c r="AX332" i="3"/>
  <c r="AW332" i="3"/>
  <c r="AV332" i="3"/>
  <c r="AC332" i="3"/>
  <c r="H332" i="3"/>
  <c r="AX331" i="3"/>
  <c r="AW331" i="3"/>
  <c r="AV331" i="3"/>
  <c r="AC331" i="3"/>
  <c r="H331" i="3"/>
  <c r="G331" i="3"/>
  <c r="AX330" i="3"/>
  <c r="AW330" i="3"/>
  <c r="AV330" i="3"/>
  <c r="AC330" i="3"/>
  <c r="H330" i="3"/>
  <c r="AX329" i="3"/>
  <c r="AW329" i="3"/>
  <c r="AV329" i="3"/>
  <c r="AC329" i="3"/>
  <c r="H329" i="3"/>
  <c r="G329" i="3" s="1"/>
  <c r="AX328" i="3"/>
  <c r="AW328" i="3"/>
  <c r="AV328" i="3"/>
  <c r="AC328" i="3"/>
  <c r="H328" i="3"/>
  <c r="AX327" i="3"/>
  <c r="AW327" i="3"/>
  <c r="AV327" i="3"/>
  <c r="AC327" i="3"/>
  <c r="H327" i="3"/>
  <c r="AX326" i="3"/>
  <c r="AW326" i="3"/>
  <c r="AV326" i="3"/>
  <c r="AC326" i="3"/>
  <c r="H326" i="3"/>
  <c r="AX325" i="3"/>
  <c r="AW325" i="3"/>
  <c r="AV325" i="3"/>
  <c r="AC325" i="3"/>
  <c r="H325" i="3"/>
  <c r="AX324" i="3"/>
  <c r="AW324" i="3"/>
  <c r="AV324" i="3"/>
  <c r="AC324" i="3"/>
  <c r="H324" i="3"/>
  <c r="AX323" i="3"/>
  <c r="AW323" i="3"/>
  <c r="AV323" i="3"/>
  <c r="AC323" i="3"/>
  <c r="H323" i="3"/>
  <c r="AX322" i="3"/>
  <c r="AW322" i="3"/>
  <c r="AV322" i="3"/>
  <c r="AC322" i="3"/>
  <c r="H322" i="3"/>
  <c r="AX321" i="3"/>
  <c r="AW321" i="3"/>
  <c r="AV321" i="3"/>
  <c r="AC321" i="3"/>
  <c r="H321" i="3"/>
  <c r="AX320" i="3"/>
  <c r="AW320" i="3"/>
  <c r="AV320" i="3"/>
  <c r="AC320" i="3"/>
  <c r="G320" i="3" s="1"/>
  <c r="H320" i="3"/>
  <c r="AX319" i="3"/>
  <c r="AW319" i="3"/>
  <c r="AV319" i="3"/>
  <c r="AC319" i="3"/>
  <c r="H319" i="3"/>
  <c r="AX318" i="3"/>
  <c r="AW318" i="3"/>
  <c r="AV318" i="3"/>
  <c r="AC318" i="3"/>
  <c r="H318" i="3"/>
  <c r="AX317" i="3"/>
  <c r="AW317" i="3"/>
  <c r="AV317" i="3"/>
  <c r="AC317" i="3"/>
  <c r="H317" i="3"/>
  <c r="G317" i="3" s="1"/>
  <c r="AX316" i="3"/>
  <c r="AW316" i="3"/>
  <c r="AV316" i="3"/>
  <c r="AC316" i="3"/>
  <c r="H316" i="3"/>
  <c r="AX315" i="3"/>
  <c r="AW315" i="3"/>
  <c r="AV315" i="3"/>
  <c r="AC315" i="3"/>
  <c r="H315" i="3"/>
  <c r="AX314" i="3"/>
  <c r="AW314" i="3"/>
  <c r="AV314" i="3"/>
  <c r="AC314" i="3"/>
  <c r="H314" i="3"/>
  <c r="AX313" i="3"/>
  <c r="AW313" i="3"/>
  <c r="AV313" i="3"/>
  <c r="AC313" i="3"/>
  <c r="H313" i="3"/>
  <c r="G313" i="3"/>
  <c r="AX312" i="3"/>
  <c r="AW312" i="3"/>
  <c r="AV312" i="3"/>
  <c r="AC312" i="3"/>
  <c r="H312" i="3"/>
  <c r="AX311" i="3"/>
  <c r="AW311" i="3"/>
  <c r="AV311" i="3"/>
  <c r="AC311" i="3"/>
  <c r="H311" i="3"/>
  <c r="AX310" i="3"/>
  <c r="AW310" i="3"/>
  <c r="AV310" i="3"/>
  <c r="AC310" i="3"/>
  <c r="H310" i="3"/>
  <c r="AX309" i="3"/>
  <c r="AW309" i="3"/>
  <c r="AV309" i="3"/>
  <c r="AC309" i="3"/>
  <c r="H309" i="3"/>
  <c r="AX308" i="3"/>
  <c r="AW308" i="3"/>
  <c r="AV308" i="3"/>
  <c r="AC308" i="3"/>
  <c r="H308" i="3"/>
  <c r="AX307" i="3"/>
  <c r="AW307" i="3"/>
  <c r="AV307" i="3"/>
  <c r="AC307" i="3"/>
  <c r="H307" i="3"/>
  <c r="G307" i="3" s="1"/>
  <c r="AX306" i="3"/>
  <c r="AW306" i="3"/>
  <c r="AV306" i="3"/>
  <c r="AC306" i="3"/>
  <c r="H306" i="3"/>
  <c r="AX305" i="3"/>
  <c r="AW305" i="3"/>
  <c r="AV305" i="3"/>
  <c r="AC305" i="3"/>
  <c r="G305" i="3" s="1"/>
  <c r="H305" i="3"/>
  <c r="AX304" i="3"/>
  <c r="AW304" i="3"/>
  <c r="AV304" i="3"/>
  <c r="AC304" i="3"/>
  <c r="H304" i="3"/>
  <c r="AX303" i="3"/>
  <c r="AW303" i="3"/>
  <c r="AV303" i="3"/>
  <c r="AC303" i="3"/>
  <c r="H303" i="3"/>
  <c r="AX302" i="3"/>
  <c r="AW302" i="3"/>
  <c r="AV302" i="3"/>
  <c r="AC302" i="3"/>
  <c r="H302" i="3"/>
  <c r="AX301" i="3"/>
  <c r="AW301" i="3"/>
  <c r="AV301" i="3"/>
  <c r="AC301" i="3"/>
  <c r="H301" i="3"/>
  <c r="G301" i="3" s="1"/>
  <c r="AX300" i="3"/>
  <c r="AW300" i="3"/>
  <c r="AV300" i="3"/>
  <c r="AC300" i="3"/>
  <c r="H300" i="3"/>
  <c r="AX299" i="3"/>
  <c r="AW299" i="3"/>
  <c r="AV299" i="3"/>
  <c r="AC299" i="3"/>
  <c r="H299" i="3"/>
  <c r="AX298" i="3"/>
  <c r="AW298" i="3"/>
  <c r="AV298" i="3"/>
  <c r="AC298" i="3"/>
  <c r="H298" i="3"/>
  <c r="AX297" i="3"/>
  <c r="AW297" i="3"/>
  <c r="AV297" i="3"/>
  <c r="AC297" i="3"/>
  <c r="H297" i="3"/>
  <c r="AX480" i="3"/>
  <c r="AW480" i="3"/>
  <c r="AV480" i="3"/>
  <c r="AC480" i="3"/>
  <c r="H480" i="3"/>
  <c r="AX479" i="3"/>
  <c r="AW479" i="3"/>
  <c r="AV479" i="3"/>
  <c r="AC479" i="3"/>
  <c r="H479" i="3"/>
  <c r="AX478" i="3"/>
  <c r="AW478" i="3"/>
  <c r="AV478" i="3"/>
  <c r="AC478" i="3"/>
  <c r="H478" i="3"/>
  <c r="AX477" i="3"/>
  <c r="AW477" i="3"/>
  <c r="AV477" i="3"/>
  <c r="AC477" i="3"/>
  <c r="H477" i="3"/>
  <c r="G477" i="3" s="1"/>
  <c r="AX476" i="3"/>
  <c r="AW476" i="3"/>
  <c r="AV476" i="3"/>
  <c r="AC476" i="3"/>
  <c r="H476" i="3"/>
  <c r="AX475" i="3"/>
  <c r="AW475" i="3"/>
  <c r="AV475" i="3"/>
  <c r="AC475" i="3"/>
  <c r="H475" i="3"/>
  <c r="G475" i="3" s="1"/>
  <c r="AX474" i="3"/>
  <c r="AW474" i="3"/>
  <c r="AV474" i="3"/>
  <c r="AC474" i="3"/>
  <c r="H474" i="3"/>
  <c r="G474" i="3" s="1"/>
  <c r="AX473" i="3"/>
  <c r="AW473" i="3"/>
  <c r="AV473" i="3"/>
  <c r="AC473" i="3"/>
  <c r="H473" i="3"/>
  <c r="G473" i="3" s="1"/>
  <c r="AX472" i="3"/>
  <c r="AW472" i="3"/>
  <c r="AV472" i="3"/>
  <c r="AC472" i="3"/>
  <c r="H472" i="3"/>
  <c r="G472" i="3" s="1"/>
  <c r="AX471" i="3"/>
  <c r="AW471" i="3"/>
  <c r="AV471" i="3"/>
  <c r="AC471" i="3"/>
  <c r="H471" i="3"/>
  <c r="G471" i="3" s="1"/>
  <c r="AX470" i="3"/>
  <c r="AW470" i="3"/>
  <c r="AV470" i="3"/>
  <c r="AC470" i="3"/>
  <c r="H470" i="3"/>
  <c r="AX469" i="3"/>
  <c r="AW469" i="3"/>
  <c r="AV469" i="3"/>
  <c r="AC469" i="3"/>
  <c r="H469" i="3"/>
  <c r="AX468" i="3"/>
  <c r="AW468" i="3"/>
  <c r="AV468" i="3"/>
  <c r="AC468" i="3"/>
  <c r="H468" i="3"/>
  <c r="AX467" i="3"/>
  <c r="AW467" i="3"/>
  <c r="AV467" i="3"/>
  <c r="AC467" i="3"/>
  <c r="H467" i="3"/>
  <c r="AX466" i="3"/>
  <c r="AW466" i="3"/>
  <c r="AV466" i="3"/>
  <c r="AC466" i="3"/>
  <c r="H466" i="3"/>
  <c r="AX465" i="3"/>
  <c r="AW465" i="3"/>
  <c r="AV465" i="3"/>
  <c r="AC465" i="3"/>
  <c r="H465" i="3"/>
  <c r="AX464" i="3"/>
  <c r="AW464" i="3"/>
  <c r="AV464" i="3"/>
  <c r="AC464" i="3"/>
  <c r="H464" i="3"/>
  <c r="AX463" i="3"/>
  <c r="AW463" i="3"/>
  <c r="AV463" i="3"/>
  <c r="AC463" i="3"/>
  <c r="H463" i="3"/>
  <c r="G463" i="3" s="1"/>
  <c r="AX462" i="3"/>
  <c r="AW462" i="3"/>
  <c r="AV462" i="3"/>
  <c r="AC462" i="3"/>
  <c r="H462" i="3"/>
  <c r="G462" i="3" s="1"/>
  <c r="AX461" i="3"/>
  <c r="AW461" i="3"/>
  <c r="AV461" i="3"/>
  <c r="AC461" i="3"/>
  <c r="H461" i="3"/>
  <c r="G461" i="3" s="1"/>
  <c r="AX460" i="3"/>
  <c r="AW460" i="3"/>
  <c r="AV460" i="3"/>
  <c r="AC460" i="3"/>
  <c r="H460" i="3"/>
  <c r="G460" i="3" s="1"/>
  <c r="AX459" i="3"/>
  <c r="AW459" i="3"/>
  <c r="AV459" i="3"/>
  <c r="AC459" i="3"/>
  <c r="H459" i="3"/>
  <c r="G459" i="3" s="1"/>
  <c r="AX458" i="3"/>
  <c r="AW458" i="3"/>
  <c r="AV458" i="3"/>
  <c r="AC458" i="3"/>
  <c r="H458" i="3"/>
  <c r="AX457" i="3"/>
  <c r="AW457" i="3"/>
  <c r="AV457" i="3"/>
  <c r="AC457" i="3"/>
  <c r="H457" i="3"/>
  <c r="AX456" i="3"/>
  <c r="AW456" i="3"/>
  <c r="AV456" i="3"/>
  <c r="AC456" i="3"/>
  <c r="H456" i="3"/>
  <c r="AX455" i="3"/>
  <c r="AW455" i="3"/>
  <c r="AV455" i="3"/>
  <c r="AC455" i="3"/>
  <c r="H455" i="3"/>
  <c r="AX454" i="3"/>
  <c r="AW454" i="3"/>
  <c r="AV454" i="3"/>
  <c r="AC454" i="3"/>
  <c r="H454" i="3"/>
  <c r="AX453" i="3"/>
  <c r="AW453" i="3"/>
  <c r="AV453" i="3"/>
  <c r="AC453" i="3"/>
  <c r="H453" i="3"/>
  <c r="AX452" i="3"/>
  <c r="AW452" i="3"/>
  <c r="AV452" i="3"/>
  <c r="AC452" i="3"/>
  <c r="H452" i="3"/>
  <c r="AX451" i="3"/>
  <c r="AW451" i="3"/>
  <c r="AV451" i="3"/>
  <c r="AC451" i="3"/>
  <c r="H451" i="3"/>
  <c r="G451" i="3" s="1"/>
  <c r="AX450" i="3"/>
  <c r="AW450" i="3"/>
  <c r="AV450" i="3"/>
  <c r="AC450" i="3"/>
  <c r="H450" i="3"/>
  <c r="G450" i="3" s="1"/>
  <c r="AX449" i="3"/>
  <c r="AW449" i="3"/>
  <c r="AV449" i="3"/>
  <c r="AC449" i="3"/>
  <c r="H449" i="3"/>
  <c r="G449" i="3" s="1"/>
  <c r="AX448" i="3"/>
  <c r="AW448" i="3"/>
  <c r="AV448" i="3"/>
  <c r="AC448" i="3"/>
  <c r="H448" i="3"/>
  <c r="G448" i="3" s="1"/>
  <c r="AX447" i="3"/>
  <c r="AW447" i="3"/>
  <c r="AV447" i="3"/>
  <c r="AC447" i="3"/>
  <c r="H447" i="3"/>
  <c r="G447" i="3" s="1"/>
  <c r="AX446" i="3"/>
  <c r="AW446" i="3"/>
  <c r="AV446" i="3"/>
  <c r="AC446" i="3"/>
  <c r="H446" i="3"/>
  <c r="AX445" i="3"/>
  <c r="AW445" i="3"/>
  <c r="AV445" i="3"/>
  <c r="AC445" i="3"/>
  <c r="H445" i="3"/>
  <c r="AX444" i="3"/>
  <c r="AW444" i="3"/>
  <c r="AV444" i="3"/>
  <c r="AC444" i="3"/>
  <c r="H444" i="3"/>
  <c r="AX443" i="3"/>
  <c r="AW443" i="3"/>
  <c r="AV443" i="3"/>
  <c r="AC443" i="3"/>
  <c r="H443" i="3"/>
  <c r="AX442" i="3"/>
  <c r="AW442" i="3"/>
  <c r="AV442" i="3"/>
  <c r="AC442" i="3"/>
  <c r="H442" i="3"/>
  <c r="AX441" i="3"/>
  <c r="AW441" i="3"/>
  <c r="AV441" i="3"/>
  <c r="AC441" i="3"/>
  <c r="H441" i="3"/>
  <c r="AX440" i="3"/>
  <c r="AW440" i="3"/>
  <c r="AV440" i="3"/>
  <c r="AC440" i="3"/>
  <c r="H440" i="3"/>
  <c r="G440" i="3" s="1"/>
  <c r="AX439" i="3"/>
  <c r="AW439" i="3"/>
  <c r="AV439" i="3"/>
  <c r="AC439" i="3"/>
  <c r="H439" i="3"/>
  <c r="G439" i="3" s="1"/>
  <c r="AX438" i="3"/>
  <c r="AW438" i="3"/>
  <c r="AV438" i="3"/>
  <c r="AC438" i="3"/>
  <c r="H438" i="3"/>
  <c r="AX437" i="3"/>
  <c r="AW437" i="3"/>
  <c r="AV437" i="3"/>
  <c r="AC437" i="3"/>
  <c r="H437" i="3"/>
  <c r="G437" i="3" s="1"/>
  <c r="AX436" i="3"/>
  <c r="AW436" i="3"/>
  <c r="AV436" i="3"/>
  <c r="AC436" i="3"/>
  <c r="H436" i="3"/>
  <c r="G436" i="3" s="1"/>
  <c r="AX435" i="3"/>
  <c r="AW435" i="3"/>
  <c r="AV435" i="3"/>
  <c r="AC435" i="3"/>
  <c r="H435" i="3"/>
  <c r="G435" i="3" s="1"/>
  <c r="AX434" i="3"/>
  <c r="AW434" i="3"/>
  <c r="AV434" i="3"/>
  <c r="AC434" i="3"/>
  <c r="H434" i="3"/>
  <c r="AX433" i="3"/>
  <c r="AW433" i="3"/>
  <c r="AV433" i="3"/>
  <c r="AC433" i="3"/>
  <c r="H433" i="3"/>
  <c r="AX432" i="3"/>
  <c r="AW432" i="3"/>
  <c r="AV432" i="3"/>
  <c r="AC432" i="3"/>
  <c r="H432" i="3"/>
  <c r="AX431" i="3"/>
  <c r="AW431" i="3"/>
  <c r="AV431" i="3"/>
  <c r="AC431" i="3"/>
  <c r="H431" i="3"/>
  <c r="AX430" i="3"/>
  <c r="AW430" i="3"/>
  <c r="AV430" i="3"/>
  <c r="AC430" i="3"/>
  <c r="H430" i="3"/>
  <c r="AX429" i="3"/>
  <c r="AW429" i="3"/>
  <c r="AV429" i="3"/>
  <c r="AC429" i="3"/>
  <c r="H429" i="3"/>
  <c r="AX428" i="3"/>
  <c r="AW428" i="3"/>
  <c r="AV428" i="3"/>
  <c r="AC428" i="3"/>
  <c r="H428" i="3"/>
  <c r="AX427" i="3"/>
  <c r="AW427" i="3"/>
  <c r="AV427" i="3"/>
  <c r="AC427" i="3"/>
  <c r="H427" i="3"/>
  <c r="G427" i="3" s="1"/>
  <c r="AX426" i="3"/>
  <c r="AW426" i="3"/>
  <c r="AV426" i="3"/>
  <c r="AC426" i="3"/>
  <c r="H426" i="3"/>
  <c r="AX425" i="3"/>
  <c r="AW425" i="3"/>
  <c r="AV425" i="3"/>
  <c r="AC425" i="3"/>
  <c r="H425" i="3"/>
  <c r="G425" i="3" s="1"/>
  <c r="AX424" i="3"/>
  <c r="AW424" i="3"/>
  <c r="AV424" i="3"/>
  <c r="AC424" i="3"/>
  <c r="H424" i="3"/>
  <c r="G424" i="3" s="1"/>
  <c r="AX423" i="3"/>
  <c r="AW423" i="3"/>
  <c r="AV423" i="3"/>
  <c r="AC423" i="3"/>
  <c r="H423" i="3"/>
  <c r="G423" i="3" s="1"/>
  <c r="AX422" i="3"/>
  <c r="AW422" i="3"/>
  <c r="AV422" i="3"/>
  <c r="AC422" i="3"/>
  <c r="H422" i="3"/>
  <c r="AX421" i="3"/>
  <c r="AW421" i="3"/>
  <c r="AV421" i="3"/>
  <c r="AC421" i="3"/>
  <c r="H421" i="3"/>
  <c r="AX420" i="3"/>
  <c r="AW420" i="3"/>
  <c r="AV420" i="3"/>
  <c r="AC420" i="3"/>
  <c r="H420" i="3"/>
  <c r="AX419" i="3"/>
  <c r="AW419" i="3"/>
  <c r="AV419" i="3"/>
  <c r="AC419" i="3"/>
  <c r="H419" i="3"/>
  <c r="AX418" i="3"/>
  <c r="AW418" i="3"/>
  <c r="AV418" i="3"/>
  <c r="AC418" i="3"/>
  <c r="H418" i="3"/>
  <c r="AX417" i="3"/>
  <c r="AW417" i="3"/>
  <c r="AV417" i="3"/>
  <c r="AC417" i="3"/>
  <c r="H417" i="3"/>
  <c r="AX416" i="3"/>
  <c r="AW416" i="3"/>
  <c r="AV416" i="3"/>
  <c r="AC416" i="3"/>
  <c r="H416" i="3"/>
  <c r="AX415" i="3"/>
  <c r="AW415" i="3"/>
  <c r="AV415" i="3"/>
  <c r="AC415" i="3"/>
  <c r="H415" i="3"/>
  <c r="G415" i="3" s="1"/>
  <c r="AX414" i="3"/>
  <c r="AW414" i="3"/>
  <c r="AV414" i="3"/>
  <c r="AC414" i="3"/>
  <c r="H414" i="3"/>
  <c r="AX413" i="3"/>
  <c r="AW413" i="3"/>
  <c r="AV413" i="3"/>
  <c r="AC413" i="3"/>
  <c r="H413" i="3"/>
  <c r="G413" i="3" s="1"/>
  <c r="AX412" i="3"/>
  <c r="AW412" i="3"/>
  <c r="AV412" i="3"/>
  <c r="AC412" i="3"/>
  <c r="H412" i="3"/>
  <c r="G412" i="3" s="1"/>
  <c r="AX411" i="3"/>
  <c r="AW411" i="3"/>
  <c r="AV411" i="3"/>
  <c r="AC411" i="3"/>
  <c r="H411" i="3"/>
  <c r="G411" i="3" s="1"/>
  <c r="AX410" i="3"/>
  <c r="AW410" i="3"/>
  <c r="AV410" i="3"/>
  <c r="AC410" i="3"/>
  <c r="H410" i="3"/>
  <c r="AX409" i="3"/>
  <c r="AW409" i="3"/>
  <c r="AV409" i="3"/>
  <c r="AC409" i="3"/>
  <c r="H409" i="3"/>
  <c r="AX408" i="3"/>
  <c r="AW408" i="3"/>
  <c r="AV408" i="3"/>
  <c r="AC408" i="3"/>
  <c r="H408" i="3"/>
  <c r="AX407" i="3"/>
  <c r="AW407" i="3"/>
  <c r="AV407" i="3"/>
  <c r="AC407" i="3"/>
  <c r="H407" i="3"/>
  <c r="AX406" i="3"/>
  <c r="AW406" i="3"/>
  <c r="AV406" i="3"/>
  <c r="AC406" i="3"/>
  <c r="H406" i="3"/>
  <c r="AX405" i="3"/>
  <c r="AW405" i="3"/>
  <c r="AV405" i="3"/>
  <c r="AC405" i="3"/>
  <c r="H405" i="3"/>
  <c r="AX404" i="3"/>
  <c r="AW404" i="3"/>
  <c r="AV404" i="3"/>
  <c r="AC404" i="3"/>
  <c r="H404" i="3"/>
  <c r="AX403" i="3"/>
  <c r="AW403" i="3"/>
  <c r="AV403" i="3"/>
  <c r="AC403" i="3"/>
  <c r="H403" i="3"/>
  <c r="G403" i="3" s="1"/>
  <c r="AX402" i="3"/>
  <c r="AW402" i="3"/>
  <c r="AV402" i="3"/>
  <c r="AC402" i="3"/>
  <c r="H402" i="3"/>
  <c r="AX401" i="3"/>
  <c r="AW401" i="3"/>
  <c r="AV401" i="3"/>
  <c r="AC401" i="3"/>
  <c r="H401" i="3"/>
  <c r="G401" i="3" s="1"/>
  <c r="AX400" i="3"/>
  <c r="AW400" i="3"/>
  <c r="AV400" i="3"/>
  <c r="AC400" i="3"/>
  <c r="H400" i="3"/>
  <c r="G400" i="3" s="1"/>
  <c r="AX399" i="3"/>
  <c r="AW399" i="3"/>
  <c r="AV399" i="3"/>
  <c r="AC399" i="3"/>
  <c r="H399" i="3"/>
  <c r="G399" i="3" s="1"/>
  <c r="AX398" i="3"/>
  <c r="AW398" i="3"/>
  <c r="AV398" i="3"/>
  <c r="AC398" i="3"/>
  <c r="H398" i="3"/>
  <c r="AX397" i="3"/>
  <c r="AW397" i="3"/>
  <c r="AV397" i="3"/>
  <c r="AC397" i="3"/>
  <c r="H397" i="3"/>
  <c r="AX396" i="3"/>
  <c r="AW396" i="3"/>
  <c r="AV396" i="3"/>
  <c r="AC396" i="3"/>
  <c r="H396" i="3"/>
  <c r="AX395" i="3"/>
  <c r="AW395" i="3"/>
  <c r="AV395" i="3"/>
  <c r="AC395" i="3"/>
  <c r="H395" i="3"/>
  <c r="AX394" i="3"/>
  <c r="AW394" i="3"/>
  <c r="AV394" i="3"/>
  <c r="AC394" i="3"/>
  <c r="H394" i="3"/>
  <c r="AX393" i="3"/>
  <c r="AW393" i="3"/>
  <c r="AV393" i="3"/>
  <c r="AC393" i="3"/>
  <c r="H393" i="3"/>
  <c r="AX392" i="3"/>
  <c r="AW392" i="3"/>
  <c r="AV392" i="3"/>
  <c r="AC392" i="3"/>
  <c r="H392" i="3"/>
  <c r="AX391" i="3"/>
  <c r="AW391" i="3"/>
  <c r="AV391" i="3"/>
  <c r="AC391" i="3"/>
  <c r="H391" i="3"/>
  <c r="G391" i="3" s="1"/>
  <c r="AX390" i="3"/>
  <c r="AW390" i="3"/>
  <c r="AV390" i="3"/>
  <c r="AC390" i="3"/>
  <c r="H390"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c r="C63" i="39" s="1"/>
  <c r="H59" i="39"/>
  <c r="I59" i="39" s="1"/>
  <c r="C59" i="39" s="1"/>
  <c r="H67" i="39"/>
  <c r="I67" i="39"/>
  <c r="C67" i="39" s="1"/>
  <c r="H66" i="39"/>
  <c r="I66" i="39" s="1"/>
  <c r="C66" i="39" s="1"/>
  <c r="H65" i="39"/>
  <c r="I65" i="39" s="1"/>
  <c r="C65" i="39" s="1"/>
  <c r="H64" i="39"/>
  <c r="I64" i="39" s="1"/>
  <c r="C64" i="39" s="1"/>
  <c r="H62" i="39"/>
  <c r="I62" i="39" s="1"/>
  <c r="C62" i="39" s="1"/>
  <c r="H61" i="39"/>
  <c r="I61" i="39" s="1"/>
  <c r="C61" i="39" s="1"/>
  <c r="H60" i="39"/>
  <c r="I60" i="39"/>
  <c r="C60" i="39" s="1"/>
  <c r="L25" i="4"/>
  <c r="C145" i="21"/>
  <c r="J142" i="21"/>
  <c r="J140" i="21"/>
  <c r="K139" i="21"/>
  <c r="M87" i="21"/>
  <c r="L87" i="21"/>
  <c r="K87" i="21"/>
  <c r="J87" i="21"/>
  <c r="I87" i="21"/>
  <c r="H87" i="21"/>
  <c r="G87" i="21"/>
  <c r="F87" i="21"/>
  <c r="E87" i="21"/>
  <c r="D87" i="21"/>
  <c r="G2" i="46"/>
  <c r="H17" i="46" s="1"/>
  <c r="G19" i="46"/>
  <c r="R26" i="31"/>
  <c r="S26" i="31"/>
  <c r="R27" i="31"/>
  <c r="R28" i="31"/>
  <c r="S28" i="31" s="1"/>
  <c r="R29" i="31"/>
  <c r="R30" i="31"/>
  <c r="S30" i="31"/>
  <c r="R31" i="31"/>
  <c r="R32" i="31"/>
  <c r="S32" i="31" s="1"/>
  <c r="R33" i="31"/>
  <c r="R34" i="31"/>
  <c r="S34" i="31" s="1"/>
  <c r="R35" i="31"/>
  <c r="R36" i="31"/>
  <c r="S36" i="31" s="1"/>
  <c r="R37" i="31"/>
  <c r="R38" i="31"/>
  <c r="S38" i="31"/>
  <c r="R39" i="31"/>
  <c r="R40" i="31"/>
  <c r="S40" i="31" s="1"/>
  <c r="R41" i="31"/>
  <c r="R42" i="31"/>
  <c r="S42" i="31"/>
  <c r="R43" i="31"/>
  <c r="R44" i="31"/>
  <c r="S44" i="31" s="1"/>
  <c r="R45" i="31"/>
  <c r="R46" i="31"/>
  <c r="S46" i="3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s="1"/>
  <c r="R71" i="31"/>
  <c r="R72" i="31"/>
  <c r="S72" i="31" s="1"/>
  <c r="R73" i="31"/>
  <c r="R74" i="31"/>
  <c r="S74" i="31"/>
  <c r="R75" i="31"/>
  <c r="R76" i="31"/>
  <c r="S76" i="31" s="1"/>
  <c r="R77" i="31"/>
  <c r="R78" i="31"/>
  <c r="S78" i="31"/>
  <c r="R79" i="31"/>
  <c r="R80" i="31"/>
  <c r="S80" i="31" s="1"/>
  <c r="R81" i="31"/>
  <c r="R82" i="31"/>
  <c r="S82" i="31" s="1"/>
  <c r="R83" i="31"/>
  <c r="R84" i="31"/>
  <c r="S84" i="31" s="1"/>
  <c r="R85" i="31"/>
  <c r="R86" i="31"/>
  <c r="S86" i="31"/>
  <c r="R87" i="31"/>
  <c r="R88" i="31"/>
  <c r="S88" i="31" s="1"/>
  <c r="R89" i="31"/>
  <c r="R90" i="31"/>
  <c r="S90" i="3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s="1"/>
  <c r="R167" i="31"/>
  <c r="R168" i="31"/>
  <c r="S168" i="31" s="1"/>
  <c r="R169" i="31"/>
  <c r="R170" i="31"/>
  <c r="S170" i="31"/>
  <c r="R171" i="31"/>
  <c r="R172" i="31"/>
  <c r="S172" i="31" s="1"/>
  <c r="R173" i="31"/>
  <c r="R174" i="31"/>
  <c r="S174" i="31"/>
  <c r="R175" i="31"/>
  <c r="R176" i="31"/>
  <c r="S176" i="31" s="1"/>
  <c r="R177" i="31"/>
  <c r="R178" i="31"/>
  <c r="S178" i="31" s="1"/>
  <c r="R179" i="31"/>
  <c r="R180" i="31"/>
  <c r="S180" i="31" s="1"/>
  <c r="R181" i="31"/>
  <c r="R182" i="31"/>
  <c r="S182" i="31"/>
  <c r="R183" i="31"/>
  <c r="R184" i="31"/>
  <c r="S184" i="31" s="1"/>
  <c r="R185" i="31"/>
  <c r="R186" i="31"/>
  <c r="S186" i="3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c r="R461" i="31"/>
  <c r="R462" i="31"/>
  <c r="S462" i="31" s="1"/>
  <c r="R463" i="31"/>
  <c r="R464" i="31"/>
  <c r="S464" i="3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T16" i="4"/>
  <c r="D14" i="4"/>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E12" i="52" s="1"/>
  <c r="I2" i="46"/>
  <c r="N12" i="46" s="1"/>
  <c r="A7" i="46"/>
  <c r="F41" i="4"/>
  <c r="J52" i="40" s="1"/>
  <c r="H61" i="49"/>
  <c r="H39" i="46"/>
  <c r="H38" i="46"/>
  <c r="H37" i="46"/>
  <c r="H36" i="46"/>
  <c r="H35" i="46"/>
  <c r="H34" i="46"/>
  <c r="H33" i="46"/>
  <c r="J20" i="46"/>
  <c r="C18" i="46"/>
  <c r="F15" i="46"/>
  <c r="E15" i="46"/>
  <c r="D15" i="46"/>
  <c r="C15" i="46"/>
  <c r="C10" i="46"/>
  <c r="C11" i="46" s="1"/>
  <c r="C9" i="46"/>
  <c r="E19" i="6"/>
  <c r="E32" i="6"/>
  <c r="E20" i="6"/>
  <c r="E21" i="6"/>
  <c r="K8" i="1"/>
  <c r="M8" i="1"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c r="H10" i="40"/>
  <c r="AB10" i="40" s="1"/>
  <c r="H11" i="40"/>
  <c r="AB11" i="40" s="1"/>
  <c r="H36" i="40"/>
  <c r="AB36" i="40" s="1"/>
  <c r="J10" i="40"/>
  <c r="AC10" i="40"/>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24" i="1"/>
  <c r="O75" i="9"/>
  <c r="L75" i="9"/>
  <c r="P75" i="9"/>
  <c r="O74" i="9"/>
  <c r="O73" i="9"/>
  <c r="E66" i="9"/>
  <c r="O72" i="9" s="1"/>
  <c r="F74" i="9"/>
  <c r="P74" i="9" s="1"/>
  <c r="N67" i="9"/>
  <c r="K44" i="9"/>
  <c r="K43" i="9"/>
  <c r="B31" i="1"/>
  <c r="B22" i="1"/>
  <c r="B23" i="1"/>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c r="I55" i="34"/>
  <c r="J55" i="34" s="1"/>
  <c r="G55" i="34"/>
  <c r="H55" i="34" s="1"/>
  <c r="E55" i="34"/>
  <c r="F55" i="34"/>
  <c r="I50" i="40"/>
  <c r="J50" i="40" s="1"/>
  <c r="G50" i="40"/>
  <c r="H50" i="40"/>
  <c r="E50" i="40"/>
  <c r="F50" i="40"/>
  <c r="I55" i="39"/>
  <c r="J55" i="39" s="1"/>
  <c r="G55" i="39"/>
  <c r="H55" i="39" s="1"/>
  <c r="E55" i="39"/>
  <c r="F55" i="39"/>
  <c r="I42" i="36"/>
  <c r="J42" i="36" s="1"/>
  <c r="G42" i="36"/>
  <c r="H42" i="36"/>
  <c r="E42" i="36"/>
  <c r="F42" i="36"/>
  <c r="I44" i="35"/>
  <c r="J44" i="35" s="1"/>
  <c r="G44" i="35"/>
  <c r="H44" i="35" s="1"/>
  <c r="E44" i="35"/>
  <c r="F44" i="35"/>
  <c r="I54" i="33"/>
  <c r="J54" i="33" s="1"/>
  <c r="G54" i="33"/>
  <c r="E54" i="33"/>
  <c r="F54" i="33" s="1"/>
  <c r="H14" i="3"/>
  <c r="G14" i="3" s="1"/>
  <c r="AC14" i="3"/>
  <c r="H15" i="3"/>
  <c r="AC15" i="3"/>
  <c r="G15" i="3" s="1"/>
  <c r="H16" i="3"/>
  <c r="AC16" i="3"/>
  <c r="H17" i="3"/>
  <c r="G17" i="3" s="1"/>
  <c r="AC17" i="3"/>
  <c r="H18" i="3"/>
  <c r="AC18" i="3"/>
  <c r="H19" i="3"/>
  <c r="G19" i="3" s="1"/>
  <c r="AC19" i="3"/>
  <c r="H20" i="3"/>
  <c r="AC20" i="3"/>
  <c r="H481" i="3"/>
  <c r="AC481" i="3"/>
  <c r="H482" i="3"/>
  <c r="AC482" i="3"/>
  <c r="G482" i="3"/>
  <c r="H483" i="3"/>
  <c r="AC483" i="3"/>
  <c r="H484" i="3"/>
  <c r="AC484" i="3"/>
  <c r="H485" i="3"/>
  <c r="AC485" i="3"/>
  <c r="H486" i="3"/>
  <c r="AC486" i="3"/>
  <c r="G486" i="3" s="1"/>
  <c r="H487" i="3"/>
  <c r="AC487" i="3"/>
  <c r="G487" i="3"/>
  <c r="H488" i="3"/>
  <c r="AC488" i="3"/>
  <c r="H489" i="3"/>
  <c r="AC489" i="3"/>
  <c r="G489" i="3" s="1"/>
  <c r="H490" i="3"/>
  <c r="G490" i="3" s="1"/>
  <c r="AC490" i="3"/>
  <c r="H491" i="3"/>
  <c r="AC491" i="3"/>
  <c r="H492" i="3"/>
  <c r="AC492" i="3"/>
  <c r="H493" i="3"/>
  <c r="AC493" i="3"/>
  <c r="G493" i="3" s="1"/>
  <c r="H494" i="3"/>
  <c r="H495" i="3"/>
  <c r="G495" i="3" s="1"/>
  <c r="AC495" i="3"/>
  <c r="H496" i="3"/>
  <c r="AC496" i="3"/>
  <c r="H497" i="3"/>
  <c r="AC497" i="3"/>
  <c r="G497" i="3" s="1"/>
  <c r="H498" i="3"/>
  <c r="AC498" i="3"/>
  <c r="H499" i="3"/>
  <c r="AC499" i="3"/>
  <c r="H500" i="3"/>
  <c r="AC500" i="3"/>
  <c r="G500" i="3" s="1"/>
  <c r="H501" i="3"/>
  <c r="AC501" i="3"/>
  <c r="H502" i="3"/>
  <c r="AC502" i="3"/>
  <c r="H503" i="3"/>
  <c r="G503" i="3" s="1"/>
  <c r="AC503" i="3"/>
  <c r="H504" i="3"/>
  <c r="AC504" i="3"/>
  <c r="G504" i="3" s="1"/>
  <c r="H505" i="3"/>
  <c r="AC505" i="3"/>
  <c r="G505" i="3"/>
  <c r="H506" i="3"/>
  <c r="H507" i="3"/>
  <c r="AC507" i="3"/>
  <c r="H508" i="3"/>
  <c r="AC508" i="3"/>
  <c r="H509" i="3"/>
  <c r="AC509" i="3"/>
  <c r="G509" i="3"/>
  <c r="H510" i="3"/>
  <c r="G510" i="3" s="1"/>
  <c r="AC510" i="3"/>
  <c r="H511" i="3"/>
  <c r="AC511" i="3"/>
  <c r="G511" i="3" s="1"/>
  <c r="H512" i="3"/>
  <c r="G512" i="3" s="1"/>
  <c r="AC512" i="3"/>
  <c r="H513" i="3"/>
  <c r="AC513" i="3"/>
  <c r="H514" i="3"/>
  <c r="AC514" i="3"/>
  <c r="H515" i="3"/>
  <c r="AC515" i="3"/>
  <c r="H516" i="3"/>
  <c r="AC516" i="3"/>
  <c r="G516" i="3" s="1"/>
  <c r="H517" i="3"/>
  <c r="AC517" i="3"/>
  <c r="H518" i="3"/>
  <c r="AC518" i="3"/>
  <c r="H519" i="3"/>
  <c r="AC519" i="3"/>
  <c r="G519" i="3" s="1"/>
  <c r="H520" i="3"/>
  <c r="AC520" i="3"/>
  <c r="G520" i="3" s="1"/>
  <c r="H521" i="3"/>
  <c r="AC521" i="3"/>
  <c r="H522" i="3"/>
  <c r="AC522" i="3"/>
  <c r="H523" i="3"/>
  <c r="AC523" i="3"/>
  <c r="H524" i="3"/>
  <c r="AC524" i="3"/>
  <c r="G524" i="3"/>
  <c r="H525" i="3"/>
  <c r="AC525" i="3"/>
  <c r="G525" i="3" s="1"/>
  <c r="H526" i="3"/>
  <c r="AC526" i="3"/>
  <c r="G526" i="3" s="1"/>
  <c r="H527" i="3"/>
  <c r="AC527" i="3"/>
  <c r="G527" i="3" s="1"/>
  <c r="H528" i="3"/>
  <c r="AC528" i="3"/>
  <c r="G528" i="3" s="1"/>
  <c r="H529" i="3"/>
  <c r="AC529" i="3"/>
  <c r="H530" i="3"/>
  <c r="G530" i="3" s="1"/>
  <c r="AC530" i="3"/>
  <c r="H531" i="3"/>
  <c r="AC531" i="3"/>
  <c r="G531" i="3"/>
  <c r="H532" i="3"/>
  <c r="AC532" i="3"/>
  <c r="G532" i="3" s="1"/>
  <c r="H533" i="3"/>
  <c r="G533" i="3" s="1"/>
  <c r="AC533" i="3"/>
  <c r="H534" i="3"/>
  <c r="AC534" i="3"/>
  <c r="H535" i="3"/>
  <c r="AC535" i="3"/>
  <c r="H536" i="3"/>
  <c r="AC536" i="3"/>
  <c r="G536" i="3"/>
  <c r="H537" i="3"/>
  <c r="AC537" i="3"/>
  <c r="H538" i="3"/>
  <c r="AC538" i="3"/>
  <c r="H539" i="3"/>
  <c r="AC539" i="3"/>
  <c r="H540" i="3"/>
  <c r="AC540" i="3"/>
  <c r="G540" i="3" s="1"/>
  <c r="H541" i="3"/>
  <c r="AC541" i="3"/>
  <c r="G541" i="3"/>
  <c r="H542" i="3"/>
  <c r="H543" i="3"/>
  <c r="AC543" i="3"/>
  <c r="G543" i="3" s="1"/>
  <c r="H544" i="3"/>
  <c r="AC544" i="3"/>
  <c r="H545" i="3"/>
  <c r="AC545" i="3"/>
  <c r="H546" i="3"/>
  <c r="AC546" i="3"/>
  <c r="H547" i="3"/>
  <c r="AC547" i="3"/>
  <c r="G547" i="3" s="1"/>
  <c r="H548" i="3"/>
  <c r="G548" i="3" s="1"/>
  <c r="AC548" i="3"/>
  <c r="H549" i="3"/>
  <c r="AC549" i="3"/>
  <c r="H550" i="3"/>
  <c r="AC550" i="3"/>
  <c r="H551" i="3"/>
  <c r="AC551" i="3"/>
  <c r="G551" i="3" s="1"/>
  <c r="H552" i="3"/>
  <c r="AC552" i="3"/>
  <c r="G552" i="3"/>
  <c r="H553" i="3"/>
  <c r="AC553" i="3"/>
  <c r="H554" i="3"/>
  <c r="AC554" i="3"/>
  <c r="H555" i="3"/>
  <c r="G555" i="3" s="1"/>
  <c r="AC555" i="3"/>
  <c r="H556" i="3"/>
  <c r="AC556" i="3"/>
  <c r="H557" i="3"/>
  <c r="AC557" i="3"/>
  <c r="H558" i="3"/>
  <c r="AC558" i="3"/>
  <c r="G558" i="3" s="1"/>
  <c r="H559" i="3"/>
  <c r="AC559" i="3"/>
  <c r="G559" i="3" s="1"/>
  <c r="H560" i="3"/>
  <c r="AC560" i="3"/>
  <c r="H561" i="3"/>
  <c r="AC561" i="3"/>
  <c r="H562" i="3"/>
  <c r="AC562" i="3"/>
  <c r="H563" i="3"/>
  <c r="AC563" i="3"/>
  <c r="G563" i="3"/>
  <c r="H564" i="3"/>
  <c r="AC564" i="3"/>
  <c r="H565" i="3"/>
  <c r="AC565" i="3"/>
  <c r="H566" i="3"/>
  <c r="G566" i="3" s="1"/>
  <c r="AC566" i="3"/>
  <c r="H567" i="3"/>
  <c r="AC567" i="3"/>
  <c r="G567" i="3"/>
  <c r="H568" i="3"/>
  <c r="AC568" i="3"/>
  <c r="G568" i="3" s="1"/>
  <c r="H569" i="3"/>
  <c r="G569" i="3" s="1"/>
  <c r="AC569" i="3"/>
  <c r="H9" i="12"/>
  <c r="I9" i="12"/>
  <c r="J9" i="12"/>
  <c r="K9" i="12"/>
  <c r="G111" i="21"/>
  <c r="H111" i="21"/>
  <c r="B112" i="39"/>
  <c r="F37" i="39" s="1"/>
  <c r="B114" i="39"/>
  <c r="F38" i="39" s="1"/>
  <c r="AA38" i="39"/>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AB34" i="37"/>
  <c r="D101" i="37"/>
  <c r="F34" i="37"/>
  <c r="D99" i="37"/>
  <c r="E99" i="37"/>
  <c r="H42" i="34"/>
  <c r="J42" i="34"/>
  <c r="F42" i="34"/>
  <c r="J38" i="34"/>
  <c r="D114" i="34"/>
  <c r="F38" i="34"/>
  <c r="S38" i="34" s="1"/>
  <c r="D112" i="34"/>
  <c r="E112" i="34"/>
  <c r="F112" i="34" s="1"/>
  <c r="G112" i="34"/>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c r="H41" i="21"/>
  <c r="U41" i="21" s="1"/>
  <c r="D83" i="39"/>
  <c r="E83" i="39" s="1"/>
  <c r="F83" i="39" s="1"/>
  <c r="G83" i="39" s="1"/>
  <c r="H83" i="39" s="1"/>
  <c r="I83" i="39" s="1"/>
  <c r="J83" i="39" s="1"/>
  <c r="K83" i="39" s="1"/>
  <c r="L83" i="39" s="1"/>
  <c r="M83" i="39" s="1"/>
  <c r="D78" i="40"/>
  <c r="F13" i="40"/>
  <c r="S13" i="40" s="1"/>
  <c r="B122" i="40"/>
  <c r="F42" i="40" s="1"/>
  <c r="AA42" i="40"/>
  <c r="B120" i="40"/>
  <c r="B118" i="40"/>
  <c r="F40" i="40" s="1"/>
  <c r="AA40" i="40" s="1"/>
  <c r="D117" i="40"/>
  <c r="E117" i="40"/>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c r="D113" i="40"/>
  <c r="E113" i="40"/>
  <c r="F113" i="40" s="1"/>
  <c r="M109" i="40"/>
  <c r="L109" i="40"/>
  <c r="K109" i="40"/>
  <c r="J109" i="40"/>
  <c r="I109" i="40"/>
  <c r="H109" i="40"/>
  <c r="G109" i="40"/>
  <c r="F109" i="40"/>
  <c r="E109" i="40"/>
  <c r="D109" i="40"/>
  <c r="C109" i="40"/>
  <c r="B107" i="40"/>
  <c r="B105" i="40"/>
  <c r="F34" i="40" s="1"/>
  <c r="AA34" i="40"/>
  <c r="B103" i="40"/>
  <c r="D102" i="40"/>
  <c r="E102" i="40" s="1"/>
  <c r="F102" i="40" s="1"/>
  <c r="G102" i="40" s="1"/>
  <c r="H102" i="40" s="1"/>
  <c r="I102" i="40" s="1"/>
  <c r="J102" i="40" s="1"/>
  <c r="K102" i="40" s="1"/>
  <c r="L102" i="40" s="1"/>
  <c r="M102" i="40" s="1"/>
  <c r="D100" i="40"/>
  <c r="E100" i="40" s="1"/>
  <c r="D98" i="40"/>
  <c r="E98" i="40" s="1"/>
  <c r="B97" i="40"/>
  <c r="D94" i="40"/>
  <c r="D92" i="40"/>
  <c r="D90" i="40"/>
  <c r="E90" i="40" s="1"/>
  <c r="F90" i="40" s="1"/>
  <c r="G90" i="40" s="1"/>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s="1"/>
  <c r="Q39" i="40"/>
  <c r="Z39" i="40" s="1"/>
  <c r="Q38" i="40"/>
  <c r="Z38" i="40"/>
  <c r="Q37" i="40"/>
  <c r="Z37" i="40"/>
  <c r="Q36" i="40"/>
  <c r="Z36" i="40"/>
  <c r="Q35" i="40"/>
  <c r="Z35" i="40"/>
  <c r="Q34" i="40"/>
  <c r="Z34" i="40" s="1"/>
  <c r="Q33" i="40"/>
  <c r="Z33" i="40" s="1"/>
  <c r="Q32" i="40"/>
  <c r="Z32" i="40"/>
  <c r="Q30" i="40"/>
  <c r="Z30" i="40"/>
  <c r="Q29" i="40"/>
  <c r="Z29" i="40"/>
  <c r="Q25" i="40"/>
  <c r="Z25" i="40"/>
  <c r="Q23" i="40"/>
  <c r="Z23" i="40" s="1"/>
  <c r="Q21" i="40"/>
  <c r="Z21" i="40" s="1"/>
  <c r="Q19" i="40"/>
  <c r="Z19" i="40"/>
  <c r="Q17" i="40"/>
  <c r="Z17" i="40"/>
  <c r="Q16" i="40"/>
  <c r="Z16" i="40"/>
  <c r="Q15" i="40"/>
  <c r="Z15" i="40"/>
  <c r="Q14" i="40"/>
  <c r="Z14" i="40" s="1"/>
  <c r="Q13" i="40"/>
  <c r="Z13" i="40" s="1"/>
  <c r="Q12" i="40"/>
  <c r="Z12" i="40"/>
  <c r="Q11" i="40"/>
  <c r="Z11" i="40"/>
  <c r="C9" i="40"/>
  <c r="C65" i="40"/>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s="1"/>
  <c r="Q41" i="39"/>
  <c r="Z41" i="39" s="1"/>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s="1"/>
  <c r="D97" i="39"/>
  <c r="D95" i="39"/>
  <c r="E95" i="39" s="1"/>
  <c r="F95" i="39" s="1"/>
  <c r="G95" i="39" s="1"/>
  <c r="D93" i="39"/>
  <c r="E93" i="39" s="1"/>
  <c r="F93" i="39" s="1"/>
  <c r="G93" i="39" s="1"/>
  <c r="D91" i="39"/>
  <c r="E91" i="39" s="1"/>
  <c r="F91" i="39"/>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F25" i="37" s="1"/>
  <c r="H25" i="37"/>
  <c r="U25" i="37" s="1"/>
  <c r="B110" i="37"/>
  <c r="J39" i="37" s="1"/>
  <c r="AC39" i="37" s="1"/>
  <c r="B108" i="37"/>
  <c r="J38" i="37" s="1"/>
  <c r="AC38" i="37" s="1"/>
  <c r="C23" i="37"/>
  <c r="C19" i="37"/>
  <c r="C17" i="37"/>
  <c r="C15" i="37"/>
  <c r="B112" i="37"/>
  <c r="D107" i="37"/>
  <c r="E107" i="37" s="1"/>
  <c r="F107" i="37" s="1"/>
  <c r="G107" i="37" s="1"/>
  <c r="H107" i="37" s="1"/>
  <c r="I107" i="37" s="1"/>
  <c r="J107" i="37" s="1"/>
  <c r="K107" i="37" s="1"/>
  <c r="L107" i="37" s="1"/>
  <c r="M107" i="37" s="1"/>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W26" i="37" s="1"/>
  <c r="D79" i="37"/>
  <c r="E79" i="37"/>
  <c r="D75" i="37"/>
  <c r="E75" i="37"/>
  <c r="F75" i="37" s="1"/>
  <c r="D73" i="37"/>
  <c r="E73" i="37" s="1"/>
  <c r="F73" i="37" s="1"/>
  <c r="G73" i="37" s="1"/>
  <c r="D71" i="37"/>
  <c r="E71" i="37" s="1"/>
  <c r="F71" i="37" s="1"/>
  <c r="G71" i="37" s="1"/>
  <c r="F15" i="37"/>
  <c r="AA15" i="37" s="1"/>
  <c r="B68" i="37"/>
  <c r="H14" i="37" s="1"/>
  <c r="U14"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Q30" i="37"/>
  <c r="Z30" i="37" s="1"/>
  <c r="J30" i="37"/>
  <c r="W30" i="37" s="1"/>
  <c r="H30" i="37"/>
  <c r="AB30" i="37" s="1"/>
  <c r="F30" i="37"/>
  <c r="Q29" i="37"/>
  <c r="Z29" i="37"/>
  <c r="H29" i="37"/>
  <c r="U29" i="37"/>
  <c r="Q28" i="37"/>
  <c r="Z28" i="37"/>
  <c r="Q27" i="37"/>
  <c r="Z27" i="37"/>
  <c r="Q26" i="37"/>
  <c r="Z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H32" i="36" s="1"/>
  <c r="AB32" i="36" s="1"/>
  <c r="B95" i="36"/>
  <c r="H34" i="36" s="1"/>
  <c r="D83" i="36"/>
  <c r="E83" i="36" s="1"/>
  <c r="F83" i="36" s="1"/>
  <c r="G83" i="36" s="1"/>
  <c r="H83" i="36" s="1"/>
  <c r="I83" i="36" s="1"/>
  <c r="J83" i="36" s="1"/>
  <c r="K83" i="36" s="1"/>
  <c r="L83" i="36" s="1"/>
  <c r="M83" i="36" s="1"/>
  <c r="D78" i="36"/>
  <c r="J26" i="36"/>
  <c r="W26" i="36" s="1"/>
  <c r="B75" i="36"/>
  <c r="B73" i="36"/>
  <c r="B71" i="36"/>
  <c r="D70" i="36"/>
  <c r="H22" i="36"/>
  <c r="AB22" i="36"/>
  <c r="D68" i="36"/>
  <c r="E68" i="36"/>
  <c r="D64" i="36"/>
  <c r="E64" i="36" s="1"/>
  <c r="F64" i="36" s="1"/>
  <c r="G64" i="36" s="1"/>
  <c r="J16" i="36"/>
  <c r="D62" i="36"/>
  <c r="E62" i="36" s="1"/>
  <c r="B59" i="36"/>
  <c r="B57" i="36"/>
  <c r="J12" i="36" s="1"/>
  <c r="B55" i="36"/>
  <c r="J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c r="Q29" i="36"/>
  <c r="Z29" i="36"/>
  <c r="Q28" i="36"/>
  <c r="Z28" i="36" s="1"/>
  <c r="J28" i="36"/>
  <c r="AC28" i="36" s="1"/>
  <c r="Q27" i="36"/>
  <c r="Z27" i="36" s="1"/>
  <c r="Q26" i="36"/>
  <c r="Z26" i="36" s="1"/>
  <c r="H26" i="36"/>
  <c r="AB26" i="36"/>
  <c r="Q25" i="36"/>
  <c r="Z25" i="36"/>
  <c r="Q24" i="36"/>
  <c r="Z24" i="36" s="1"/>
  <c r="Q23" i="36"/>
  <c r="Z23" i="36" s="1"/>
  <c r="J23" i="36"/>
  <c r="W23" i="36" s="1"/>
  <c r="H23" i="36"/>
  <c r="AB23" i="36" s="1"/>
  <c r="F23" i="36"/>
  <c r="AA23" i="36"/>
  <c r="Q22" i="36"/>
  <c r="Z22" i="36"/>
  <c r="J22" i="36"/>
  <c r="AC22" i="36" s="1"/>
  <c r="Q20" i="36"/>
  <c r="Z20" i="36" s="1"/>
  <c r="Q16" i="36"/>
  <c r="Z16" i="36" s="1"/>
  <c r="Q14" i="36"/>
  <c r="Z14" i="36" s="1"/>
  <c r="Q13" i="36"/>
  <c r="Z13" i="36"/>
  <c r="Q12" i="36"/>
  <c r="Z12" i="36"/>
  <c r="H12" i="36"/>
  <c r="U12" i="36" s="1"/>
  <c r="Q11" i="36"/>
  <c r="Z11" i="36" s="1"/>
  <c r="Q10" i="36"/>
  <c r="Z10" i="36" s="1"/>
  <c r="F10" i="36"/>
  <c r="AA10" i="36" s="1"/>
  <c r="Q9" i="36"/>
  <c r="Z9" i="36"/>
  <c r="J8" i="36"/>
  <c r="AC8" i="36" s="1"/>
  <c r="H8" i="36"/>
  <c r="AB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F35" i="35" s="1"/>
  <c r="S35" i="35" s="1"/>
  <c r="B97" i="35"/>
  <c r="B77" i="35"/>
  <c r="B75" i="35"/>
  <c r="J24" i="35" s="1"/>
  <c r="B73" i="35"/>
  <c r="J23" i="35" s="1"/>
  <c r="AC23" i="35" s="1"/>
  <c r="B57" i="35"/>
  <c r="B61" i="35"/>
  <c r="B59" i="35"/>
  <c r="H12" i="35" s="1"/>
  <c r="B131" i="34"/>
  <c r="H47" i="34" s="1"/>
  <c r="U47" i="34" s="1"/>
  <c r="B129" i="34"/>
  <c r="B127" i="34"/>
  <c r="J45" i="34" s="1"/>
  <c r="W45" i="34" s="1"/>
  <c r="B99" i="34"/>
  <c r="B97" i="34"/>
  <c r="B95" i="34"/>
  <c r="B93" i="34"/>
  <c r="B75" i="34"/>
  <c r="B73" i="34"/>
  <c r="B71" i="34"/>
  <c r="B130" i="33"/>
  <c r="F46" i="33" s="1"/>
  <c r="B128" i="33"/>
  <c r="H45" i="33" s="1"/>
  <c r="U45" i="33"/>
  <c r="B126" i="33"/>
  <c r="B98" i="33"/>
  <c r="F31" i="33" s="1"/>
  <c r="AA31" i="33" s="1"/>
  <c r="B96" i="33"/>
  <c r="B94" i="33"/>
  <c r="J29" i="33" s="1"/>
  <c r="W29" i="33" s="1"/>
  <c r="B74" i="33"/>
  <c r="B72" i="33"/>
  <c r="B70" i="33"/>
  <c r="H12" i="33" s="1"/>
  <c r="U12" i="33" s="1"/>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c r="F64" i="35" s="1"/>
  <c r="G64" i="35" s="1"/>
  <c r="F56" i="35"/>
  <c r="G56" i="35" s="1"/>
  <c r="H56" i="35" s="1"/>
  <c r="I56" i="35" s="1"/>
  <c r="C53" i="35"/>
  <c r="J9" i="35" s="1"/>
  <c r="W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s="1"/>
  <c r="J28" i="35"/>
  <c r="H28" i="35"/>
  <c r="F28" i="35"/>
  <c r="AA28" i="35"/>
  <c r="Q27" i="35"/>
  <c r="Z27" i="35"/>
  <c r="Q26" i="35"/>
  <c r="Z26" i="35"/>
  <c r="Q25" i="35"/>
  <c r="Z25" i="35"/>
  <c r="Q24" i="35"/>
  <c r="Z24" i="35" s="1"/>
  <c r="Q23" i="35"/>
  <c r="Z23" i="35" s="1"/>
  <c r="Q22" i="35"/>
  <c r="Z22" i="35" s="1"/>
  <c r="Q20" i="35"/>
  <c r="Z20" i="35" s="1"/>
  <c r="Q16" i="35"/>
  <c r="Z16" i="35" s="1"/>
  <c r="Q14" i="35"/>
  <c r="Z14" i="35" s="1"/>
  <c r="Q13" i="35"/>
  <c r="Z13" i="35"/>
  <c r="Q12" i="35"/>
  <c r="Z12" i="35" s="1"/>
  <c r="J12" i="35"/>
  <c r="W12" i="35" s="1"/>
  <c r="Q11" i="35"/>
  <c r="Z11" i="35" s="1"/>
  <c r="Q10" i="35"/>
  <c r="Z10" i="35" s="1"/>
  <c r="Q9" i="35"/>
  <c r="Z9" i="35"/>
  <c r="J8" i="35"/>
  <c r="W8" i="35" s="1"/>
  <c r="H8" i="35"/>
  <c r="F8" i="35"/>
  <c r="AA8" i="35" s="1"/>
  <c r="C7" i="35"/>
  <c r="C48" i="35" s="1"/>
  <c r="D48" i="35" s="1"/>
  <c r="E48" i="35" s="1"/>
  <c r="F48" i="35" s="1"/>
  <c r="G48" i="35" s="1"/>
  <c r="D120" i="34"/>
  <c r="E120" i="34" s="1"/>
  <c r="F120" i="34" s="1"/>
  <c r="G120" i="34" s="1"/>
  <c r="H120" i="34" s="1"/>
  <c r="I120" i="34" s="1"/>
  <c r="J120" i="34" s="1"/>
  <c r="K120" i="34" s="1"/>
  <c r="L120" i="34" s="1"/>
  <c r="M120" i="34" s="1"/>
  <c r="D90" i="34"/>
  <c r="C15" i="34"/>
  <c r="F67" i="34"/>
  <c r="G67" i="34" s="1"/>
  <c r="H67" i="34" s="1"/>
  <c r="I67" i="34" s="1"/>
  <c r="H10" i="34"/>
  <c r="AB10" i="34"/>
  <c r="D126" i="34"/>
  <c r="E126" i="34" s="1"/>
  <c r="F126" i="34" s="1"/>
  <c r="G126" i="34" s="1"/>
  <c r="D124" i="34"/>
  <c r="E124" i="34" s="1"/>
  <c r="F124" i="34" s="1"/>
  <c r="G124" i="34" s="1"/>
  <c r="H124" i="34" s="1"/>
  <c r="I124" i="34" s="1"/>
  <c r="J124" i="34" s="1"/>
  <c r="K124" i="34" s="1"/>
  <c r="L124" i="34" s="1"/>
  <c r="M124" i="34" s="1"/>
  <c r="J43" i="34"/>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c r="Q11" i="34"/>
  <c r="Z11" i="34"/>
  <c r="Q10" i="34"/>
  <c r="Z10" i="34"/>
  <c r="F10" i="34"/>
  <c r="AA10" i="34"/>
  <c r="Q9" i="34"/>
  <c r="Z9" i="34" s="1"/>
  <c r="J9" i="34"/>
  <c r="AC9" i="34" s="1"/>
  <c r="J8" i="34"/>
  <c r="W8" i="34" s="1"/>
  <c r="AC8" i="34"/>
  <c r="H8" i="34"/>
  <c r="AB8" i="34" s="1"/>
  <c r="U8" i="34"/>
  <c r="F8" i="34"/>
  <c r="AA8" i="34" s="1"/>
  <c r="C7" i="34"/>
  <c r="C59" i="34" s="1"/>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H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s="1"/>
  <c r="J40" i="33"/>
  <c r="AC40" i="33" s="1"/>
  <c r="H40" i="33"/>
  <c r="AA40" i="33"/>
  <c r="Q39" i="33"/>
  <c r="Z39" i="33"/>
  <c r="J39" i="33"/>
  <c r="AC39" i="33"/>
  <c r="Q38" i="33"/>
  <c r="Z38" i="33"/>
  <c r="J38" i="33"/>
  <c r="AC38" i="33" s="1"/>
  <c r="H38" i="33"/>
  <c r="AB38" i="33" s="1"/>
  <c r="F38" i="33"/>
  <c r="AA38" i="33"/>
  <c r="Q37" i="33"/>
  <c r="Z37" i="33"/>
  <c r="Q36" i="33"/>
  <c r="Z36" i="33"/>
  <c r="Q35" i="33"/>
  <c r="Z35" i="33"/>
  <c r="H35" i="33"/>
  <c r="AB35" i="33" s="1"/>
  <c r="Q34" i="33"/>
  <c r="Z34" i="33" s="1"/>
  <c r="Q33" i="33"/>
  <c r="Z33" i="33"/>
  <c r="J33" i="33"/>
  <c r="AC33" i="33"/>
  <c r="H33" i="33"/>
  <c r="U33" i="33" s="1"/>
  <c r="AB33" i="33"/>
  <c r="F33" i="33"/>
  <c r="S33" i="33" s="1"/>
  <c r="AA33" i="33"/>
  <c r="Q32" i="33"/>
  <c r="Z32" i="33" s="1"/>
  <c r="Q31" i="33"/>
  <c r="Z31" i="33" s="1"/>
  <c r="Q30" i="33"/>
  <c r="Z30" i="33"/>
  <c r="Q29" i="33"/>
  <c r="Z29" i="33"/>
  <c r="Q28" i="33"/>
  <c r="Z28" i="33"/>
  <c r="Q27" i="33"/>
  <c r="Z27" i="33"/>
  <c r="Q26" i="33"/>
  <c r="Z26" i="33" s="1"/>
  <c r="Q25" i="33"/>
  <c r="Z25" i="33" s="1"/>
  <c r="Q23" i="33"/>
  <c r="Z23" i="33"/>
  <c r="Q19" i="33"/>
  <c r="Z19" i="33"/>
  <c r="Q17" i="33"/>
  <c r="Z17" i="33"/>
  <c r="Q15" i="33"/>
  <c r="Z15" i="33"/>
  <c r="F15" i="33"/>
  <c r="AA15" i="33" s="1"/>
  <c r="Q14" i="33"/>
  <c r="Z14" i="33" s="1"/>
  <c r="Q13" i="33"/>
  <c r="Z13" i="33"/>
  <c r="Q12" i="33"/>
  <c r="Z12" i="33"/>
  <c r="J12" i="33"/>
  <c r="W12" i="33"/>
  <c r="F12" i="33"/>
  <c r="S12" i="33" s="1"/>
  <c r="Q11" i="33"/>
  <c r="Z11" i="33" s="1"/>
  <c r="Q10" i="33"/>
  <c r="Z10" i="33"/>
  <c r="Q9" i="33"/>
  <c r="Z9" i="33"/>
  <c r="J8" i="33"/>
  <c r="W8" i="33"/>
  <c r="H8" i="33"/>
  <c r="F8" i="33"/>
  <c r="C7" i="33"/>
  <c r="C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F46" i="21" s="1"/>
  <c r="B128" i="21"/>
  <c r="B126" i="21"/>
  <c r="B98" i="21"/>
  <c r="B96" i="21"/>
  <c r="B94" i="21"/>
  <c r="J29" i="21" s="1"/>
  <c r="AC29" i="21" s="1"/>
  <c r="B92" i="21"/>
  <c r="B90" i="21"/>
  <c r="H27" i="21" s="1"/>
  <c r="AB27" i="21" s="1"/>
  <c r="B74" i="21"/>
  <c r="B72" i="21"/>
  <c r="B70" i="21"/>
  <c r="F12" i="21"/>
  <c r="S12" i="21" s="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2" i="11"/>
  <c r="C9" i="12"/>
  <c r="BB12" i="3"/>
  <c r="F9" i="12"/>
  <c r="D9" i="12"/>
  <c r="E9" i="12"/>
  <c r="G9" i="12"/>
  <c r="K5" i="3"/>
  <c r="J5" i="3"/>
  <c r="BE10" i="3"/>
  <c r="BF5" i="3"/>
  <c r="BG5" i="3"/>
  <c r="BH5" i="3"/>
  <c r="BI5" i="3"/>
  <c r="BT5" i="3"/>
  <c r="AC570" i="3"/>
  <c r="AC571" i="3"/>
  <c r="H571" i="3"/>
  <c r="AC572" i="3"/>
  <c r="H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G570" i="3" s="1"/>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F5" i="3"/>
  <c r="G27" i="6"/>
  <c r="F34" i="21"/>
  <c r="AA34" i="21" s="1"/>
  <c r="H34" i="21"/>
  <c r="U34" i="21" s="1"/>
  <c r="F43" i="21"/>
  <c r="S43" i="21"/>
  <c r="H38" i="21"/>
  <c r="AB38" i="21"/>
  <c r="H43" i="21"/>
  <c r="AB43" i="21" s="1"/>
  <c r="F32" i="21"/>
  <c r="F38" i="21"/>
  <c r="S38" i="21" s="1"/>
  <c r="F36" i="21"/>
  <c r="S36" i="21" s="1"/>
  <c r="F39" i="21"/>
  <c r="AA39" i="21" s="1"/>
  <c r="J40" i="21"/>
  <c r="H35" i="21"/>
  <c r="AB35" i="21" s="1"/>
  <c r="J8" i="21"/>
  <c r="AC8" i="21" s="1"/>
  <c r="J9" i="21"/>
  <c r="AC9" i="21" s="1"/>
  <c r="H8" i="21"/>
  <c r="H9" i="21"/>
  <c r="U9" i="21" s="1"/>
  <c r="H10" i="21"/>
  <c r="U10" i="21"/>
  <c r="H39" i="21"/>
  <c r="AB39" i="21"/>
  <c r="J34" i="21"/>
  <c r="W34" i="21"/>
  <c r="H36" i="21"/>
  <c r="AB36" i="21" s="1"/>
  <c r="U36" i="21"/>
  <c r="F35" i="21"/>
  <c r="AA35" i="21" s="1"/>
  <c r="J33" i="21"/>
  <c r="W33" i="21" s="1"/>
  <c r="H33" i="21"/>
  <c r="U33" i="21" s="1"/>
  <c r="F33" i="21"/>
  <c r="J10" i="21"/>
  <c r="AC10" i="21" s="1"/>
  <c r="H26" i="21"/>
  <c r="AB26" i="21" s="1"/>
  <c r="F19" i="21"/>
  <c r="AA19" i="21" s="1"/>
  <c r="H19" i="21"/>
  <c r="AB19" i="21" s="1"/>
  <c r="J19" i="21"/>
  <c r="W19" i="21" s="1"/>
  <c r="J12" i="21"/>
  <c r="H12" i="21"/>
  <c r="U12" i="21"/>
  <c r="J26" i="21"/>
  <c r="W26" i="21" s="1"/>
  <c r="F26" i="21"/>
  <c r="AA26" i="21" s="1"/>
  <c r="S41" i="21"/>
  <c r="W41" i="21"/>
  <c r="S10" i="39"/>
  <c r="U30" i="37"/>
  <c r="E103" i="37"/>
  <c r="F103" i="37"/>
  <c r="G103" i="37" s="1"/>
  <c r="H103" i="37" s="1"/>
  <c r="I103" i="37" s="1"/>
  <c r="J103" i="37" s="1"/>
  <c r="K103" i="37" s="1"/>
  <c r="L103" i="37" s="1"/>
  <c r="M103" i="37" s="1"/>
  <c r="F39" i="37"/>
  <c r="S39" i="37" s="1"/>
  <c r="W39" i="37"/>
  <c r="F29" i="36"/>
  <c r="AA29" i="36" s="1"/>
  <c r="F16" i="36"/>
  <c r="AA16" i="36" s="1"/>
  <c r="U22" i="36"/>
  <c r="W22" i="36"/>
  <c r="U26" i="36"/>
  <c r="AC31" i="36"/>
  <c r="J33" i="36"/>
  <c r="W33" i="36"/>
  <c r="AC27" i="35"/>
  <c r="U31" i="35"/>
  <c r="S34" i="35"/>
  <c r="S31" i="35"/>
  <c r="U34" i="35"/>
  <c r="F36" i="34"/>
  <c r="S36" i="34"/>
  <c r="S34" i="34"/>
  <c r="W39" i="34"/>
  <c r="H39" i="33"/>
  <c r="AB39" i="33" s="1"/>
  <c r="F26" i="33"/>
  <c r="AA26" i="33" s="1"/>
  <c r="S40" i="33"/>
  <c r="W33" i="33"/>
  <c r="U38" i="33"/>
  <c r="S8" i="21"/>
  <c r="H39" i="37"/>
  <c r="AB39" i="37"/>
  <c r="S10" i="40"/>
  <c r="W10" i="40"/>
  <c r="S11" i="40"/>
  <c r="U11" i="40"/>
  <c r="S36" i="40"/>
  <c r="U36" i="40"/>
  <c r="S40" i="39"/>
  <c r="S36" i="39"/>
  <c r="F11" i="21"/>
  <c r="S11" i="21" s="1"/>
  <c r="AA38" i="21"/>
  <c r="AC35" i="21"/>
  <c r="U36" i="39"/>
  <c r="S42" i="39"/>
  <c r="H32" i="33"/>
  <c r="AB32" i="33" s="1"/>
  <c r="H11" i="21"/>
  <c r="U11" i="21" s="1"/>
  <c r="J11" i="21"/>
  <c r="W11" i="21" s="1"/>
  <c r="F100" i="40"/>
  <c r="F86" i="40"/>
  <c r="G86" i="40" s="1"/>
  <c r="AA12" i="33"/>
  <c r="J27" i="36"/>
  <c r="W27" i="36" s="1"/>
  <c r="J30" i="35"/>
  <c r="W30" i="35" s="1"/>
  <c r="F22" i="35"/>
  <c r="AA22" i="35" s="1"/>
  <c r="H10" i="35"/>
  <c r="U10" i="35" s="1"/>
  <c r="U29" i="36"/>
  <c r="E85" i="36"/>
  <c r="F85" i="36"/>
  <c r="G85" i="36" s="1"/>
  <c r="H85" i="36" s="1"/>
  <c r="I85" i="36" s="1"/>
  <c r="J85" i="36" s="1"/>
  <c r="K85" i="36" s="1"/>
  <c r="L85" i="36" s="1"/>
  <c r="M85" i="36" s="1"/>
  <c r="J29" i="36"/>
  <c r="AC29" i="36" s="1"/>
  <c r="F12" i="36"/>
  <c r="S12" i="36" s="1"/>
  <c r="F24" i="36"/>
  <c r="AA24" i="36" s="1"/>
  <c r="S10" i="36"/>
  <c r="H16" i="35"/>
  <c r="U16" i="35" s="1"/>
  <c r="H33" i="35"/>
  <c r="AB33" i="35" s="1"/>
  <c r="AC8" i="35"/>
  <c r="F35" i="37"/>
  <c r="E101" i="37"/>
  <c r="F101" i="37" s="1"/>
  <c r="G101" i="37" s="1"/>
  <c r="H101" i="37" s="1"/>
  <c r="I101" i="37" s="1"/>
  <c r="J101" i="37" s="1"/>
  <c r="K101" i="37" s="1"/>
  <c r="L101" i="37" s="1"/>
  <c r="M101" i="37" s="1"/>
  <c r="J34" i="37"/>
  <c r="W34" i="37" s="1"/>
  <c r="AA39" i="37"/>
  <c r="H43" i="34"/>
  <c r="U43" i="34" s="1"/>
  <c r="U42" i="34"/>
  <c r="E114" i="34"/>
  <c r="H36" i="34"/>
  <c r="U36" i="34" s="1"/>
  <c r="F37" i="34"/>
  <c r="AA37" i="34" s="1"/>
  <c r="F33" i="34"/>
  <c r="S33" i="34" s="1"/>
  <c r="F19" i="34"/>
  <c r="AA19" i="34"/>
  <c r="J10" i="34"/>
  <c r="AC10" i="34"/>
  <c r="J28" i="34"/>
  <c r="W28" i="34" s="1"/>
  <c r="S38" i="33"/>
  <c r="E113" i="33"/>
  <c r="F113" i="33" s="1"/>
  <c r="G113" i="33" s="1"/>
  <c r="H113" i="33" s="1"/>
  <c r="I113" i="33" s="1"/>
  <c r="J113" i="33" s="1"/>
  <c r="K113" i="33" s="1"/>
  <c r="L113" i="33" s="1"/>
  <c r="M113" i="33" s="1"/>
  <c r="F36" i="33"/>
  <c r="S36" i="33"/>
  <c r="F19" i="33"/>
  <c r="S19" i="33"/>
  <c r="J19" i="33"/>
  <c r="S10" i="21"/>
  <c r="W40" i="33"/>
  <c r="AB30" i="36"/>
  <c r="H29" i="35"/>
  <c r="U34" i="37"/>
  <c r="S34" i="37"/>
  <c r="AA34" i="37"/>
  <c r="AC43" i="34"/>
  <c r="AB42" i="34"/>
  <c r="AB40" i="34"/>
  <c r="W36" i="34"/>
  <c r="J19" i="34"/>
  <c r="AC19" i="34" s="1"/>
  <c r="H37" i="33"/>
  <c r="AB37" i="33" s="1"/>
  <c r="W43" i="34"/>
  <c r="AC42" i="34"/>
  <c r="W42" i="34"/>
  <c r="AA42" i="34"/>
  <c r="S42" i="34"/>
  <c r="AC38" i="34"/>
  <c r="W38" i="34"/>
  <c r="AA38" i="34"/>
  <c r="J37" i="33"/>
  <c r="W37" i="33" s="1"/>
  <c r="J42" i="21"/>
  <c r="AC42" i="21" s="1"/>
  <c r="J44" i="34"/>
  <c r="AC44" i="34" s="1"/>
  <c r="F44" i="34"/>
  <c r="S44" i="34" s="1"/>
  <c r="J10" i="35"/>
  <c r="W10" i="35" s="1"/>
  <c r="AL5" i="3"/>
  <c r="J14" i="21"/>
  <c r="F14" i="21"/>
  <c r="AA14" i="21" s="1"/>
  <c r="H14" i="21"/>
  <c r="U14" i="21" s="1"/>
  <c r="H28" i="21"/>
  <c r="AB28" i="21" s="1"/>
  <c r="F28" i="21"/>
  <c r="J28" i="21"/>
  <c r="AC28" i="21"/>
  <c r="H30" i="21"/>
  <c r="U30" i="21"/>
  <c r="F30" i="21"/>
  <c r="S30" i="21" s="1"/>
  <c r="J30" i="21"/>
  <c r="J44" i="21"/>
  <c r="AC44" i="21" s="1"/>
  <c r="H44" i="21"/>
  <c r="U44" i="21" s="1"/>
  <c r="F44" i="21"/>
  <c r="AA44" i="21" s="1"/>
  <c r="H46" i="21"/>
  <c r="AB46" i="21" s="1"/>
  <c r="J46" i="21"/>
  <c r="W46" i="21" s="1"/>
  <c r="H26" i="33"/>
  <c r="U26" i="33" s="1"/>
  <c r="J28" i="33"/>
  <c r="W28" i="33"/>
  <c r="F33" i="35"/>
  <c r="S33" i="35" s="1"/>
  <c r="J33" i="35"/>
  <c r="W33" i="35"/>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J27" i="21"/>
  <c r="W27" i="21" s="1"/>
  <c r="F27" i="21"/>
  <c r="AA27" i="21" s="1"/>
  <c r="J31" i="21"/>
  <c r="AC31" i="21" s="1"/>
  <c r="H31" i="21"/>
  <c r="F31" i="21"/>
  <c r="S31" i="21" s="1"/>
  <c r="J45" i="21"/>
  <c r="W45" i="21" s="1"/>
  <c r="F45" i="21"/>
  <c r="AA45" i="21" s="1"/>
  <c r="H45" i="21"/>
  <c r="U45" i="21" s="1"/>
  <c r="J27" i="33"/>
  <c r="AC27" i="33" s="1"/>
  <c r="F27" i="33"/>
  <c r="S27" i="33" s="1"/>
  <c r="F13" i="33"/>
  <c r="S13" i="33" s="1"/>
  <c r="J45" i="33"/>
  <c r="F45" i="33"/>
  <c r="AA45" i="33" s="1"/>
  <c r="S45" i="33"/>
  <c r="F11" i="35"/>
  <c r="S11" i="35" s="1"/>
  <c r="H28" i="36"/>
  <c r="U28" i="36"/>
  <c r="H13" i="36"/>
  <c r="AB13" i="36" s="1"/>
  <c r="J13" i="36"/>
  <c r="W13" i="36" s="1"/>
  <c r="F13" i="36"/>
  <c r="S13" i="36" s="1"/>
  <c r="E89" i="37"/>
  <c r="F89" i="37" s="1"/>
  <c r="G89" i="37" s="1"/>
  <c r="H89" i="37" s="1"/>
  <c r="I89" i="37" s="1"/>
  <c r="J89" i="37" s="1"/>
  <c r="K89" i="37" s="1"/>
  <c r="L89" i="37" s="1"/>
  <c r="M89" i="37" s="1"/>
  <c r="J29" i="37"/>
  <c r="W29" i="37" s="1"/>
  <c r="F29" i="37"/>
  <c r="AA29" i="37" s="1"/>
  <c r="F105" i="37"/>
  <c r="AB36" i="37"/>
  <c r="J37" i="37"/>
  <c r="AC37" i="37" s="1"/>
  <c r="H37" i="37"/>
  <c r="U37" i="37" s="1"/>
  <c r="H40" i="37"/>
  <c r="U40" i="37" s="1"/>
  <c r="J40" i="37"/>
  <c r="AC40" i="37" s="1"/>
  <c r="F40" i="37"/>
  <c r="AA40" i="37"/>
  <c r="H14" i="33"/>
  <c r="U14" i="33"/>
  <c r="F14" i="33"/>
  <c r="AA14" i="33" s="1"/>
  <c r="J14" i="33"/>
  <c r="AC14" i="33" s="1"/>
  <c r="H30" i="33"/>
  <c r="AB30" i="33"/>
  <c r="F30" i="33"/>
  <c r="S30" i="33"/>
  <c r="J30" i="33"/>
  <c r="H44" i="33"/>
  <c r="U44" i="33" s="1"/>
  <c r="J44" i="33"/>
  <c r="AC44" i="33" s="1"/>
  <c r="F44" i="33"/>
  <c r="S44" i="33" s="1"/>
  <c r="J46" i="33"/>
  <c r="AC46" i="33" s="1"/>
  <c r="H13" i="34"/>
  <c r="U13" i="34" s="1"/>
  <c r="J13" i="34"/>
  <c r="W13" i="34" s="1"/>
  <c r="F13" i="34"/>
  <c r="AA13" i="34" s="1"/>
  <c r="J29" i="34"/>
  <c r="AC29" i="34" s="1"/>
  <c r="F29" i="34"/>
  <c r="S29" i="34" s="1"/>
  <c r="H29" i="34"/>
  <c r="U29" i="34" s="1"/>
  <c r="J31" i="34"/>
  <c r="AC31" i="34" s="1"/>
  <c r="H31" i="34"/>
  <c r="AB31" i="34" s="1"/>
  <c r="F31" i="34"/>
  <c r="S31" i="34" s="1"/>
  <c r="H45" i="34"/>
  <c r="J47" i="34"/>
  <c r="AC47" i="34" s="1"/>
  <c r="F13" i="35"/>
  <c r="S13" i="35" s="1"/>
  <c r="J13" i="35"/>
  <c r="AC13" i="35" s="1"/>
  <c r="H13" i="35"/>
  <c r="U13" i="35" s="1"/>
  <c r="J25" i="35"/>
  <c r="AC25" i="35" s="1"/>
  <c r="F25" i="35"/>
  <c r="AA25" i="35" s="1"/>
  <c r="H25" i="35"/>
  <c r="J35" i="35"/>
  <c r="AC35" i="35" s="1"/>
  <c r="J25" i="36"/>
  <c r="W25" i="36" s="1"/>
  <c r="F25" i="36"/>
  <c r="AA25" i="36" s="1"/>
  <c r="H25" i="36"/>
  <c r="AB25" i="36" s="1"/>
  <c r="H13" i="37"/>
  <c r="AB13" i="37" s="1"/>
  <c r="F13" i="37"/>
  <c r="S13" i="37" s="1"/>
  <c r="J13" i="37"/>
  <c r="AC13" i="37" s="1"/>
  <c r="F28" i="37"/>
  <c r="AA28" i="37" s="1"/>
  <c r="J28" i="37"/>
  <c r="AC28" i="37" s="1"/>
  <c r="H28" i="37"/>
  <c r="U28" i="37" s="1"/>
  <c r="H38" i="37"/>
  <c r="AB38" i="37" s="1"/>
  <c r="F38" i="37"/>
  <c r="S38" i="37" s="1"/>
  <c r="F27" i="37"/>
  <c r="AA27" i="37" s="1"/>
  <c r="J14" i="37"/>
  <c r="W14" i="37" s="1"/>
  <c r="J27" i="37"/>
  <c r="W27" i="37" s="1"/>
  <c r="AA38" i="37"/>
  <c r="U30" i="33"/>
  <c r="J36" i="37"/>
  <c r="AC36" i="37" s="1"/>
  <c r="G105" i="37"/>
  <c r="AB28" i="36"/>
  <c r="AB30" i="21"/>
  <c r="W14" i="21"/>
  <c r="AC14" i="21"/>
  <c r="W42" i="21"/>
  <c r="U36" i="37"/>
  <c r="AC13" i="36"/>
  <c r="AB45" i="33"/>
  <c r="AC28" i="33"/>
  <c r="AB44" i="21"/>
  <c r="S19" i="21"/>
  <c r="G529" i="3"/>
  <c r="G521" i="3"/>
  <c r="G517" i="3"/>
  <c r="G513" i="3"/>
  <c r="G508" i="3"/>
  <c r="G499" i="3"/>
  <c r="G485" i="3"/>
  <c r="G565" i="3"/>
  <c r="G561" i="3"/>
  <c r="G557" i="3"/>
  <c r="G549" i="3"/>
  <c r="G545" i="3"/>
  <c r="G539" i="3"/>
  <c r="G16" i="3"/>
  <c r="G518" i="3"/>
  <c r="G514" i="3"/>
  <c r="G18" i="3"/>
  <c r="G562" i="3"/>
  <c r="G560" i="3"/>
  <c r="G556" i="3"/>
  <c r="G554" i="3"/>
  <c r="G550" i="3"/>
  <c r="G546" i="3"/>
  <c r="AC542" i="3"/>
  <c r="G542" i="3" s="1"/>
  <c r="G544" i="3"/>
  <c r="G538" i="3"/>
  <c r="G534" i="3"/>
  <c r="G522" i="3"/>
  <c r="AC506" i="3"/>
  <c r="G506" i="3" s="1"/>
  <c r="G502" i="3"/>
  <c r="G498" i="3"/>
  <c r="AC494" i="3"/>
  <c r="G492" i="3"/>
  <c r="G488" i="3"/>
  <c r="G484" i="3"/>
  <c r="G20"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c r="J25" i="21"/>
  <c r="AC25" i="21"/>
  <c r="E125" i="33"/>
  <c r="F125" i="33"/>
  <c r="G125" i="33" s="1"/>
  <c r="H43" i="33"/>
  <c r="U43" i="33" s="1"/>
  <c r="H17" i="37"/>
  <c r="U17" i="37" s="1"/>
  <c r="F23" i="37"/>
  <c r="S23" i="37" s="1"/>
  <c r="F79" i="37"/>
  <c r="G79" i="37" s="1"/>
  <c r="F39" i="33"/>
  <c r="AA39" i="33" s="1"/>
  <c r="F42" i="33"/>
  <c r="AA42" i="33" s="1"/>
  <c r="H28" i="34"/>
  <c r="AB28" i="34" s="1"/>
  <c r="F22" i="36"/>
  <c r="S22" i="36" s="1"/>
  <c r="H35" i="34"/>
  <c r="U35" i="34" s="1"/>
  <c r="F41" i="34"/>
  <c r="S41" i="34"/>
  <c r="H41" i="34"/>
  <c r="U41" i="34"/>
  <c r="J41" i="34"/>
  <c r="F10" i="35"/>
  <c r="S10" i="35" s="1"/>
  <c r="F24" i="35"/>
  <c r="AA24" i="35" s="1"/>
  <c r="H24" i="35"/>
  <c r="AB24" i="35" s="1"/>
  <c r="H23" i="37"/>
  <c r="AB23" i="37"/>
  <c r="J32" i="37"/>
  <c r="AC32" i="37"/>
  <c r="F36" i="37"/>
  <c r="S36" i="37" s="1"/>
  <c r="F37" i="37"/>
  <c r="AA37" i="37" s="1"/>
  <c r="U23" i="37"/>
  <c r="H42" i="33"/>
  <c r="U42" i="33" s="1"/>
  <c r="J43" i="33"/>
  <c r="AC43" i="33"/>
  <c r="J23" i="37"/>
  <c r="W23" i="37" s="1"/>
  <c r="F17" i="37"/>
  <c r="AA17" i="37" s="1"/>
  <c r="AB43" i="33"/>
  <c r="D3" i="21"/>
  <c r="AC33" i="36"/>
  <c r="AC12" i="35"/>
  <c r="W23" i="35"/>
  <c r="S27" i="37"/>
  <c r="U39" i="37"/>
  <c r="AC8" i="37"/>
  <c r="AC36" i="34"/>
  <c r="AA13" i="33"/>
  <c r="U19" i="21"/>
  <c r="AC33" i="21"/>
  <c r="AA36" i="21"/>
  <c r="S39" i="33"/>
  <c r="F43" i="33"/>
  <c r="AA43" i="33"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U31" i="37" s="1"/>
  <c r="J15" i="37"/>
  <c r="W15" i="37"/>
  <c r="AB10" i="37"/>
  <c r="J11" i="37"/>
  <c r="W11" i="37" s="1"/>
  <c r="F21" i="40"/>
  <c r="S21" i="40"/>
  <c r="W36" i="40"/>
  <c r="U40" i="39"/>
  <c r="J21" i="40"/>
  <c r="AC21" i="40" s="1"/>
  <c r="S27" i="31"/>
  <c r="G483" i="3"/>
  <c r="G515" i="3"/>
  <c r="G507" i="3"/>
  <c r="G501" i="3"/>
  <c r="J57" i="39"/>
  <c r="H13" i="40"/>
  <c r="U13" i="40"/>
  <c r="I4" i="4"/>
  <c r="K141" i="21"/>
  <c r="K143" i="21"/>
  <c r="K144" i="21"/>
  <c r="I59" i="40"/>
  <c r="C59" i="40" s="1"/>
  <c r="I60" i="40"/>
  <c r="C60" i="40"/>
  <c r="G297" i="3"/>
  <c r="G299" i="3"/>
  <c r="G304" i="3"/>
  <c r="G321" i="3"/>
  <c r="G323" i="3"/>
  <c r="G328" i="3"/>
  <c r="G337" i="3"/>
  <c r="G339" i="3"/>
  <c r="G344" i="3"/>
  <c r="G353" i="3"/>
  <c r="G355" i="3"/>
  <c r="G357" i="3"/>
  <c r="G359" i="3"/>
  <c r="G362" i="3"/>
  <c r="G371" i="3"/>
  <c r="G373" i="3"/>
  <c r="G378" i="3"/>
  <c r="G116" i="3"/>
  <c r="G120" i="3"/>
  <c r="G124" i="3"/>
  <c r="G128" i="3"/>
  <c r="G132" i="3"/>
  <c r="G136" i="3"/>
  <c r="G140" i="3"/>
  <c r="G144" i="3"/>
  <c r="G148" i="3"/>
  <c r="G155" i="3"/>
  <c r="G159" i="3"/>
  <c r="G163" i="3"/>
  <c r="G167" i="3"/>
  <c r="G171" i="3"/>
  <c r="G175" i="3"/>
  <c r="G180" i="3"/>
  <c r="G537" i="3"/>
  <c r="G182" i="3"/>
  <c r="G186" i="3"/>
  <c r="G190" i="3"/>
  <c r="G194" i="3"/>
  <c r="G198" i="3"/>
  <c r="G491" i="3"/>
  <c r="G300" i="3"/>
  <c r="G303" i="3"/>
  <c r="G308" i="3"/>
  <c r="G319" i="3"/>
  <c r="G324" i="3"/>
  <c r="G327" i="3"/>
  <c r="G332" i="3"/>
  <c r="G335" i="3"/>
  <c r="G340" i="3"/>
  <c r="G343" i="3"/>
  <c r="G348" i="3"/>
  <c r="G351" i="3"/>
  <c r="G356" i="3"/>
  <c r="G360" i="3"/>
  <c r="G361" i="3"/>
  <c r="G366" i="3"/>
  <c r="G369" i="3"/>
  <c r="G374" i="3"/>
  <c r="G377" i="3"/>
  <c r="G382" i="3"/>
  <c r="G385" i="3"/>
  <c r="G523" i="3"/>
  <c r="G298" i="3"/>
  <c r="G302" i="3"/>
  <c r="G306" i="3"/>
  <c r="G310" i="3"/>
  <c r="G312" i="3"/>
  <c r="G314" i="3"/>
  <c r="G316" i="3"/>
  <c r="G318" i="3"/>
  <c r="G322" i="3"/>
  <c r="G326" i="3"/>
  <c r="G330" i="3"/>
  <c r="G334" i="3"/>
  <c r="G338" i="3"/>
  <c r="G342" i="3"/>
  <c r="G346" i="3"/>
  <c r="G350" i="3"/>
  <c r="G354" i="3"/>
  <c r="G358" i="3"/>
  <c r="G364" i="3"/>
  <c r="G368" i="3"/>
  <c r="G372" i="3"/>
  <c r="G376" i="3"/>
  <c r="G380" i="3"/>
  <c r="G384" i="3"/>
  <c r="H7" i="48"/>
  <c r="F33" i="46"/>
  <c r="H16" i="48"/>
  <c r="H9" i="48"/>
  <c r="H8" i="48"/>
  <c r="C12" i="46"/>
  <c r="AB16" i="35"/>
  <c r="AA43" i="21"/>
  <c r="U43" i="21"/>
  <c r="AA13" i="40"/>
  <c r="E78" i="40"/>
  <c r="F78" i="40"/>
  <c r="G78" i="40" s="1"/>
  <c r="H78" i="40" s="1"/>
  <c r="I78" i="40" s="1"/>
  <c r="J78" i="40" s="1"/>
  <c r="K78" i="40" s="1"/>
  <c r="L78" i="40" s="1"/>
  <c r="M78" i="40" s="1"/>
  <c r="R16" i="4"/>
  <c r="P16" i="4"/>
  <c r="D3" i="35"/>
  <c r="G4" i="4"/>
  <c r="S37" i="34"/>
  <c r="J16" i="35"/>
  <c r="W16" i="35"/>
  <c r="U42" i="21"/>
  <c r="AC26" i="36"/>
  <c r="W25" i="35"/>
  <c r="H13" i="39"/>
  <c r="AB13" i="39" s="1"/>
  <c r="F13" i="39"/>
  <c r="J13" i="39"/>
  <c r="AC13" i="39"/>
  <c r="H11" i="37"/>
  <c r="AB11" i="37" s="1"/>
  <c r="W37" i="37"/>
  <c r="AA30" i="33"/>
  <c r="AA36" i="37"/>
  <c r="S42" i="33"/>
  <c r="U32" i="33"/>
  <c r="AC29" i="33"/>
  <c r="S25" i="35"/>
  <c r="W44" i="33"/>
  <c r="AC30" i="33"/>
  <c r="W30" i="33"/>
  <c r="AC29" i="37"/>
  <c r="J33" i="34"/>
  <c r="AC33" i="34" s="1"/>
  <c r="AB36" i="34"/>
  <c r="J40" i="34"/>
  <c r="W40" i="34"/>
  <c r="F16" i="35"/>
  <c r="AA16" i="35" s="1"/>
  <c r="W42" i="33"/>
  <c r="J35" i="34"/>
  <c r="W35" i="34" s="1"/>
  <c r="S30" i="36"/>
  <c r="H16" i="36"/>
  <c r="AB16" i="36" s="1"/>
  <c r="H35" i="37"/>
  <c r="AB35" i="37"/>
  <c r="S26" i="21"/>
  <c r="AB12" i="21"/>
  <c r="H32" i="21"/>
  <c r="U32" i="21"/>
  <c r="AA33" i="21"/>
  <c r="S33" i="21"/>
  <c r="U39" i="21"/>
  <c r="J32" i="21"/>
  <c r="AC32" i="21"/>
  <c r="G13" i="3"/>
  <c r="G494"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S10" i="33" s="1"/>
  <c r="AA10" i="33"/>
  <c r="F11" i="33"/>
  <c r="S11" i="33"/>
  <c r="J15" i="33"/>
  <c r="W15" i="33"/>
  <c r="H19" i="33"/>
  <c r="AB19" i="33" s="1"/>
  <c r="F32" i="33"/>
  <c r="AA32" i="33"/>
  <c r="J32" i="33"/>
  <c r="AC32" i="33" s="1"/>
  <c r="F35" i="33"/>
  <c r="AA35" i="33"/>
  <c r="AB39" i="34"/>
  <c r="F11" i="34"/>
  <c r="S11" i="34" s="1"/>
  <c r="E80" i="34"/>
  <c r="F80" i="34" s="1"/>
  <c r="G80" i="34" s="1"/>
  <c r="H17" i="34"/>
  <c r="AB17" i="34" s="1"/>
  <c r="AB28" i="35"/>
  <c r="U28" i="35"/>
  <c r="J13" i="33"/>
  <c r="W13" i="33"/>
  <c r="H13" i="33"/>
  <c r="U13" i="33" s="1"/>
  <c r="H29" i="33"/>
  <c r="AB29" i="33" s="1"/>
  <c r="F29" i="33"/>
  <c r="AA29" i="33" s="1"/>
  <c r="J12" i="34"/>
  <c r="AC12" i="34"/>
  <c r="H12" i="34"/>
  <c r="AB12" i="34"/>
  <c r="F12" i="34"/>
  <c r="S12" i="34" s="1"/>
  <c r="J14" i="34"/>
  <c r="W14" i="34"/>
  <c r="F14" i="34"/>
  <c r="S14" i="34" s="1"/>
  <c r="H14" i="34"/>
  <c r="AB14" i="34" s="1"/>
  <c r="H30" i="34"/>
  <c r="AB30" i="34"/>
  <c r="F30" i="34"/>
  <c r="S30" i="34"/>
  <c r="J30" i="34"/>
  <c r="W30" i="34" s="1"/>
  <c r="H32" i="34"/>
  <c r="AB32" i="34" s="1"/>
  <c r="F32" i="34"/>
  <c r="AA32" i="34" s="1"/>
  <c r="J32" i="34"/>
  <c r="W32" i="34" s="1"/>
  <c r="H46" i="34"/>
  <c r="AB46" i="34"/>
  <c r="F46" i="34"/>
  <c r="AA46" i="34"/>
  <c r="J46" i="34"/>
  <c r="AC46" i="34"/>
  <c r="H11" i="35"/>
  <c r="J11" i="35"/>
  <c r="AC11" i="35" s="1"/>
  <c r="F96" i="37"/>
  <c r="H32" i="37"/>
  <c r="AB32" i="37"/>
  <c r="F19" i="39"/>
  <c r="S19" i="39"/>
  <c r="H19" i="39"/>
  <c r="J19" i="39"/>
  <c r="W19" i="39" s="1"/>
  <c r="F43" i="39"/>
  <c r="AA43" i="39" s="1"/>
  <c r="H43" i="39"/>
  <c r="U43" i="39"/>
  <c r="J43" i="39"/>
  <c r="AC43" i="39" s="1"/>
  <c r="F99" i="37"/>
  <c r="AC27" i="37"/>
  <c r="W40" i="37"/>
  <c r="W27" i="33"/>
  <c r="AC45" i="21"/>
  <c r="S14" i="21"/>
  <c r="AA44" i="34"/>
  <c r="AB29" i="35"/>
  <c r="U29" i="35"/>
  <c r="AC19" i="33"/>
  <c r="W19" i="33"/>
  <c r="AB43" i="34"/>
  <c r="AC34" i="37"/>
  <c r="S35" i="37"/>
  <c r="AA35" i="37"/>
  <c r="AB10" i="35"/>
  <c r="AA32" i="21"/>
  <c r="S32" i="21"/>
  <c r="U38" i="21"/>
  <c r="AB34" i="21"/>
  <c r="BE5" i="3"/>
  <c r="F42" i="21"/>
  <c r="AA42" i="21" s="1"/>
  <c r="AB40" i="33"/>
  <c r="U40" i="33"/>
  <c r="AA35" i="34"/>
  <c r="S35" i="34"/>
  <c r="E90" i="34"/>
  <c r="H27" i="34"/>
  <c r="AB27" i="34" s="1"/>
  <c r="AB8" i="35"/>
  <c r="U8"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c r="F33" i="36"/>
  <c r="AA33" i="36"/>
  <c r="H27" i="36"/>
  <c r="AB27" i="36" s="1"/>
  <c r="AA31" i="36"/>
  <c r="AC25" i="37"/>
  <c r="AC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c r="H44" i="39"/>
  <c r="U44" i="39" s="1"/>
  <c r="J44" i="39"/>
  <c r="W44" i="39"/>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c r="F34" i="39"/>
  <c r="AA34" i="39" s="1"/>
  <c r="H34" i="39"/>
  <c r="AB34" i="39" s="1"/>
  <c r="J34" i="39"/>
  <c r="AC34" i="39" s="1"/>
  <c r="F39" i="39"/>
  <c r="H39" i="39"/>
  <c r="AB39" i="39" s="1"/>
  <c r="J39" i="39"/>
  <c r="J29" i="35"/>
  <c r="AC29" i="35" s="1"/>
  <c r="F29" i="35"/>
  <c r="AA29" i="35" s="1"/>
  <c r="S29" i="35"/>
  <c r="W30" i="36"/>
  <c r="AC30" i="36"/>
  <c r="S37" i="39"/>
  <c r="H37" i="39"/>
  <c r="U37" i="39" s="1"/>
  <c r="J37" i="39"/>
  <c r="W37" i="39"/>
  <c r="BJ5" i="3"/>
  <c r="BB5" i="3"/>
  <c r="F36" i="44"/>
  <c r="F114" i="34"/>
  <c r="G114" i="34" s="1"/>
  <c r="H114" i="34" s="1"/>
  <c r="I114" i="34" s="1"/>
  <c r="J114" i="34" s="1"/>
  <c r="K114" i="34" s="1"/>
  <c r="L114" i="34" s="1"/>
  <c r="M114" i="34" s="1"/>
  <c r="H38" i="34"/>
  <c r="U38" i="34" s="1"/>
  <c r="H30" i="40"/>
  <c r="AB30" i="40" s="1"/>
  <c r="G100" i="40"/>
  <c r="J30" i="40"/>
  <c r="AC30" i="40"/>
  <c r="F38" i="40"/>
  <c r="AA38" i="40" s="1"/>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s="1"/>
  <c r="H23" i="35"/>
  <c r="F23" i="35"/>
  <c r="AA23" i="35" s="1"/>
  <c r="AB36" i="35"/>
  <c r="U36" i="35"/>
  <c r="W12" i="36"/>
  <c r="AC12" i="36"/>
  <c r="U31" i="36"/>
  <c r="S8" i="37"/>
  <c r="AA8" i="37"/>
  <c r="F14" i="39"/>
  <c r="AA14" i="39"/>
  <c r="H14" i="39"/>
  <c r="AB14" i="39" s="1"/>
  <c r="J14" i="39"/>
  <c r="AC14" i="39"/>
  <c r="F16" i="39"/>
  <c r="S16" i="39" s="1"/>
  <c r="H16" i="39"/>
  <c r="U16" i="39"/>
  <c r="J16" i="39"/>
  <c r="AC16" i="39"/>
  <c r="F23" i="39"/>
  <c r="AA23" i="39"/>
  <c r="E97" i="39"/>
  <c r="F27" i="39"/>
  <c r="AA27" i="39" s="1"/>
  <c r="H27" i="39"/>
  <c r="AB27" i="39" s="1"/>
  <c r="J27" i="39"/>
  <c r="AC27" i="39" s="1"/>
  <c r="F15" i="40"/>
  <c r="AA15" i="40" s="1"/>
  <c r="J15" i="40"/>
  <c r="AC15" i="40" s="1"/>
  <c r="H15" i="40"/>
  <c r="AB15" i="40"/>
  <c r="E92" i="40"/>
  <c r="F92" i="40"/>
  <c r="G92" i="40" s="1"/>
  <c r="H23" i="40"/>
  <c r="AB23" i="40" s="1"/>
  <c r="U23" i="40"/>
  <c r="H41" i="40"/>
  <c r="AB41" i="40" s="1"/>
  <c r="F41" i="40"/>
  <c r="AA41" i="40" s="1"/>
  <c r="J41" i="40"/>
  <c r="AC41" i="40" s="1"/>
  <c r="H36" i="33"/>
  <c r="AB36" i="33" s="1"/>
  <c r="H37" i="34"/>
  <c r="U37" i="34" s="1"/>
  <c r="F15" i="39"/>
  <c r="AA15" i="39"/>
  <c r="H15" i="39"/>
  <c r="U15" i="39"/>
  <c r="J15" i="39"/>
  <c r="AC15" i="39"/>
  <c r="H25" i="39"/>
  <c r="U25" i="39"/>
  <c r="J25" i="39"/>
  <c r="AC25" i="39"/>
  <c r="F25" i="39"/>
  <c r="S25" i="39" s="1"/>
  <c r="F45" i="39"/>
  <c r="AA45" i="39"/>
  <c r="H45" i="39"/>
  <c r="U45" i="39"/>
  <c r="J45" i="39"/>
  <c r="AC45" i="39"/>
  <c r="F47" i="39"/>
  <c r="AA47" i="39"/>
  <c r="H47" i="39"/>
  <c r="AB47" i="39"/>
  <c r="J47" i="39"/>
  <c r="AC47" i="39" s="1"/>
  <c r="F41" i="39"/>
  <c r="AA41" i="39"/>
  <c r="H41" i="39"/>
  <c r="AB41" i="39"/>
  <c r="J41" i="39"/>
  <c r="AC41" i="39"/>
  <c r="E94" i="40"/>
  <c r="J25" i="40"/>
  <c r="AC25" i="40" s="1"/>
  <c r="J32" i="40"/>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s="1"/>
  <c r="B41" i="1"/>
  <c r="F27" i="43" s="1"/>
  <c r="J42" i="40"/>
  <c r="AC42" i="40" s="1"/>
  <c r="J40" i="40"/>
  <c r="AC40" i="40" s="1"/>
  <c r="J34" i="40"/>
  <c r="AC34" i="40"/>
  <c r="H16" i="40"/>
  <c r="AB16" i="40"/>
  <c r="H14" i="40"/>
  <c r="U14" i="40" s="1"/>
  <c r="F32" i="40"/>
  <c r="AA32" i="40"/>
  <c r="M1" i="46"/>
  <c r="M6" i="46"/>
  <c r="M10" i="46"/>
  <c r="N2" i="46"/>
  <c r="N5" i="46"/>
  <c r="F58" i="46"/>
  <c r="H61" i="46" s="1"/>
  <c r="N7" i="46"/>
  <c r="M7" i="46"/>
  <c r="M11" i="46"/>
  <c r="N3" i="46"/>
  <c r="N6" i="46"/>
  <c r="N10" i="46"/>
  <c r="J13" i="40"/>
  <c r="W13" i="40" s="1"/>
  <c r="F71" i="9"/>
  <c r="S33" i="40"/>
  <c r="S47" i="39"/>
  <c r="AB25" i="39"/>
  <c r="AB37" i="34"/>
  <c r="J23" i="40"/>
  <c r="AC23" i="40" s="1"/>
  <c r="F23" i="40"/>
  <c r="S23" i="40"/>
  <c r="W15" i="40"/>
  <c r="S23" i="39"/>
  <c r="AB16" i="39"/>
  <c r="W14" i="39"/>
  <c r="U23" i="35"/>
  <c r="AB23" i="35"/>
  <c r="H20" i="35"/>
  <c r="F20" i="35"/>
  <c r="S20" i="35" s="1"/>
  <c r="H15" i="34"/>
  <c r="AB15" i="34" s="1"/>
  <c r="J15" i="34"/>
  <c r="AC15" i="34" s="1"/>
  <c r="H41" i="33"/>
  <c r="U41" i="33"/>
  <c r="F121" i="33"/>
  <c r="G121" i="33"/>
  <c r="H121" i="33" s="1"/>
  <c r="I121" i="33" s="1"/>
  <c r="J121" i="33" s="1"/>
  <c r="K121" i="33" s="1"/>
  <c r="L121" i="33" s="1"/>
  <c r="M121" i="33" s="1"/>
  <c r="F30" i="40"/>
  <c r="AA30" i="40"/>
  <c r="H100" i="40"/>
  <c r="I100" i="40" s="1"/>
  <c r="J100" i="40" s="1"/>
  <c r="K100" i="40" s="1"/>
  <c r="L100" i="40" s="1"/>
  <c r="M100" i="40" s="1"/>
  <c r="U39" i="39"/>
  <c r="J29" i="39"/>
  <c r="AC29" i="39" s="1"/>
  <c r="AB21" i="39"/>
  <c r="U21" i="39"/>
  <c r="AB17" i="39"/>
  <c r="AB33" i="36"/>
  <c r="AA11" i="36"/>
  <c r="AA14" i="35"/>
  <c r="S14" i="35"/>
  <c r="G99" i="37"/>
  <c r="F33" i="37"/>
  <c r="AB19" i="39"/>
  <c r="U19" i="39"/>
  <c r="U46" i="34"/>
  <c r="AC30" i="34"/>
  <c r="AA14" i="34"/>
  <c r="W12" i="34"/>
  <c r="AC13" i="33"/>
  <c r="U17" i="34"/>
  <c r="AA11" i="34"/>
  <c r="H15" i="33"/>
  <c r="U15" i="33"/>
  <c r="AA11" i="33"/>
  <c r="AA40" i="21"/>
  <c r="U17" i="21"/>
  <c r="S13" i="39"/>
  <c r="AA13" i="39"/>
  <c r="U16" i="40"/>
  <c r="W34" i="40"/>
  <c r="AB34" i="40"/>
  <c r="AC16" i="40"/>
  <c r="H25" i="40"/>
  <c r="AB25" i="40" s="1"/>
  <c r="F94" i="40"/>
  <c r="G94" i="40" s="1"/>
  <c r="U47" i="39"/>
  <c r="W15" i="39"/>
  <c r="J37" i="34"/>
  <c r="AC37" i="34" s="1"/>
  <c r="J36" i="33"/>
  <c r="W36" i="33"/>
  <c r="H23" i="39"/>
  <c r="AB23" i="39" s="1"/>
  <c r="J23" i="39"/>
  <c r="AC23" i="39" s="1"/>
  <c r="F97" i="39"/>
  <c r="G97" i="39" s="1"/>
  <c r="S15" i="34"/>
  <c r="AA15" i="34"/>
  <c r="AA41" i="33"/>
  <c r="AA34" i="33"/>
  <c r="F106" i="33"/>
  <c r="G106" i="33"/>
  <c r="H106" i="33" s="1"/>
  <c r="I106" i="33" s="1"/>
  <c r="J106" i="33" s="1"/>
  <c r="K106" i="33" s="1"/>
  <c r="L106" i="33" s="1"/>
  <c r="M106" i="33" s="1"/>
  <c r="J34" i="33"/>
  <c r="AC34" i="33"/>
  <c r="U30" i="40"/>
  <c r="AA37" i="39"/>
  <c r="W29" i="35"/>
  <c r="AC39" i="39"/>
  <c r="W39" i="39"/>
  <c r="AA39" i="39"/>
  <c r="S39" i="39"/>
  <c r="AB29" i="39"/>
  <c r="AB46" i="39"/>
  <c r="AC33" i="39"/>
  <c r="W33" i="39"/>
  <c r="AA33" i="39"/>
  <c r="S33" i="39"/>
  <c r="U11" i="36"/>
  <c r="F80" i="35"/>
  <c r="G80" i="35" s="1"/>
  <c r="H80" i="35" s="1"/>
  <c r="I80" i="35" s="1"/>
  <c r="J80" i="35" s="1"/>
  <c r="K80" i="35" s="1"/>
  <c r="L80" i="35" s="1"/>
  <c r="M80" i="35" s="1"/>
  <c r="W14" i="35"/>
  <c r="F90" i="34"/>
  <c r="G90" i="34"/>
  <c r="H90" i="34" s="1"/>
  <c r="I90" i="34" s="1"/>
  <c r="J90" i="34" s="1"/>
  <c r="K90" i="34" s="1"/>
  <c r="L90" i="34" s="1"/>
  <c r="M90" i="34" s="1"/>
  <c r="F27" i="34"/>
  <c r="AA27" i="34" s="1"/>
  <c r="W43" i="39"/>
  <c r="S43" i="39"/>
  <c r="AA19" i="39"/>
  <c r="G96" i="37"/>
  <c r="H96" i="37" s="1"/>
  <c r="I96" i="37" s="1"/>
  <c r="J96" i="37" s="1"/>
  <c r="K96" i="37" s="1"/>
  <c r="L96" i="37" s="1"/>
  <c r="M96" i="37" s="1"/>
  <c r="F32" i="37"/>
  <c r="AA32" i="37" s="1"/>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S17" i="34"/>
  <c r="AC36" i="33"/>
  <c r="F25" i="40"/>
  <c r="AA25" i="40" s="1"/>
  <c r="J11" i="33"/>
  <c r="W11" i="33" s="1"/>
  <c r="H33" i="37"/>
  <c r="AB33" i="37" s="1"/>
  <c r="U20" i="35"/>
  <c r="AB20" i="35"/>
  <c r="W23" i="40"/>
  <c r="AP11" i="1"/>
  <c r="B11" i="1"/>
  <c r="E11" i="1" s="1"/>
  <c r="K11" i="1"/>
  <c r="M11" i="1" s="1"/>
  <c r="O11" i="1"/>
  <c r="P11" i="1"/>
  <c r="B9" i="1"/>
  <c r="E9" i="1" s="1"/>
  <c r="K9" i="1"/>
  <c r="M9" i="1" s="1"/>
  <c r="B7" i="1"/>
  <c r="E7" i="1" s="1"/>
  <c r="K7" i="1"/>
  <c r="M7" i="1" s="1"/>
  <c r="O7" i="1"/>
  <c r="P7" i="1"/>
  <c r="C20" i="43"/>
  <c r="F6" i="1"/>
  <c r="AP6" i="1"/>
  <c r="G11" i="1"/>
  <c r="M22" i="44"/>
  <c r="F29" i="12"/>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S33" i="36"/>
  <c r="AA27" i="36"/>
  <c r="S16" i="36"/>
  <c r="S29" i="36"/>
  <c r="AC33" i="35"/>
  <c r="AA13" i="35"/>
  <c r="AC9" i="35"/>
  <c r="S8" i="35"/>
  <c r="U33" i="35"/>
  <c r="AA20" i="35"/>
  <c r="W20" i="35"/>
  <c r="S23" i="35"/>
  <c r="S16" i="35"/>
  <c r="AB14" i="35"/>
  <c r="AC10" i="35"/>
  <c r="W13" i="35"/>
  <c r="AC18" i="35"/>
  <c r="W18" i="35"/>
  <c r="U18" i="35"/>
  <c r="AB18" i="35"/>
  <c r="S30" i="35"/>
  <c r="AA35" i="35"/>
  <c r="AB30" i="35"/>
  <c r="S27" i="35"/>
  <c r="S28" i="35"/>
  <c r="J26" i="35"/>
  <c r="AC26" i="35" s="1"/>
  <c r="F26" i="35"/>
  <c r="H26" i="35"/>
  <c r="AB9" i="37"/>
  <c r="W12" i="37"/>
  <c r="AA9" i="37"/>
  <c r="S17" i="37"/>
  <c r="W28" i="37"/>
  <c r="AB37" i="37"/>
  <c r="AA31" i="37"/>
  <c r="S33" i="37"/>
  <c r="AA33" i="37"/>
  <c r="U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AC25" i="34" s="1"/>
  <c r="H25" i="34"/>
  <c r="F25" i="34"/>
  <c r="J23" i="34"/>
  <c r="F23" i="34"/>
  <c r="AA23" i="34" s="1"/>
  <c r="H23" i="34"/>
  <c r="W10" i="34"/>
  <c r="U10" i="34"/>
  <c r="W37" i="34"/>
  <c r="AC40" i="34"/>
  <c r="W44" i="34"/>
  <c r="W19" i="34"/>
  <c r="W29" i="34"/>
  <c r="AC21" i="34"/>
  <c r="W21" i="34"/>
  <c r="U15" i="34"/>
  <c r="AB21" i="34"/>
  <c r="U21" i="34"/>
  <c r="U27" i="34"/>
  <c r="U19" i="34"/>
  <c r="AB41" i="34"/>
  <c r="S13" i="34"/>
  <c r="AA41" i="34"/>
  <c r="S10" i="34"/>
  <c r="U39" i="33"/>
  <c r="U37" i="33"/>
  <c r="S35" i="33"/>
  <c r="W34" i="33"/>
  <c r="AC12" i="33"/>
  <c r="AB41" i="33"/>
  <c r="AC35" i="33"/>
  <c r="S29" i="33"/>
  <c r="W43" i="33"/>
  <c r="W39" i="33"/>
  <c r="U35" i="33"/>
  <c r="AB34" i="33"/>
  <c r="AB26" i="33"/>
  <c r="H25" i="33"/>
  <c r="AB25" i="33" s="1"/>
  <c r="J25" i="33"/>
  <c r="W25" i="33" s="1"/>
  <c r="F25" i="33"/>
  <c r="J23" i="33"/>
  <c r="AC23" i="33" s="1"/>
  <c r="F23" i="33"/>
  <c r="S23" i="33" s="1"/>
  <c r="H23" i="33"/>
  <c r="U19" i="33"/>
  <c r="F17" i="33"/>
  <c r="S17" i="33" s="1"/>
  <c r="H17" i="33"/>
  <c r="J17" i="33"/>
  <c r="AB15" i="33"/>
  <c r="AC11" i="33"/>
  <c r="S14"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s="1"/>
  <c r="F23" i="21"/>
  <c r="S23" i="21" s="1"/>
  <c r="H23" i="21"/>
  <c r="AA17" i="21"/>
  <c r="W17" i="21"/>
  <c r="F15" i="21"/>
  <c r="F77" i="21"/>
  <c r="G77" i="21"/>
  <c r="J15" i="21"/>
  <c r="H15" i="21"/>
  <c r="AB15" i="21" s="1"/>
  <c r="AC11" i="21"/>
  <c r="AB11" i="21"/>
  <c r="W13" i="21"/>
  <c r="AA11" i="21"/>
  <c r="AC21" i="21"/>
  <c r="W21" i="21"/>
  <c r="W44" i="21"/>
  <c r="AC19" i="21"/>
  <c r="W10" i="21"/>
  <c r="AC38" i="21"/>
  <c r="AB21" i="21"/>
  <c r="U21" i="21"/>
  <c r="AA30" i="21"/>
  <c r="AA31" i="21"/>
  <c r="W33" i="40"/>
  <c r="U33" i="40"/>
  <c r="S35" i="40"/>
  <c r="U15" i="40"/>
  <c r="S14" i="40"/>
  <c r="S15" i="40"/>
  <c r="AB13" i="40"/>
  <c r="S16" i="40"/>
  <c r="W11" i="40"/>
  <c r="AA21" i="40"/>
  <c r="U21" i="40"/>
  <c r="W25" i="40"/>
  <c r="U25" i="40"/>
  <c r="W42" i="40"/>
  <c r="U35" i="40"/>
  <c r="F37" i="40"/>
  <c r="J37" i="40"/>
  <c r="AC37" i="40"/>
  <c r="H37" i="40"/>
  <c r="AB37" i="40" s="1"/>
  <c r="G113" i="40"/>
  <c r="H113" i="40" s="1"/>
  <c r="I113" i="40" s="1"/>
  <c r="J113" i="40" s="1"/>
  <c r="K113" i="40" s="1"/>
  <c r="L113" i="40" s="1"/>
  <c r="M113" i="40" s="1"/>
  <c r="F39" i="40"/>
  <c r="S38" i="40"/>
  <c r="H39" i="40"/>
  <c r="U39" i="40" s="1"/>
  <c r="J39" i="40"/>
  <c r="W38" i="40"/>
  <c r="F29" i="40"/>
  <c r="H29" i="40"/>
  <c r="J29" i="40"/>
  <c r="W29" i="40" s="1"/>
  <c r="F98" i="40"/>
  <c r="G98" i="40"/>
  <c r="H98" i="40" s="1"/>
  <c r="I98" i="40" s="1"/>
  <c r="J98" i="40" s="1"/>
  <c r="K98" i="40" s="1"/>
  <c r="L98" i="40" s="1"/>
  <c r="M98" i="40" s="1"/>
  <c r="S30" i="40"/>
  <c r="S25" i="40"/>
  <c r="AA23" i="40"/>
  <c r="F88" i="40"/>
  <c r="G88" i="40" s="1"/>
  <c r="F19" i="40"/>
  <c r="S19" i="40" s="1"/>
  <c r="H19" i="40"/>
  <c r="AB19" i="40" s="1"/>
  <c r="J19" i="40"/>
  <c r="AC19" i="40" s="1"/>
  <c r="W17" i="40"/>
  <c r="AC17" i="40"/>
  <c r="F17" i="40"/>
  <c r="AA17" i="40"/>
  <c r="H17" i="40"/>
  <c r="AB17" i="40" s="1"/>
  <c r="W21" i="40"/>
  <c r="AB40" i="40"/>
  <c r="U10" i="40"/>
  <c r="U27" i="40"/>
  <c r="AB27" i="40"/>
  <c r="AC44" i="39"/>
  <c r="W13" i="39"/>
  <c r="S11" i="39"/>
  <c r="AB45" i="39"/>
  <c r="S27" i="39"/>
  <c r="AA21" i="39"/>
  <c r="AC19" i="39"/>
  <c r="AC38" i="39"/>
  <c r="W29" i="39"/>
  <c r="S29" i="39"/>
  <c r="AC21" i="39"/>
  <c r="AC17" i="39"/>
  <c r="S14" i="39"/>
  <c r="AB15" i="39"/>
  <c r="U11" i="39"/>
  <c r="U41" i="39"/>
  <c r="AB38" i="39"/>
  <c r="U31" i="39"/>
  <c r="AB31" i="39"/>
  <c r="S38" i="39"/>
  <c r="S22" i="31"/>
  <c r="R22" i="31" s="1"/>
  <c r="B21" i="31" s="1"/>
  <c r="B22" i="63"/>
  <c r="M20" i="15"/>
  <c r="D96" i="9"/>
  <c r="M18" i="15"/>
  <c r="A18" i="64"/>
  <c r="B74" i="63" s="1"/>
  <c r="C53" i="10"/>
  <c r="A25" i="64" s="1"/>
  <c r="A18" i="51"/>
  <c r="B14" i="63" s="1"/>
  <c r="F3" i="35"/>
  <c r="K1" i="43"/>
  <c r="K1" i="12"/>
  <c r="G1" i="44"/>
  <c r="I4" i="6"/>
  <c r="G3" i="46"/>
  <c r="BK5" i="3"/>
  <c r="E14" i="6" s="1"/>
  <c r="E66" i="39" s="1"/>
  <c r="BO5" i="3"/>
  <c r="BP5" i="3"/>
  <c r="G29" i="6" s="1"/>
  <c r="G30" i="6" s="1"/>
  <c r="G31" i="6" s="1"/>
  <c r="BN5" i="3"/>
  <c r="BC5" i="3"/>
  <c r="E8" i="6"/>
  <c r="BD5" i="3"/>
  <c r="BR5" i="3"/>
  <c r="G28" i="6" s="1"/>
  <c r="BS5" i="3"/>
  <c r="BQ5" i="3"/>
  <c r="BM5" i="3"/>
  <c r="F29" i="6" s="1"/>
  <c r="G28" i="12"/>
  <c r="G22" i="43"/>
  <c r="G26" i="12"/>
  <c r="D24" i="44"/>
  <c r="D26" i="44"/>
  <c r="G27" i="12"/>
  <c r="G23" i="43"/>
  <c r="G21" i="43"/>
  <c r="N8" i="46"/>
  <c r="F80" i="46" s="1"/>
  <c r="N4" i="46"/>
  <c r="N1" i="46"/>
  <c r="F69" i="46"/>
  <c r="H73" i="46" s="1"/>
  <c r="F47" i="46"/>
  <c r="M9" i="46"/>
  <c r="M2" i="46"/>
  <c r="N11" i="46"/>
  <c r="N9" i="46"/>
  <c r="M4" i="46"/>
  <c r="M12" i="46"/>
  <c r="M8" i="46"/>
  <c r="C6" i="46" s="1"/>
  <c r="M3" i="46"/>
  <c r="M5" i="46"/>
  <c r="H6" i="48"/>
  <c r="H15" i="48"/>
  <c r="H5" i="48"/>
  <c r="H14" i="48"/>
  <c r="F36" i="46"/>
  <c r="K17" i="46"/>
  <c r="F39" i="46"/>
  <c r="H13" i="48"/>
  <c r="H11" i="48"/>
  <c r="D17" i="46"/>
  <c r="D71" i="46"/>
  <c r="D84" i="46"/>
  <c r="D69" i="46"/>
  <c r="E69" i="46" s="1"/>
  <c r="B67" i="46" s="1"/>
  <c r="E47" i="46"/>
  <c r="B45" i="46" s="1"/>
  <c r="E58" i="46"/>
  <c r="B56" i="46" s="1"/>
  <c r="A4" i="64"/>
  <c r="A4" i="51"/>
  <c r="B6" i="63" s="1"/>
  <c r="C51" i="10"/>
  <c r="I100" i="46"/>
  <c r="N100" i="46"/>
  <c r="H100" i="46"/>
  <c r="F108" i="46"/>
  <c r="E100" i="46"/>
  <c r="G100" i="46"/>
  <c r="C100" i="46"/>
  <c r="J100" i="46"/>
  <c r="M100" i="46"/>
  <c r="AA12" i="36"/>
  <c r="U12" i="35"/>
  <c r="AB12" i="35"/>
  <c r="W11" i="35"/>
  <c r="AA11" i="35"/>
  <c r="U13" i="37"/>
  <c r="S13" i="21"/>
  <c r="C24" i="9"/>
  <c r="C25" i="9"/>
  <c r="G9" i="1"/>
  <c r="G8" i="1"/>
  <c r="L5" i="54"/>
  <c r="B39" i="63" s="1"/>
  <c r="K5" i="54"/>
  <c r="B38" i="63" s="1"/>
  <c r="T41" i="4"/>
  <c r="A17" i="64" s="1"/>
  <c r="B46" i="50"/>
  <c r="B4" i="63" s="1"/>
  <c r="C46" i="36"/>
  <c r="C52" i="37"/>
  <c r="D52" i="37" s="1"/>
  <c r="E52" i="37" s="1"/>
  <c r="O19" i="46"/>
  <c r="A22" i="51"/>
  <c r="B16" i="63" s="1"/>
  <c r="H10" i="48"/>
  <c r="K10" i="1"/>
  <c r="M10" i="1" s="1"/>
  <c r="O10" i="1"/>
  <c r="P10" i="1"/>
  <c r="S11" i="1"/>
  <c r="R11" i="1"/>
  <c r="S13" i="1"/>
  <c r="R13" i="1"/>
  <c r="B6" i="1"/>
  <c r="E6" i="1"/>
  <c r="B10" i="1"/>
  <c r="E10" i="1"/>
  <c r="S10" i="1"/>
  <c r="B8" i="1"/>
  <c r="E8" i="1" s="1"/>
  <c r="B12" i="1"/>
  <c r="E12" i="1" s="1"/>
  <c r="S12" i="1"/>
  <c r="K6" i="1"/>
  <c r="M6" i="1"/>
  <c r="G1" i="15"/>
  <c r="F66" i="36"/>
  <c r="G66" i="36" s="1"/>
  <c r="H18" i="36"/>
  <c r="AB18" i="36" s="1"/>
  <c r="U16" i="36"/>
  <c r="S25" i="36"/>
  <c r="U23" i="36"/>
  <c r="AC27" i="36"/>
  <c r="W28" i="36"/>
  <c r="U13" i="36"/>
  <c r="AA22" i="36"/>
  <c r="U10" i="36"/>
  <c r="AA13" i="36"/>
  <c r="W29" i="36"/>
  <c r="W8" i="36"/>
  <c r="AC30" i="35"/>
  <c r="U24" i="35"/>
  <c r="W32" i="35"/>
  <c r="S24" i="35"/>
  <c r="AA33" i="35"/>
  <c r="U32" i="35"/>
  <c r="W22" i="35"/>
  <c r="W34" i="35"/>
  <c r="S32" i="35"/>
  <c r="W35" i="37"/>
  <c r="AC33" i="37"/>
  <c r="U33" i="37"/>
  <c r="AC15" i="37"/>
  <c r="AA13" i="37"/>
  <c r="S12" i="37"/>
  <c r="W38" i="37"/>
  <c r="W36" i="37"/>
  <c r="AB28" i="37"/>
  <c r="S28" i="37"/>
  <c r="W13" i="37"/>
  <c r="U38" i="37"/>
  <c r="AA31" i="34"/>
  <c r="AB35" i="34"/>
  <c r="W47" i="34"/>
  <c r="AB29" i="34"/>
  <c r="AB47" i="34"/>
  <c r="AB13" i="34"/>
  <c r="AC13" i="34"/>
  <c r="AA29" i="34"/>
  <c r="S19" i="34"/>
  <c r="S8" i="34"/>
  <c r="AA19" i="33"/>
  <c r="AC25" i="33"/>
  <c r="S43" i="33"/>
  <c r="AB42" i="33"/>
  <c r="AB14" i="33"/>
  <c r="S26" i="33"/>
  <c r="AB12" i="33"/>
  <c r="S15" i="33"/>
  <c r="S39" i="21"/>
  <c r="AB25" i="21"/>
  <c r="AB45" i="21"/>
  <c r="W25" i="21"/>
  <c r="AA25" i="21"/>
  <c r="AC37" i="21"/>
  <c r="U27" i="21"/>
  <c r="W31" i="21"/>
  <c r="S27" i="21"/>
  <c r="AC27" i="21"/>
  <c r="W29" i="21"/>
  <c r="G96" i="40"/>
  <c r="J27" i="40"/>
  <c r="W27" i="40" s="1"/>
  <c r="W37" i="40"/>
  <c r="S17" i="40"/>
  <c r="W30" i="40"/>
  <c r="S34" i="40"/>
  <c r="U17" i="40"/>
  <c r="U38" i="40"/>
  <c r="S40" i="40"/>
  <c r="S42" i="40"/>
  <c r="G105" i="39"/>
  <c r="J31" i="39"/>
  <c r="AC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5" i="46"/>
  <c r="B59" i="46"/>
  <c r="B62" i="46"/>
  <c r="B66" i="46"/>
  <c r="B53" i="46"/>
  <c r="B64" i="46"/>
  <c r="D24" i="15"/>
  <c r="F28" i="6"/>
  <c r="S14" i="36"/>
  <c r="AB20" i="36"/>
  <c r="AC14" i="36"/>
  <c r="W14" i="36"/>
  <c r="U14" i="36"/>
  <c r="AB14" i="36"/>
  <c r="AA26" i="35"/>
  <c r="S26" i="35"/>
  <c r="U26" i="35"/>
  <c r="AB26" i="35"/>
  <c r="W19" i="37"/>
  <c r="AB19" i="37"/>
  <c r="U19" i="37"/>
  <c r="AC17" i="37"/>
  <c r="W17" i="37"/>
  <c r="U25" i="34"/>
  <c r="AB25" i="34"/>
  <c r="AA25" i="34"/>
  <c r="S25" i="34"/>
  <c r="W25" i="34"/>
  <c r="AC23" i="34"/>
  <c r="W23" i="34"/>
  <c r="AA25" i="33"/>
  <c r="S25" i="33"/>
  <c r="U23" i="33"/>
  <c r="AB23" i="33"/>
  <c r="W23" i="33"/>
  <c r="AA23" i="33"/>
  <c r="AA17" i="33"/>
  <c r="U17" i="33"/>
  <c r="AB17" i="33"/>
  <c r="U23" i="21"/>
  <c r="AB23" i="21"/>
  <c r="AA23" i="21"/>
  <c r="W15" i="21"/>
  <c r="AC15" i="21"/>
  <c r="AB39" i="40"/>
  <c r="AC39" i="40"/>
  <c r="W39" i="40"/>
  <c r="AA39" i="40"/>
  <c r="S39" i="40"/>
  <c r="U37" i="40"/>
  <c r="AA37" i="40"/>
  <c r="S37" i="40"/>
  <c r="AC29" i="40"/>
  <c r="W19" i="40"/>
  <c r="AA19" i="40"/>
  <c r="AC27" i="40"/>
  <c r="A17" i="51"/>
  <c r="B13" i="63" s="1"/>
  <c r="E58" i="39"/>
  <c r="E53" i="40"/>
  <c r="F27" i="6"/>
  <c r="E5" i="6"/>
  <c r="D12" i="11"/>
  <c r="C12" i="11" s="1"/>
  <c r="AT6" i="3"/>
  <c r="A9" i="64"/>
  <c r="A9" i="51"/>
  <c r="B9" i="63"/>
  <c r="E4" i="4"/>
  <c r="B21" i="55" s="1"/>
  <c r="B72" i="63" s="1"/>
  <c r="C4" i="4"/>
  <c r="B20" i="55" s="1"/>
  <c r="B70" i="63" s="1"/>
  <c r="J18" i="36"/>
  <c r="W18" i="36" s="1"/>
  <c r="AE8" i="1"/>
  <c r="AE7" i="1"/>
  <c r="AG6" i="1"/>
  <c r="L20" i="6"/>
  <c r="L27" i="6" s="1"/>
  <c r="S7" i="1"/>
  <c r="S8" i="1"/>
  <c r="S9" i="1"/>
  <c r="R9" i="1"/>
  <c r="R7" i="1"/>
  <c r="R8" i="1"/>
  <c r="C44" i="9"/>
  <c r="G14" i="66"/>
  <c r="B6" i="66" s="1"/>
  <c r="N69" i="9"/>
  <c r="O39" i="9"/>
  <c r="K29" i="9"/>
  <c r="K30" i="9" s="1"/>
  <c r="M84" i="9"/>
  <c r="N84" i="9" s="1"/>
  <c r="R6" i="54"/>
  <c r="B50" i="63" s="1"/>
  <c r="N76" i="9"/>
  <c r="C46" i="9"/>
  <c r="I14" i="66" s="1"/>
  <c r="B8" i="66" s="1"/>
  <c r="K33" i="9"/>
  <c r="O41" i="9"/>
  <c r="R8" i="54" s="1"/>
  <c r="B54" i="63" s="1"/>
  <c r="H58" i="46"/>
  <c r="J17" i="46"/>
  <c r="C17" i="46"/>
  <c r="F34" i="46"/>
  <c r="F38" i="46"/>
  <c r="F37" i="46"/>
  <c r="H113" i="46"/>
  <c r="H53" i="46"/>
  <c r="H1" i="65"/>
  <c r="H51" i="46"/>
  <c r="X7" i="46"/>
  <c r="E17" i="46"/>
  <c r="N17" i="46"/>
  <c r="O17" i="46"/>
  <c r="M17" i="46"/>
  <c r="L17" i="46"/>
  <c r="P13" i="1"/>
  <c r="P12" i="1"/>
  <c r="AP7" i="1"/>
  <c r="G13" i="1"/>
  <c r="D46" i="36"/>
  <c r="F35" i="46"/>
  <c r="I17" i="46"/>
  <c r="H63" i="46"/>
  <c r="H66" i="46"/>
  <c r="D100" i="46"/>
  <c r="H62" i="46"/>
  <c r="AF12" i="46"/>
  <c r="K100" i="46"/>
  <c r="AB12" i="46"/>
  <c r="AJ12" i="46"/>
  <c r="H60" i="46"/>
  <c r="H59" i="46"/>
  <c r="H65" i="46"/>
  <c r="E10" i="46"/>
  <c r="C7" i="46" s="1"/>
  <c r="E9" i="46"/>
  <c r="E11" i="46"/>
  <c r="E8" i="46"/>
  <c r="AD12" i="46"/>
  <c r="AH12" i="46"/>
  <c r="V11" i="59"/>
  <c r="J83" i="46"/>
  <c r="D70" i="39"/>
  <c r="C72" i="39"/>
  <c r="C67" i="40"/>
  <c r="D65" i="40"/>
  <c r="E65" i="40" s="1"/>
  <c r="F65" i="40" s="1"/>
  <c r="C16" i="46"/>
  <c r="AJ11" i="46"/>
  <c r="AJ13" i="46"/>
  <c r="C101" i="46"/>
  <c r="C109" i="46" s="1"/>
  <c r="J101" i="46"/>
  <c r="J104" i="46" s="1"/>
  <c r="H22" i="46"/>
  <c r="H101" i="46"/>
  <c r="H103" i="46" s="1"/>
  <c r="J22" i="46"/>
  <c r="D101" i="46"/>
  <c r="D105" i="46" s="1"/>
  <c r="E101" i="46"/>
  <c r="K101" i="46"/>
  <c r="AG11" i="46"/>
  <c r="AG13" i="46"/>
  <c r="Z11" i="46"/>
  <c r="Z13" i="46" s="1"/>
  <c r="AB11" i="46"/>
  <c r="AB13" i="46" s="1"/>
  <c r="E12" i="6"/>
  <c r="E64" i="39" s="1"/>
  <c r="E15" i="6"/>
  <c r="E11" i="6"/>
  <c r="L19" i="6"/>
  <c r="H12" i="48"/>
  <c r="G6" i="1"/>
  <c r="I20" i="46"/>
  <c r="D58" i="33"/>
  <c r="E58" i="33" s="1"/>
  <c r="F58" i="33" s="1"/>
  <c r="G58" i="33" s="1"/>
  <c r="H58" i="33" s="1"/>
  <c r="I58" i="33" s="1"/>
  <c r="J58" i="33" s="1"/>
  <c r="D58" i="21"/>
  <c r="D59" i="34"/>
  <c r="E59" i="34" s="1"/>
  <c r="F59" i="34" s="1"/>
  <c r="G59" i="34" s="1"/>
  <c r="H59" i="34" s="1"/>
  <c r="A25" i="51"/>
  <c r="B18" i="63" s="1"/>
  <c r="C95" i="9"/>
  <c r="C92" i="9" s="1"/>
  <c r="C27" i="43"/>
  <c r="H70" i="46"/>
  <c r="F28" i="15"/>
  <c r="C28" i="15"/>
  <c r="F30" i="44"/>
  <c r="C30" i="44"/>
  <c r="M20" i="44"/>
  <c r="F70" i="9"/>
  <c r="F32" i="15"/>
  <c r="F59" i="15"/>
  <c r="F72" i="9"/>
  <c r="F66" i="9"/>
  <c r="P72" i="9" s="1"/>
  <c r="O9" i="1"/>
  <c r="P9" i="1"/>
  <c r="O14" i="1"/>
  <c r="P14" i="1"/>
  <c r="O8" i="1"/>
  <c r="P8" i="1"/>
  <c r="O6" i="1"/>
  <c r="E13" i="6"/>
  <c r="E60" i="40" s="1"/>
  <c r="E10" i="6"/>
  <c r="F31" i="15"/>
  <c r="F33" i="44"/>
  <c r="B9" i="52"/>
  <c r="Y3" i="59"/>
  <c r="Z3" i="59" s="1"/>
  <c r="P22" i="46"/>
  <c r="P24" i="46"/>
  <c r="B68" i="40" s="1"/>
  <c r="P23" i="46"/>
  <c r="P25" i="46"/>
  <c r="B73" i="39"/>
  <c r="P21" i="46"/>
  <c r="F58" i="15"/>
  <c r="M17" i="15"/>
  <c r="E70" i="39"/>
  <c r="E72" i="39" s="1"/>
  <c r="D72" i="39"/>
  <c r="E104" i="46"/>
  <c r="E105" i="46"/>
  <c r="E102" i="46"/>
  <c r="J103" i="46"/>
  <c r="C106" i="46"/>
  <c r="E106" i="46"/>
  <c r="K106" i="46"/>
  <c r="K109" i="46"/>
  <c r="P6" i="1"/>
  <c r="M19" i="44"/>
  <c r="E67" i="40"/>
  <c r="D77" i="9"/>
  <c r="N75" i="9" s="1"/>
  <c r="D66" i="9"/>
  <c r="N72" i="9" s="1"/>
  <c r="X5" i="59"/>
  <c r="Y5" i="59"/>
  <c r="Z5" i="59" s="1"/>
  <c r="AA5" i="59"/>
  <c r="AB5" i="59"/>
  <c r="X6" i="59"/>
  <c r="Y6" i="59"/>
  <c r="Z6" i="59"/>
  <c r="AA6" i="59"/>
  <c r="AB6" i="59"/>
  <c r="X7" i="59"/>
  <c r="Y7" i="59"/>
  <c r="Z7" i="59" s="1"/>
  <c r="AA7" i="59"/>
  <c r="AB7" i="59"/>
  <c r="X8" i="59"/>
  <c r="Y8" i="59"/>
  <c r="Z8" i="59"/>
  <c r="AA8" i="59"/>
  <c r="AB8" i="59"/>
  <c r="X9" i="59"/>
  <c r="Y9" i="59"/>
  <c r="Z9" i="59" s="1"/>
  <c r="AA9" i="59"/>
  <c r="AB9" i="59"/>
  <c r="X10" i="59"/>
  <c r="Y10" i="59"/>
  <c r="Z10" i="59" s="1"/>
  <c r="AA10" i="59"/>
  <c r="AB10" i="59"/>
  <c r="X11" i="59"/>
  <c r="Y11" i="59"/>
  <c r="Z11" i="59" s="1"/>
  <c r="AA11" i="59"/>
  <c r="AB11" i="59"/>
  <c r="X12" i="59"/>
  <c r="Y12" i="59"/>
  <c r="Z12" i="59" s="1"/>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s="1"/>
  <c r="AA18" i="59"/>
  <c r="AB18" i="59"/>
  <c r="X19" i="59"/>
  <c r="Y19" i="59"/>
  <c r="Z19" i="59" s="1"/>
  <c r="AA19" i="59"/>
  <c r="AB19" i="59"/>
  <c r="X20" i="59"/>
  <c r="Y20" i="59"/>
  <c r="Z20" i="59"/>
  <c r="AA20" i="59"/>
  <c r="AB20" i="59"/>
  <c r="X21" i="59"/>
  <c r="Y21" i="59"/>
  <c r="Z21" i="59" s="1"/>
  <c r="AA21" i="59"/>
  <c r="AB21" i="59"/>
  <c r="X22" i="59"/>
  <c r="Y22" i="59"/>
  <c r="Z22" i="59"/>
  <c r="AA22" i="59"/>
  <c r="AB22" i="59"/>
  <c r="X23" i="59"/>
  <c r="Y23" i="59"/>
  <c r="Z23" i="59" s="1"/>
  <c r="AA23" i="59"/>
  <c r="AB23" i="59"/>
  <c r="X24" i="59"/>
  <c r="Y24" i="59"/>
  <c r="Z24" i="59"/>
  <c r="AA24" i="59"/>
  <c r="AB24" i="59"/>
  <c r="X25" i="59"/>
  <c r="Y25" i="59"/>
  <c r="Z25" i="59" s="1"/>
  <c r="AA25" i="59"/>
  <c r="AB25" i="59"/>
  <c r="X26" i="59"/>
  <c r="Y26" i="59"/>
  <c r="Z26" i="59" s="1"/>
  <c r="AA26" i="59"/>
  <c r="AB26" i="59"/>
  <c r="X27" i="59"/>
  <c r="Y27" i="59"/>
  <c r="Z27" i="59" s="1"/>
  <c r="AA27" i="59"/>
  <c r="AB27" i="59"/>
  <c r="X28" i="59"/>
  <c r="Y28" i="59"/>
  <c r="Z28" i="59" s="1"/>
  <c r="AA28" i="59"/>
  <c r="AB28" i="59"/>
  <c r="X29" i="59"/>
  <c r="Y29" i="59"/>
  <c r="Z29" i="59" s="1"/>
  <c r="AA29" i="59"/>
  <c r="AB29" i="59"/>
  <c r="X30" i="59"/>
  <c r="Y30" i="59"/>
  <c r="Z30" i="59"/>
  <c r="AA30" i="59"/>
  <c r="AB30" i="59"/>
  <c r="C15" i="12"/>
  <c r="F11" i="67"/>
  <c r="M22" i="15"/>
  <c r="B8" i="67"/>
  <c r="E8" i="67"/>
  <c r="E7" i="67"/>
  <c r="F9" i="67"/>
  <c r="B12" i="67"/>
  <c r="J36" i="15"/>
  <c r="M27" i="15"/>
  <c r="F9" i="44"/>
  <c r="M25" i="44"/>
  <c r="F8" i="67"/>
  <c r="F40" i="44"/>
  <c r="F18" i="44"/>
  <c r="F28" i="44"/>
  <c r="F7" i="67"/>
  <c r="E11" i="67"/>
  <c r="F8" i="44"/>
  <c r="N4" i="65"/>
  <c r="M10" i="44"/>
  <c r="J15" i="15"/>
  <c r="B11" i="67"/>
  <c r="M8" i="44"/>
  <c r="M28" i="44"/>
  <c r="F13" i="67"/>
  <c r="M29" i="44"/>
  <c r="N6" i="65"/>
  <c r="N5" i="65"/>
  <c r="B9" i="67"/>
  <c r="N7" i="65"/>
  <c r="C19" i="44"/>
  <c r="F37" i="44"/>
  <c r="E12" i="67"/>
  <c r="E14" i="67"/>
  <c r="M24" i="15"/>
  <c r="F46" i="44"/>
  <c r="F12" i="67"/>
  <c r="M26" i="15"/>
  <c r="M31" i="44"/>
  <c r="F14" i="67"/>
  <c r="F10" i="67"/>
  <c r="L49" i="44"/>
  <c r="F10" i="44"/>
  <c r="L48" i="44"/>
  <c r="M28" i="15"/>
  <c r="M23" i="44"/>
  <c r="B13" i="67"/>
  <c r="N3" i="65"/>
  <c r="M11" i="44"/>
  <c r="F15" i="44"/>
  <c r="M26" i="44"/>
  <c r="F11" i="44"/>
  <c r="J17" i="44"/>
  <c r="F39" i="44"/>
  <c r="F38" i="44"/>
  <c r="E10" i="67"/>
  <c r="B7" i="67"/>
  <c r="E9" i="67"/>
  <c r="B10" i="67"/>
  <c r="B14" i="67"/>
  <c r="F43" i="44"/>
  <c r="E13" i="67"/>
  <c r="C18" i="11" l="1"/>
  <c r="B11" i="52"/>
  <c r="B15" i="52"/>
  <c r="B48" i="46"/>
  <c r="E5" i="52"/>
  <c r="E10" i="52"/>
  <c r="E6" i="52"/>
  <c r="E8" i="52"/>
  <c r="B6" i="52"/>
  <c r="E13" i="52"/>
  <c r="E9" i="52"/>
  <c r="B7" i="52"/>
  <c r="S15" i="21"/>
  <c r="AA15" i="21"/>
  <c r="D106" i="46"/>
  <c r="H84" i="46"/>
  <c r="H87" i="46"/>
  <c r="H81" i="46"/>
  <c r="H86" i="46"/>
  <c r="U29" i="40"/>
  <c r="AB29" i="40"/>
  <c r="AB23" i="34"/>
  <c r="U23" i="34"/>
  <c r="C104" i="46"/>
  <c r="K34" i="9"/>
  <c r="S29" i="40"/>
  <c r="AA29" i="40"/>
  <c r="U19" i="40"/>
  <c r="E63" i="39"/>
  <c r="E58" i="40"/>
  <c r="H69" i="46"/>
  <c r="E107" i="46"/>
  <c r="E103" i="46"/>
  <c r="E109" i="46"/>
  <c r="F30" i="6"/>
  <c r="F31" i="6" s="1"/>
  <c r="C102" i="46"/>
  <c r="C105" i="46"/>
  <c r="C107" i="46"/>
  <c r="C103" i="46"/>
  <c r="E16" i="6"/>
  <c r="G65" i="40"/>
  <c r="F67" i="40"/>
  <c r="W26" i="35"/>
  <c r="E65" i="39"/>
  <c r="H76" i="46"/>
  <c r="K102" i="46"/>
  <c r="K107" i="46"/>
  <c r="K105" i="46"/>
  <c r="AH13" i="46"/>
  <c r="H109" i="46"/>
  <c r="H74" i="46"/>
  <c r="H49" i="46"/>
  <c r="H50" i="46"/>
  <c r="H55" i="46"/>
  <c r="H52" i="46"/>
  <c r="Y11" i="46"/>
  <c r="Y13" i="46" s="1"/>
  <c r="N104" i="45"/>
  <c r="I101" i="46"/>
  <c r="G22" i="46"/>
  <c r="Z7" i="46"/>
  <c r="N101" i="46"/>
  <c r="F22" i="46"/>
  <c r="AH11" i="46"/>
  <c r="F101" i="46"/>
  <c r="E22" i="46"/>
  <c r="AD11" i="46"/>
  <c r="AI11" i="46"/>
  <c r="AI13" i="46" s="1"/>
  <c r="AC11" i="46"/>
  <c r="L101" i="46"/>
  <c r="L106" i="46" s="1"/>
  <c r="B113" i="46"/>
  <c r="AE11" i="46"/>
  <c r="AE13" i="46" s="1"/>
  <c r="M101" i="46"/>
  <c r="AA11" i="46"/>
  <c r="AA13" i="46" s="1"/>
  <c r="G101" i="46"/>
  <c r="AF11" i="46"/>
  <c r="AF13" i="46" s="1"/>
  <c r="W17" i="33"/>
  <c r="AC17" i="33"/>
  <c r="H71" i="46"/>
  <c r="H75" i="46"/>
  <c r="H72" i="46"/>
  <c r="H77" i="46"/>
  <c r="E62" i="40"/>
  <c r="E67" i="39"/>
  <c r="W20" i="36"/>
  <c r="AB14" i="40"/>
  <c r="S24" i="36"/>
  <c r="AB25" i="35"/>
  <c r="U25" i="35"/>
  <c r="U18" i="36"/>
  <c r="W10" i="33"/>
  <c r="U36" i="33"/>
  <c r="W15" i="34"/>
  <c r="U41" i="40"/>
  <c r="F34" i="44"/>
  <c r="AC14" i="37"/>
  <c r="AB37" i="39"/>
  <c r="W41" i="40"/>
  <c r="W45" i="33"/>
  <c r="AC45" i="33"/>
  <c r="AA28" i="34"/>
  <c r="S23" i="34"/>
  <c r="B20" i="31"/>
  <c r="U15" i="21"/>
  <c r="S19" i="37"/>
  <c r="U11" i="34"/>
  <c r="U22" i="35"/>
  <c r="F31" i="43"/>
  <c r="U27" i="39"/>
  <c r="W32" i="33"/>
  <c r="AB38" i="34"/>
  <c r="AB17" i="37"/>
  <c r="AB31" i="37"/>
  <c r="W11" i="36"/>
  <c r="AC11" i="36"/>
  <c r="U23" i="39"/>
  <c r="H64" i="46"/>
  <c r="W31" i="39"/>
  <c r="AA20" i="36"/>
  <c r="W17" i="34"/>
  <c r="D86" i="9"/>
  <c r="S27" i="34"/>
  <c r="AB44" i="39"/>
  <c r="S41" i="40"/>
  <c r="U42" i="40"/>
  <c r="W47" i="39"/>
  <c r="AA25" i="39"/>
  <c r="AA16" i="39"/>
  <c r="U27" i="33"/>
  <c r="AB27" i="33"/>
  <c r="AA10" i="35"/>
  <c r="S28" i="21"/>
  <c r="AA28" i="21"/>
  <c r="U28" i="33"/>
  <c r="AB28" i="33"/>
  <c r="AC23" i="21"/>
  <c r="U34" i="39"/>
  <c r="U29" i="33"/>
  <c r="AC32" i="40"/>
  <c r="W32" i="40"/>
  <c r="W41" i="34"/>
  <c r="AC41" i="34"/>
  <c r="AB13" i="35"/>
  <c r="U45" i="34"/>
  <c r="AB45" i="34"/>
  <c r="AA46" i="33"/>
  <c r="S46" i="33"/>
  <c r="AC14" i="40"/>
  <c r="U9" i="34"/>
  <c r="AA25" i="37"/>
  <c r="S25" i="37"/>
  <c r="U31" i="21"/>
  <c r="AB31" i="21"/>
  <c r="W40" i="21"/>
  <c r="AC40" i="21"/>
  <c r="AC24" i="35"/>
  <c r="W24" i="35"/>
  <c r="S17" i="39"/>
  <c r="W40" i="40"/>
  <c r="AC30" i="21"/>
  <c r="W30" i="21"/>
  <c r="AA46" i="21"/>
  <c r="S46" i="21"/>
  <c r="U27" i="37"/>
  <c r="AB27" i="37"/>
  <c r="G325" i="3"/>
  <c r="W8" i="21"/>
  <c r="W9" i="34"/>
  <c r="G571" i="3"/>
  <c r="H9" i="35"/>
  <c r="AC23" i="36"/>
  <c r="F32" i="36"/>
  <c r="G564" i="3"/>
  <c r="G553" i="3"/>
  <c r="C46" i="59"/>
  <c r="D45" i="59"/>
  <c r="G309" i="3"/>
  <c r="C73" i="59"/>
  <c r="D73" i="59" s="1"/>
  <c r="D74" i="59"/>
  <c r="F12" i="35"/>
  <c r="W9" i="21"/>
  <c r="F9" i="34"/>
  <c r="J36" i="35"/>
  <c r="U8" i="36"/>
  <c r="G535" i="3"/>
  <c r="G481" i="3"/>
  <c r="G395" i="3"/>
  <c r="G407" i="3"/>
  <c r="F9" i="35"/>
  <c r="AC37" i="33"/>
  <c r="F47" i="34"/>
  <c r="S31" i="33"/>
  <c r="F28" i="33"/>
  <c r="S37" i="33"/>
  <c r="S22" i="35"/>
  <c r="C23" i="39"/>
  <c r="W38" i="33"/>
  <c r="AB41" i="21"/>
  <c r="U31" i="34"/>
  <c r="AC10" i="36"/>
  <c r="F14" i="37"/>
  <c r="J32" i="36"/>
  <c r="H31" i="33"/>
  <c r="F29" i="21"/>
  <c r="J34" i="36"/>
  <c r="C29" i="39"/>
  <c r="AB9" i="21"/>
  <c r="H5" i="3"/>
  <c r="F26" i="37"/>
  <c r="G496" i="3"/>
  <c r="U26" i="21"/>
  <c r="H35" i="35"/>
  <c r="F45" i="34"/>
  <c r="H46" i="33"/>
  <c r="J31" i="33"/>
  <c r="H29" i="21"/>
  <c r="H26" i="37"/>
  <c r="F34" i="36"/>
  <c r="AB27" i="35"/>
  <c r="D34" i="59"/>
  <c r="C35" i="59"/>
  <c r="L16" i="4"/>
  <c r="V59" i="59"/>
  <c r="F58" i="59"/>
  <c r="F62" i="59"/>
  <c r="F61" i="59" s="1"/>
  <c r="G393" i="3"/>
  <c r="G405" i="3"/>
  <c r="G417" i="3"/>
  <c r="G429" i="3"/>
  <c r="G441" i="3"/>
  <c r="G453" i="3"/>
  <c r="G465" i="3"/>
  <c r="G250" i="3"/>
  <c r="G274" i="3"/>
  <c r="G286" i="3"/>
  <c r="G114" i="3"/>
  <c r="G123" i="3"/>
  <c r="G156" i="3"/>
  <c r="G165" i="3"/>
  <c r="G174" i="3"/>
  <c r="G187" i="3"/>
  <c r="G196" i="3"/>
  <c r="D87" i="46"/>
  <c r="L108" i="46"/>
  <c r="D22" i="15"/>
  <c r="S27" i="40"/>
  <c r="N16" i="4"/>
  <c r="B31" i="59"/>
  <c r="S31" i="59" s="1"/>
  <c r="E39" i="59"/>
  <c r="U39" i="59" s="1"/>
  <c r="G398" i="3"/>
  <c r="G410" i="3"/>
  <c r="G422" i="3"/>
  <c r="G434" i="3"/>
  <c r="G446" i="3"/>
  <c r="G458" i="3"/>
  <c r="G470" i="3"/>
  <c r="G207" i="3"/>
  <c r="G219" i="3"/>
  <c r="G231" i="3"/>
  <c r="G243" i="3"/>
  <c r="G255" i="3"/>
  <c r="G267" i="3"/>
  <c r="G279" i="3"/>
  <c r="G291" i="3"/>
  <c r="I15" i="57"/>
  <c r="S21" i="21"/>
  <c r="C66" i="59"/>
  <c r="D25" i="59"/>
  <c r="B47" i="59"/>
  <c r="S47" i="59" s="1"/>
  <c r="B54" i="59"/>
  <c r="B55" i="59" s="1"/>
  <c r="S55" i="59" s="1"/>
  <c r="V19" i="59"/>
  <c r="G396" i="3"/>
  <c r="G408" i="3"/>
  <c r="G420" i="3"/>
  <c r="G432" i="3"/>
  <c r="G444" i="3"/>
  <c r="G456" i="3"/>
  <c r="G468" i="3"/>
  <c r="G480" i="3"/>
  <c r="G333" i="3"/>
  <c r="G205" i="3"/>
  <c r="G217" i="3"/>
  <c r="G229" i="3"/>
  <c r="G241" i="3"/>
  <c r="G253" i="3"/>
  <c r="G265" i="3"/>
  <c r="G277" i="3"/>
  <c r="G289" i="3"/>
  <c r="G181" i="3"/>
  <c r="C54" i="59"/>
  <c r="C55" i="59" s="1"/>
  <c r="D53" i="59"/>
  <c r="U19" i="59"/>
  <c r="E18" i="59"/>
  <c r="E17" i="59" s="1"/>
  <c r="E46" i="59"/>
  <c r="E47" i="59" s="1"/>
  <c r="U47" i="59" s="1"/>
  <c r="S63" i="59"/>
  <c r="G394" i="3"/>
  <c r="G406" i="3"/>
  <c r="G418" i="3"/>
  <c r="G430" i="3"/>
  <c r="G442" i="3"/>
  <c r="G454" i="3"/>
  <c r="G466" i="3"/>
  <c r="G478" i="3"/>
  <c r="G315" i="3"/>
  <c r="G387" i="3"/>
  <c r="G239" i="3"/>
  <c r="G251" i="3"/>
  <c r="G263" i="3"/>
  <c r="G275" i="3"/>
  <c r="G287" i="3"/>
  <c r="G115" i="3"/>
  <c r="G157" i="3"/>
  <c r="G166" i="3"/>
  <c r="G188" i="3"/>
  <c r="G197" i="3"/>
  <c r="Q59" i="59"/>
  <c r="B26" i="59"/>
  <c r="B27" i="59" s="1"/>
  <c r="S27" i="59" s="1"/>
  <c r="F47" i="59"/>
  <c r="V47" i="59" s="1"/>
  <c r="E55" i="59"/>
  <c r="U55" i="59" s="1"/>
  <c r="BL572" i="3"/>
  <c r="C69" i="59"/>
  <c r="D69" i="59" s="1"/>
  <c r="D71" i="59"/>
  <c r="F54" i="59"/>
  <c r="F55" i="59" s="1"/>
  <c r="V55" i="59" s="1"/>
  <c r="BL562" i="3"/>
  <c r="G392" i="3"/>
  <c r="G404" i="3"/>
  <c r="G416" i="3"/>
  <c r="G428" i="3"/>
  <c r="G452" i="3"/>
  <c r="G464" i="3"/>
  <c r="G476" i="3"/>
  <c r="G341" i="3"/>
  <c r="G213" i="3"/>
  <c r="G225" i="3"/>
  <c r="G237" i="3"/>
  <c r="G249" i="3"/>
  <c r="G261" i="3"/>
  <c r="G273" i="3"/>
  <c r="G285" i="3"/>
  <c r="G113" i="3"/>
  <c r="G122" i="3"/>
  <c r="G131" i="3"/>
  <c r="G164" i="3"/>
  <c r="G173" i="3"/>
  <c r="G195" i="3"/>
  <c r="D15" i="59"/>
  <c r="C14" i="59"/>
  <c r="BL564" i="3"/>
  <c r="G397" i="3"/>
  <c r="G409" i="3"/>
  <c r="G421" i="3"/>
  <c r="G433" i="3"/>
  <c r="G445" i="3"/>
  <c r="G457" i="3"/>
  <c r="G469" i="3"/>
  <c r="G311" i="3"/>
  <c r="G206" i="3"/>
  <c r="G218" i="3"/>
  <c r="G230" i="3"/>
  <c r="G242" i="3"/>
  <c r="G254" i="3"/>
  <c r="G266" i="3"/>
  <c r="G278" i="3"/>
  <c r="G290" i="3"/>
  <c r="F34" i="59"/>
  <c r="F35" i="59" s="1"/>
  <c r="V35" i="59" s="1"/>
  <c r="AC10" i="46"/>
  <c r="AC12" i="46"/>
  <c r="AC13" i="46" s="1"/>
  <c r="K145" i="21"/>
  <c r="G390" i="3"/>
  <c r="G402" i="3"/>
  <c r="G414" i="3"/>
  <c r="G426" i="3"/>
  <c r="G438" i="3"/>
  <c r="G383" i="3"/>
  <c r="G211" i="3"/>
  <c r="G223" i="3"/>
  <c r="G235" i="3"/>
  <c r="G247" i="3"/>
  <c r="G259" i="3"/>
  <c r="G271" i="3"/>
  <c r="G283" i="3"/>
  <c r="G295" i="3"/>
  <c r="G129" i="3"/>
  <c r="G138" i="3"/>
  <c r="G147" i="3"/>
  <c r="E27" i="59"/>
  <c r="U27" i="59" s="1"/>
  <c r="E42" i="59"/>
  <c r="E43" i="59" s="1"/>
  <c r="U43" i="59" s="1"/>
  <c r="E50" i="59"/>
  <c r="E51" i="59" s="1"/>
  <c r="U51" i="59" s="1"/>
  <c r="BA563" i="3"/>
  <c r="G419" i="3"/>
  <c r="G431" i="3"/>
  <c r="G443" i="3"/>
  <c r="G455" i="3"/>
  <c r="G467" i="3"/>
  <c r="G479" i="3"/>
  <c r="G388" i="3"/>
  <c r="G216" i="3"/>
  <c r="G228" i="3"/>
  <c r="G240" i="3"/>
  <c r="G252" i="3"/>
  <c r="G264" i="3"/>
  <c r="G276" i="3"/>
  <c r="G288" i="3"/>
  <c r="G158" i="3"/>
  <c r="G189" i="3"/>
  <c r="K13" i="1"/>
  <c r="M13" i="1" s="1"/>
  <c r="D67" i="59"/>
  <c r="F43" i="59"/>
  <c r="V43" i="59" s="1"/>
  <c r="BL569" i="3"/>
  <c r="AZ569" i="3" s="1"/>
  <c r="BA562" i="3"/>
  <c r="AZ562" i="3" s="1"/>
  <c r="BL557" i="3"/>
  <c r="AZ557" i="3" s="1"/>
  <c r="BA550" i="3"/>
  <c r="AZ550" i="3" s="1"/>
  <c r="BL545" i="3"/>
  <c r="AZ545" i="3" s="1"/>
  <c r="BA538" i="3"/>
  <c r="AZ538" i="3" s="1"/>
  <c r="BL533" i="3"/>
  <c r="AZ533" i="3" s="1"/>
  <c r="BA526" i="3"/>
  <c r="AZ526" i="3" s="1"/>
  <c r="BL521" i="3"/>
  <c r="AZ521" i="3" s="1"/>
  <c r="BA514" i="3"/>
  <c r="AZ514" i="3" s="1"/>
  <c r="BL509" i="3"/>
  <c r="AZ509" i="3" s="1"/>
  <c r="BL466" i="3"/>
  <c r="AZ466" i="3" s="1"/>
  <c r="BA459" i="3"/>
  <c r="AZ459" i="3" s="1"/>
  <c r="BL454" i="3"/>
  <c r="AZ454" i="3" s="1"/>
  <c r="AZ447" i="3"/>
  <c r="AZ442" i="3"/>
  <c r="AZ435" i="3"/>
  <c r="AZ430" i="3"/>
  <c r="AZ423" i="3"/>
  <c r="AZ418" i="3"/>
  <c r="AZ411" i="3"/>
  <c r="BL406" i="3"/>
  <c r="AZ406" i="3" s="1"/>
  <c r="BA375" i="3"/>
  <c r="AZ375" i="3" s="1"/>
  <c r="BL370" i="3"/>
  <c r="AZ370" i="3" s="1"/>
  <c r="AZ334" i="3"/>
  <c r="AZ315" i="3"/>
  <c r="AZ267" i="3"/>
  <c r="AZ219" i="3"/>
  <c r="AZ202" i="3"/>
  <c r="AZ154" i="3"/>
  <c r="A30" i="64"/>
  <c r="AZ361" i="3"/>
  <c r="BL323" i="3"/>
  <c r="BL315" i="3"/>
  <c r="BL275" i="3"/>
  <c r="BL267" i="3"/>
  <c r="BL227" i="3"/>
  <c r="BL219" i="3"/>
  <c r="BL179" i="3"/>
  <c r="BL171" i="3"/>
  <c r="BA126" i="3"/>
  <c r="AZ99" i="3"/>
  <c r="BA572" i="3"/>
  <c r="BL567" i="3"/>
  <c r="AZ567" i="3" s="1"/>
  <c r="BA560" i="3"/>
  <c r="AZ560" i="3" s="1"/>
  <c r="BL555" i="3"/>
  <c r="AZ555" i="3" s="1"/>
  <c r="BA548" i="3"/>
  <c r="AZ548" i="3" s="1"/>
  <c r="BL543" i="3"/>
  <c r="AZ543" i="3" s="1"/>
  <c r="BA536" i="3"/>
  <c r="AZ536" i="3" s="1"/>
  <c r="BL531" i="3"/>
  <c r="AZ531" i="3" s="1"/>
  <c r="BA524" i="3"/>
  <c r="AZ524" i="3" s="1"/>
  <c r="BL519" i="3"/>
  <c r="AZ519" i="3" s="1"/>
  <c r="BA512" i="3"/>
  <c r="AZ512" i="3" s="1"/>
  <c r="BL507" i="3"/>
  <c r="BL464" i="3"/>
  <c r="AZ464" i="3" s="1"/>
  <c r="BA457" i="3"/>
  <c r="AZ457" i="3" s="1"/>
  <c r="BL452" i="3"/>
  <c r="AZ452" i="3" s="1"/>
  <c r="BA445" i="3"/>
  <c r="AZ445" i="3" s="1"/>
  <c r="BL440" i="3"/>
  <c r="AZ440" i="3" s="1"/>
  <c r="BA433" i="3"/>
  <c r="AZ433" i="3" s="1"/>
  <c r="BL428" i="3"/>
  <c r="AZ428" i="3" s="1"/>
  <c r="BA421" i="3"/>
  <c r="AZ421" i="3" s="1"/>
  <c r="BL416" i="3"/>
  <c r="AZ416" i="3" s="1"/>
  <c r="BA409" i="3"/>
  <c r="AZ409" i="3" s="1"/>
  <c r="BL380" i="3"/>
  <c r="AZ380" i="3" s="1"/>
  <c r="BA373" i="3"/>
  <c r="AZ373" i="3" s="1"/>
  <c r="BL368" i="3"/>
  <c r="AZ368" i="3" s="1"/>
  <c r="AZ352" i="3"/>
  <c r="BL343" i="3"/>
  <c r="BL339" i="3"/>
  <c r="AZ339" i="3" s="1"/>
  <c r="AZ328" i="3"/>
  <c r="AZ309" i="3"/>
  <c r="BL301" i="3"/>
  <c r="AZ292" i="3"/>
  <c r="AZ261" i="3"/>
  <c r="BL253" i="3"/>
  <c r="AZ244" i="3"/>
  <c r="AZ213" i="3"/>
  <c r="BL205" i="3"/>
  <c r="AZ196" i="3"/>
  <c r="AZ165" i="3"/>
  <c r="BL157" i="3"/>
  <c r="AZ142" i="3"/>
  <c r="BA140" i="3"/>
  <c r="BL113" i="3"/>
  <c r="BL99" i="3"/>
  <c r="BL85" i="3"/>
  <c r="AZ70" i="3"/>
  <c r="BA68" i="3"/>
  <c r="BA54" i="3"/>
  <c r="BL41" i="3"/>
  <c r="BL13" i="3"/>
  <c r="BL350" i="3"/>
  <c r="AZ350" i="3" s="1"/>
  <c r="BL341" i="3"/>
  <c r="AZ341" i="3" s="1"/>
  <c r="BL317" i="3"/>
  <c r="AZ286" i="3"/>
  <c r="BA284" i="3"/>
  <c r="BL269" i="3"/>
  <c r="BA255" i="3"/>
  <c r="AZ255" i="3" s="1"/>
  <c r="BL238" i="3"/>
  <c r="AZ238" i="3" s="1"/>
  <c r="BA236" i="3"/>
  <c r="BL221" i="3"/>
  <c r="BA207" i="3"/>
  <c r="AZ207" i="3" s="1"/>
  <c r="BL190" i="3"/>
  <c r="AZ190" i="3" s="1"/>
  <c r="BA188" i="3"/>
  <c r="BL173" i="3"/>
  <c r="BA159" i="3"/>
  <c r="AZ159" i="3" s="1"/>
  <c r="BA114" i="3"/>
  <c r="BA87" i="3"/>
  <c r="AZ87" i="3" s="1"/>
  <c r="BL27" i="3"/>
  <c r="AZ15" i="3"/>
  <c r="BA570" i="3"/>
  <c r="AZ570" i="3" s="1"/>
  <c r="BL565" i="3"/>
  <c r="AZ565" i="3" s="1"/>
  <c r="BA558" i="3"/>
  <c r="AZ558" i="3" s="1"/>
  <c r="BL553" i="3"/>
  <c r="AZ553" i="3" s="1"/>
  <c r="BA546" i="3"/>
  <c r="AZ546" i="3" s="1"/>
  <c r="BL541" i="3"/>
  <c r="AZ541" i="3" s="1"/>
  <c r="BA534" i="3"/>
  <c r="AZ534" i="3" s="1"/>
  <c r="BL529" i="3"/>
  <c r="AZ529" i="3" s="1"/>
  <c r="BA522" i="3"/>
  <c r="AZ522" i="3" s="1"/>
  <c r="BL517" i="3"/>
  <c r="AZ517" i="3" s="1"/>
  <c r="BA510" i="3"/>
  <c r="AZ510" i="3" s="1"/>
  <c r="BA467" i="3"/>
  <c r="AZ467" i="3" s="1"/>
  <c r="BL462" i="3"/>
  <c r="AZ462" i="3" s="1"/>
  <c r="BA455" i="3"/>
  <c r="AZ455" i="3" s="1"/>
  <c r="BL450" i="3"/>
  <c r="AZ450" i="3" s="1"/>
  <c r="BA443" i="3"/>
  <c r="AZ443" i="3" s="1"/>
  <c r="BL438" i="3"/>
  <c r="AZ438" i="3" s="1"/>
  <c r="BA431" i="3"/>
  <c r="AZ431" i="3" s="1"/>
  <c r="BL426" i="3"/>
  <c r="AZ426" i="3" s="1"/>
  <c r="BA419" i="3"/>
  <c r="AZ419" i="3" s="1"/>
  <c r="BL414" i="3"/>
  <c r="AZ414" i="3" s="1"/>
  <c r="BA407" i="3"/>
  <c r="AZ407" i="3" s="1"/>
  <c r="BL378" i="3"/>
  <c r="AZ378" i="3" s="1"/>
  <c r="BL311" i="3"/>
  <c r="BL303" i="3"/>
  <c r="AZ303" i="3" s="1"/>
  <c r="BL364" i="3"/>
  <c r="AZ364" i="3" s="1"/>
  <c r="BA357" i="3"/>
  <c r="AZ357" i="3" s="1"/>
  <c r="BL348" i="3"/>
  <c r="AZ348" i="3" s="1"/>
  <c r="BA346" i="3"/>
  <c r="BA333" i="3"/>
  <c r="AZ333" i="3" s="1"/>
  <c r="BL324" i="3"/>
  <c r="AZ324" i="3" s="1"/>
  <c r="BA314" i="3"/>
  <c r="BL307" i="3"/>
  <c r="BA297" i="3"/>
  <c r="AZ297" i="3" s="1"/>
  <c r="BL280" i="3"/>
  <c r="AZ280" i="3" s="1"/>
  <c r="BA266" i="3"/>
  <c r="BL259" i="3"/>
  <c r="BA249" i="3"/>
  <c r="AZ249" i="3" s="1"/>
  <c r="BL232" i="3"/>
  <c r="AZ232" i="3" s="1"/>
  <c r="BA218" i="3"/>
  <c r="BL211" i="3"/>
  <c r="BA201" i="3"/>
  <c r="AZ201" i="3" s="1"/>
  <c r="BL193" i="3"/>
  <c r="BL163" i="3"/>
  <c r="BA153" i="3"/>
  <c r="AZ153" i="3" s="1"/>
  <c r="AZ147" i="3"/>
  <c r="BA102" i="3"/>
  <c r="AZ75" i="3"/>
  <c r="BA40" i="3"/>
  <c r="BA568" i="3"/>
  <c r="AZ568" i="3" s="1"/>
  <c r="BL563" i="3"/>
  <c r="AZ563" i="3" s="1"/>
  <c r="BA556" i="3"/>
  <c r="AZ556" i="3" s="1"/>
  <c r="BL551" i="3"/>
  <c r="AZ551" i="3" s="1"/>
  <c r="BA544" i="3"/>
  <c r="AZ544" i="3" s="1"/>
  <c r="BL539" i="3"/>
  <c r="AZ539" i="3" s="1"/>
  <c r="BA532" i="3"/>
  <c r="AZ532" i="3" s="1"/>
  <c r="BL527" i="3"/>
  <c r="AZ527" i="3" s="1"/>
  <c r="BA520" i="3"/>
  <c r="AZ520" i="3" s="1"/>
  <c r="BL515" i="3"/>
  <c r="AZ515" i="3" s="1"/>
  <c r="BA508" i="3"/>
  <c r="AZ508" i="3" s="1"/>
  <c r="BA465" i="3"/>
  <c r="AZ465" i="3" s="1"/>
  <c r="BL460" i="3"/>
  <c r="AZ460" i="3" s="1"/>
  <c r="BA453" i="3"/>
  <c r="AZ453" i="3" s="1"/>
  <c r="BL448" i="3"/>
  <c r="AZ448" i="3" s="1"/>
  <c r="BA441" i="3"/>
  <c r="AZ441" i="3" s="1"/>
  <c r="BL436" i="3"/>
  <c r="AZ436" i="3" s="1"/>
  <c r="BA429" i="3"/>
  <c r="AZ429" i="3" s="1"/>
  <c r="BL424" i="3"/>
  <c r="AZ424" i="3" s="1"/>
  <c r="BA417" i="3"/>
  <c r="AZ417" i="3" s="1"/>
  <c r="BL412" i="3"/>
  <c r="AZ412" i="3" s="1"/>
  <c r="BL376" i="3"/>
  <c r="AZ376" i="3" s="1"/>
  <c r="BA369" i="3"/>
  <c r="AZ369" i="3" s="1"/>
  <c r="BA353" i="3"/>
  <c r="BL346" i="3"/>
  <c r="BA344" i="3"/>
  <c r="BL335" i="3"/>
  <c r="BA329" i="3"/>
  <c r="AZ329" i="3" s="1"/>
  <c r="BL322" i="3"/>
  <c r="AZ322" i="3" s="1"/>
  <c r="BA320" i="3"/>
  <c r="BL305" i="3"/>
  <c r="BA291" i="3"/>
  <c r="AZ291" i="3" s="1"/>
  <c r="BL274" i="3"/>
  <c r="AZ274" i="3" s="1"/>
  <c r="BA272" i="3"/>
  <c r="BL257" i="3"/>
  <c r="BA243" i="3"/>
  <c r="BL226" i="3"/>
  <c r="AZ226" i="3" s="1"/>
  <c r="BA224" i="3"/>
  <c r="BL209" i="3"/>
  <c r="BA195" i="3"/>
  <c r="AZ195" i="3" s="1"/>
  <c r="BA176" i="3"/>
  <c r="BL161" i="3"/>
  <c r="BL147" i="3"/>
  <c r="BL133" i="3"/>
  <c r="AZ118" i="3"/>
  <c r="BA116" i="3"/>
  <c r="BA112" i="3"/>
  <c r="BL89" i="3"/>
  <c r="BL75" i="3"/>
  <c r="BL61" i="3"/>
  <c r="AZ46" i="3"/>
  <c r="BA44" i="3"/>
  <c r="BA30" i="3"/>
  <c r="BL17" i="3"/>
  <c r="BA367" i="3"/>
  <c r="AZ367" i="3" s="1"/>
  <c r="BL362" i="3"/>
  <c r="AZ362" i="3" s="1"/>
  <c r="BA351" i="3"/>
  <c r="BA327" i="3"/>
  <c r="AZ327" i="3" s="1"/>
  <c r="BA316" i="3"/>
  <c r="BL299" i="3"/>
  <c r="BL291" i="3"/>
  <c r="BA268" i="3"/>
  <c r="BL251" i="3"/>
  <c r="BL243" i="3"/>
  <c r="BA220" i="3"/>
  <c r="BL203" i="3"/>
  <c r="BL195" i="3"/>
  <c r="BA172" i="3"/>
  <c r="BA170" i="3"/>
  <c r="BL155" i="3"/>
  <c r="BA90" i="3"/>
  <c r="BL83" i="3"/>
  <c r="AZ63" i="3"/>
  <c r="BA28" i="3"/>
  <c r="L76" i="9"/>
  <c r="BA566" i="3"/>
  <c r="AZ566" i="3" s="1"/>
  <c r="BL561" i="3"/>
  <c r="AZ561" i="3" s="1"/>
  <c r="BA554" i="3"/>
  <c r="AZ554" i="3" s="1"/>
  <c r="BL549" i="3"/>
  <c r="AZ549" i="3" s="1"/>
  <c r="BA542" i="3"/>
  <c r="AZ542" i="3" s="1"/>
  <c r="BL537" i="3"/>
  <c r="AZ537" i="3" s="1"/>
  <c r="BA530" i="3"/>
  <c r="AZ530" i="3" s="1"/>
  <c r="BL525" i="3"/>
  <c r="AZ525" i="3" s="1"/>
  <c r="BA518" i="3"/>
  <c r="AZ518" i="3" s="1"/>
  <c r="AZ513" i="3"/>
  <c r="BA463" i="3"/>
  <c r="AZ463" i="3" s="1"/>
  <c r="BL458" i="3"/>
  <c r="AZ458" i="3" s="1"/>
  <c r="BA451" i="3"/>
  <c r="AZ451" i="3" s="1"/>
  <c r="BL446" i="3"/>
  <c r="AZ446" i="3" s="1"/>
  <c r="BA439" i="3"/>
  <c r="AZ439" i="3" s="1"/>
  <c r="BL434" i="3"/>
  <c r="AZ434" i="3" s="1"/>
  <c r="BA427" i="3"/>
  <c r="AZ427" i="3" s="1"/>
  <c r="BL422" i="3"/>
  <c r="AZ422" i="3" s="1"/>
  <c r="BA415" i="3"/>
  <c r="AZ415" i="3" s="1"/>
  <c r="BL410" i="3"/>
  <c r="AZ410" i="3" s="1"/>
  <c r="BA379" i="3"/>
  <c r="AZ379" i="3" s="1"/>
  <c r="BL374" i="3"/>
  <c r="AZ374" i="3" s="1"/>
  <c r="BL355" i="3"/>
  <c r="AZ355" i="3" s="1"/>
  <c r="BL351" i="3"/>
  <c r="BL340" i="3"/>
  <c r="AZ340" i="3" s="1"/>
  <c r="BL331" i="3"/>
  <c r="AZ331" i="3" s="1"/>
  <c r="BL327" i="3"/>
  <c r="BL316" i="3"/>
  <c r="BA310" i="3"/>
  <c r="BA302" i="3"/>
  <c r="BL295" i="3"/>
  <c r="BA285" i="3"/>
  <c r="AZ285" i="3" s="1"/>
  <c r="BL277" i="3"/>
  <c r="BL268" i="3"/>
  <c r="AZ268" i="3" s="1"/>
  <c r="BA262" i="3"/>
  <c r="BA254" i="3"/>
  <c r="BL247" i="3"/>
  <c r="BA237" i="3"/>
  <c r="AZ237" i="3" s="1"/>
  <c r="BL229" i="3"/>
  <c r="BL220" i="3"/>
  <c r="AZ220" i="3" s="1"/>
  <c r="BA214" i="3"/>
  <c r="BA206" i="3"/>
  <c r="BL199" i="3"/>
  <c r="BL181" i="3"/>
  <c r="BA166" i="3"/>
  <c r="BL149" i="3"/>
  <c r="BL135" i="3"/>
  <c r="AZ135" i="3" s="1"/>
  <c r="BL121" i="3"/>
  <c r="BL106" i="3"/>
  <c r="AZ106" i="3" s="1"/>
  <c r="BA104" i="3"/>
  <c r="BA100" i="3"/>
  <c r="BA98" i="3"/>
  <c r="BL77" i="3"/>
  <c r="BL63" i="3"/>
  <c r="BL49" i="3"/>
  <c r="BA32" i="3"/>
  <c r="BA26" i="3"/>
  <c r="BA365" i="3"/>
  <c r="AZ365" i="3" s="1"/>
  <c r="BL360" i="3"/>
  <c r="AZ360" i="3" s="1"/>
  <c r="BL353" i="3"/>
  <c r="AZ338" i="3"/>
  <c r="BL329" i="3"/>
  <c r="BL310" i="3"/>
  <c r="BA308" i="3"/>
  <c r="BL293" i="3"/>
  <c r="BA279" i="3"/>
  <c r="BL262" i="3"/>
  <c r="BA260" i="3"/>
  <c r="BL245" i="3"/>
  <c r="BA231" i="3"/>
  <c r="AZ231" i="3" s="1"/>
  <c r="BL214" i="3"/>
  <c r="AZ214" i="3" s="1"/>
  <c r="BA212" i="3"/>
  <c r="BL197" i="3"/>
  <c r="BL166" i="3"/>
  <c r="BA164" i="3"/>
  <c r="BL143" i="3"/>
  <c r="AZ123" i="3"/>
  <c r="BL71" i="3"/>
  <c r="AZ51" i="3"/>
  <c r="BA16" i="3"/>
  <c r="F31" i="59"/>
  <c r="BL571" i="3"/>
  <c r="AZ571" i="3" s="1"/>
  <c r="BA564" i="3"/>
  <c r="AZ564" i="3" s="1"/>
  <c r="BL559" i="3"/>
  <c r="AZ559" i="3" s="1"/>
  <c r="BA552" i="3"/>
  <c r="AZ552" i="3" s="1"/>
  <c r="BL547" i="3"/>
  <c r="AZ547" i="3" s="1"/>
  <c r="BA540" i="3"/>
  <c r="AZ540" i="3" s="1"/>
  <c r="BL535" i="3"/>
  <c r="AZ535" i="3" s="1"/>
  <c r="BA528" i="3"/>
  <c r="AZ528" i="3" s="1"/>
  <c r="BL523" i="3"/>
  <c r="AZ523" i="3" s="1"/>
  <c r="BA516" i="3"/>
  <c r="AZ516" i="3" s="1"/>
  <c r="BL511" i="3"/>
  <c r="AZ511" i="3" s="1"/>
  <c r="BA461" i="3"/>
  <c r="AZ461" i="3" s="1"/>
  <c r="BL456" i="3"/>
  <c r="AZ456" i="3" s="1"/>
  <c r="BA449" i="3"/>
  <c r="AZ449" i="3" s="1"/>
  <c r="BL444" i="3"/>
  <c r="AZ444" i="3" s="1"/>
  <c r="BA437" i="3"/>
  <c r="AZ437" i="3" s="1"/>
  <c r="BL432" i="3"/>
  <c r="AZ432" i="3" s="1"/>
  <c r="BA425" i="3"/>
  <c r="AZ425" i="3" s="1"/>
  <c r="BL420" i="3"/>
  <c r="AZ420" i="3" s="1"/>
  <c r="BA413" i="3"/>
  <c r="AZ413" i="3" s="1"/>
  <c r="BL408" i="3"/>
  <c r="AZ408" i="3" s="1"/>
  <c r="BA377" i="3"/>
  <c r="AZ377" i="3" s="1"/>
  <c r="BL372" i="3"/>
  <c r="AZ372" i="3" s="1"/>
  <c r="BA304" i="3"/>
  <c r="BL287" i="3"/>
  <c r="BL279" i="3"/>
  <c r="BA256" i="3"/>
  <c r="BL239" i="3"/>
  <c r="BL231" i="3"/>
  <c r="BA208" i="3"/>
  <c r="BL191" i="3"/>
  <c r="BL183" i="3"/>
  <c r="BA160" i="3"/>
  <c r="BA158" i="3"/>
  <c r="BL137" i="3"/>
  <c r="BL123" i="3"/>
  <c r="BL109" i="3"/>
  <c r="AZ94" i="3"/>
  <c r="BA92" i="3"/>
  <c r="BA88" i="3"/>
  <c r="BA86" i="3"/>
  <c r="BL65" i="3"/>
  <c r="BL37" i="3"/>
  <c r="BA20" i="3"/>
  <c r="BA18" i="3"/>
  <c r="BA14" i="3"/>
  <c r="BA363" i="3"/>
  <c r="AZ363" i="3" s="1"/>
  <c r="BL358" i="3"/>
  <c r="AZ358" i="3" s="1"/>
  <c r="BA345" i="3"/>
  <c r="AZ345" i="3" s="1"/>
  <c r="BA343" i="3"/>
  <c r="AZ343" i="3" s="1"/>
  <c r="BL336" i="3"/>
  <c r="AZ336" i="3" s="1"/>
  <c r="BA334" i="3"/>
  <c r="BA321" i="3"/>
  <c r="AZ321" i="3" s="1"/>
  <c r="BL304" i="3"/>
  <c r="BA298" i="3"/>
  <c r="AZ298" i="3" s="1"/>
  <c r="BA290" i="3"/>
  <c r="BL283" i="3"/>
  <c r="BA273" i="3"/>
  <c r="AZ273" i="3" s="1"/>
  <c r="BL265" i="3"/>
  <c r="BL256" i="3"/>
  <c r="BA250" i="3"/>
  <c r="AZ250" i="3" s="1"/>
  <c r="BA242" i="3"/>
  <c r="BL235" i="3"/>
  <c r="BA225" i="3"/>
  <c r="AZ225" i="3" s="1"/>
  <c r="BL217" i="3"/>
  <c r="BL208" i="3"/>
  <c r="AZ208" i="3" s="1"/>
  <c r="BA202" i="3"/>
  <c r="BL187" i="3"/>
  <c r="BL169" i="3"/>
  <c r="BL160" i="3"/>
  <c r="AZ160" i="3" s="1"/>
  <c r="BA154" i="3"/>
  <c r="BA138" i="3"/>
  <c r="BL131" i="3"/>
  <c r="BA111" i="3"/>
  <c r="AZ111" i="3" s="1"/>
  <c r="BA66" i="3"/>
  <c r="BL59" i="3"/>
  <c r="BL51" i="3"/>
  <c r="AZ39" i="3"/>
  <c r="BA349" i="3"/>
  <c r="AZ349" i="3" s="1"/>
  <c r="BL344" i="3"/>
  <c r="AZ344" i="3" s="1"/>
  <c r="BA337" i="3"/>
  <c r="AZ337" i="3" s="1"/>
  <c r="BL332" i="3"/>
  <c r="AZ332" i="3" s="1"/>
  <c r="BA325" i="3"/>
  <c r="AZ325" i="3" s="1"/>
  <c r="BL320" i="3"/>
  <c r="AZ320" i="3" s="1"/>
  <c r="BA313" i="3"/>
  <c r="AZ313" i="3" s="1"/>
  <c r="BL308" i="3"/>
  <c r="AZ308" i="3" s="1"/>
  <c r="BA301" i="3"/>
  <c r="AZ301" i="3" s="1"/>
  <c r="BL296" i="3"/>
  <c r="AZ296" i="3" s="1"/>
  <c r="BA289" i="3"/>
  <c r="AZ289" i="3" s="1"/>
  <c r="BL284" i="3"/>
  <c r="AZ284" i="3" s="1"/>
  <c r="BA277" i="3"/>
  <c r="AZ277" i="3" s="1"/>
  <c r="BL272" i="3"/>
  <c r="AZ272" i="3" s="1"/>
  <c r="BA265" i="3"/>
  <c r="AZ265" i="3" s="1"/>
  <c r="BL260" i="3"/>
  <c r="AZ260" i="3" s="1"/>
  <c r="BA253" i="3"/>
  <c r="BL248" i="3"/>
  <c r="AZ248" i="3" s="1"/>
  <c r="BA241" i="3"/>
  <c r="AZ241" i="3" s="1"/>
  <c r="BL236" i="3"/>
  <c r="AZ236" i="3" s="1"/>
  <c r="BA229" i="3"/>
  <c r="AZ229" i="3" s="1"/>
  <c r="BL224" i="3"/>
  <c r="BA217" i="3"/>
  <c r="AZ217" i="3" s="1"/>
  <c r="BL212" i="3"/>
  <c r="BA205" i="3"/>
  <c r="AZ205" i="3" s="1"/>
  <c r="BL200" i="3"/>
  <c r="AZ200" i="3" s="1"/>
  <c r="BA193" i="3"/>
  <c r="AZ193" i="3" s="1"/>
  <c r="BL164" i="3"/>
  <c r="AZ164" i="3" s="1"/>
  <c r="BA157" i="3"/>
  <c r="BL152" i="3"/>
  <c r="AZ152" i="3" s="1"/>
  <c r="BA145" i="3"/>
  <c r="AZ145" i="3" s="1"/>
  <c r="BL140" i="3"/>
  <c r="AZ140" i="3" s="1"/>
  <c r="BL128" i="3"/>
  <c r="AZ128" i="3" s="1"/>
  <c r="BA121" i="3"/>
  <c r="BL116" i="3"/>
  <c r="BA109" i="3"/>
  <c r="BL104" i="3"/>
  <c r="AZ104" i="3" s="1"/>
  <c r="BA97" i="3"/>
  <c r="AZ97" i="3" s="1"/>
  <c r="BL92" i="3"/>
  <c r="BA85" i="3"/>
  <c r="AZ85" i="3" s="1"/>
  <c r="BL80" i="3"/>
  <c r="AZ80" i="3" s="1"/>
  <c r="BA73" i="3"/>
  <c r="AZ73" i="3" s="1"/>
  <c r="BL68" i="3"/>
  <c r="AZ68" i="3" s="1"/>
  <c r="BA61" i="3"/>
  <c r="AZ61" i="3" s="1"/>
  <c r="BL56" i="3"/>
  <c r="AZ56" i="3" s="1"/>
  <c r="BA49" i="3"/>
  <c r="BL44" i="3"/>
  <c r="BA37" i="3"/>
  <c r="BL32" i="3"/>
  <c r="AZ32" i="3" s="1"/>
  <c r="BA13" i="3"/>
  <c r="AZ13" i="3" s="1"/>
  <c r="BA371" i="3"/>
  <c r="AZ371" i="3" s="1"/>
  <c r="BL366" i="3"/>
  <c r="AZ366" i="3" s="1"/>
  <c r="BA359" i="3"/>
  <c r="AZ359" i="3" s="1"/>
  <c r="BL354" i="3"/>
  <c r="AZ354" i="3" s="1"/>
  <c r="BA347" i="3"/>
  <c r="AZ347" i="3" s="1"/>
  <c r="BL342" i="3"/>
  <c r="AZ342" i="3" s="1"/>
  <c r="BA335" i="3"/>
  <c r="AZ335" i="3" s="1"/>
  <c r="BL330" i="3"/>
  <c r="AZ330" i="3" s="1"/>
  <c r="BA323" i="3"/>
  <c r="BL318" i="3"/>
  <c r="AZ318" i="3" s="1"/>
  <c r="BA311" i="3"/>
  <c r="BL306" i="3"/>
  <c r="AZ306" i="3" s="1"/>
  <c r="BA299" i="3"/>
  <c r="AZ299" i="3" s="1"/>
  <c r="BL294" i="3"/>
  <c r="AZ294" i="3" s="1"/>
  <c r="BA287" i="3"/>
  <c r="BL282" i="3"/>
  <c r="AZ282" i="3" s="1"/>
  <c r="BA275" i="3"/>
  <c r="BL270" i="3"/>
  <c r="AZ270" i="3" s="1"/>
  <c r="BA263" i="3"/>
  <c r="AZ263" i="3" s="1"/>
  <c r="BL258" i="3"/>
  <c r="AZ258" i="3" s="1"/>
  <c r="BA251" i="3"/>
  <c r="BL246" i="3"/>
  <c r="AZ246" i="3" s="1"/>
  <c r="BA239" i="3"/>
  <c r="AZ239" i="3" s="1"/>
  <c r="BL234" i="3"/>
  <c r="AZ234" i="3" s="1"/>
  <c r="BA227" i="3"/>
  <c r="AZ227" i="3" s="1"/>
  <c r="BL222" i="3"/>
  <c r="AZ222" i="3" s="1"/>
  <c r="BA215" i="3"/>
  <c r="AZ215" i="3" s="1"/>
  <c r="BL210" i="3"/>
  <c r="AZ210" i="3" s="1"/>
  <c r="BA203" i="3"/>
  <c r="AZ203" i="3" s="1"/>
  <c r="BL198" i="3"/>
  <c r="AZ198" i="3" s="1"/>
  <c r="BA191" i="3"/>
  <c r="AZ191" i="3" s="1"/>
  <c r="BA167" i="3"/>
  <c r="AZ167" i="3" s="1"/>
  <c r="BL162" i="3"/>
  <c r="AZ162" i="3" s="1"/>
  <c r="BA155" i="3"/>
  <c r="BL150" i="3"/>
  <c r="AZ150" i="3" s="1"/>
  <c r="BA143" i="3"/>
  <c r="AZ143" i="3" s="1"/>
  <c r="BL138" i="3"/>
  <c r="AZ138" i="3" s="1"/>
  <c r="BA131" i="3"/>
  <c r="AZ131" i="3" s="1"/>
  <c r="BL126" i="3"/>
  <c r="BA119" i="3"/>
  <c r="AZ119" i="3" s="1"/>
  <c r="BL114" i="3"/>
  <c r="AZ114" i="3" s="1"/>
  <c r="BA107" i="3"/>
  <c r="AZ107" i="3" s="1"/>
  <c r="BL102" i="3"/>
  <c r="AZ102" i="3" s="1"/>
  <c r="BA95" i="3"/>
  <c r="AZ95" i="3" s="1"/>
  <c r="BL90" i="3"/>
  <c r="BA83" i="3"/>
  <c r="BL78" i="3"/>
  <c r="AZ78" i="3" s="1"/>
  <c r="BA71" i="3"/>
  <c r="AZ71" i="3" s="1"/>
  <c r="BL66" i="3"/>
  <c r="BA59" i="3"/>
  <c r="AZ59" i="3" s="1"/>
  <c r="BL54" i="3"/>
  <c r="BA47" i="3"/>
  <c r="AZ47" i="3" s="1"/>
  <c r="BL42" i="3"/>
  <c r="AZ42" i="3" s="1"/>
  <c r="BA35" i="3"/>
  <c r="AZ35" i="3" s="1"/>
  <c r="BL30" i="3"/>
  <c r="AZ30" i="3" s="1"/>
  <c r="BL148" i="3"/>
  <c r="AZ148" i="3" s="1"/>
  <c r="BA141" i="3"/>
  <c r="AZ141" i="3" s="1"/>
  <c r="BL136" i="3"/>
  <c r="AZ136" i="3" s="1"/>
  <c r="BA129" i="3"/>
  <c r="AZ129" i="3" s="1"/>
  <c r="BL124" i="3"/>
  <c r="AZ124" i="3" s="1"/>
  <c r="BA117" i="3"/>
  <c r="AZ117" i="3" s="1"/>
  <c r="BL112" i="3"/>
  <c r="AZ112" i="3" s="1"/>
  <c r="BA105" i="3"/>
  <c r="AZ105" i="3" s="1"/>
  <c r="BL100" i="3"/>
  <c r="AZ100" i="3" s="1"/>
  <c r="BA93" i="3"/>
  <c r="AZ93" i="3" s="1"/>
  <c r="BL88" i="3"/>
  <c r="AZ88" i="3" s="1"/>
  <c r="BA81" i="3"/>
  <c r="AZ81" i="3" s="1"/>
  <c r="BL76" i="3"/>
  <c r="AZ76" i="3" s="1"/>
  <c r="BA69" i="3"/>
  <c r="AZ69" i="3" s="1"/>
  <c r="BL64" i="3"/>
  <c r="AZ64" i="3" s="1"/>
  <c r="BA57" i="3"/>
  <c r="AZ57" i="3" s="1"/>
  <c r="BL52" i="3"/>
  <c r="AZ52" i="3" s="1"/>
  <c r="BA45" i="3"/>
  <c r="AZ45" i="3" s="1"/>
  <c r="BL40" i="3"/>
  <c r="AZ40" i="3" s="1"/>
  <c r="BA33" i="3"/>
  <c r="AZ33" i="3" s="1"/>
  <c r="BL28" i="3"/>
  <c r="BL326" i="3"/>
  <c r="AZ326" i="3" s="1"/>
  <c r="BA319" i="3"/>
  <c r="AZ319" i="3" s="1"/>
  <c r="BL314" i="3"/>
  <c r="AZ314" i="3" s="1"/>
  <c r="BA307" i="3"/>
  <c r="BL302" i="3"/>
  <c r="BA295" i="3"/>
  <c r="BL290" i="3"/>
  <c r="BA283" i="3"/>
  <c r="AZ283" i="3" s="1"/>
  <c r="BL278" i="3"/>
  <c r="AZ278" i="3" s="1"/>
  <c r="BA271" i="3"/>
  <c r="AZ271" i="3" s="1"/>
  <c r="BL266" i="3"/>
  <c r="BA259" i="3"/>
  <c r="AZ259" i="3" s="1"/>
  <c r="BL254" i="3"/>
  <c r="BA247" i="3"/>
  <c r="AZ247" i="3" s="1"/>
  <c r="BL242" i="3"/>
  <c r="AZ242" i="3" s="1"/>
  <c r="BA235" i="3"/>
  <c r="BL230" i="3"/>
  <c r="AZ230" i="3" s="1"/>
  <c r="BA223" i="3"/>
  <c r="AZ223" i="3" s="1"/>
  <c r="BL218" i="3"/>
  <c r="BA211" i="3"/>
  <c r="AZ211" i="3" s="1"/>
  <c r="BL206" i="3"/>
  <c r="AZ206" i="3" s="1"/>
  <c r="BA199" i="3"/>
  <c r="AZ199" i="3" s="1"/>
  <c r="BL194" i="3"/>
  <c r="AZ194" i="3" s="1"/>
  <c r="BA163" i="3"/>
  <c r="AZ163" i="3" s="1"/>
  <c r="BL158" i="3"/>
  <c r="BA151" i="3"/>
  <c r="AZ151" i="3" s="1"/>
  <c r="BL146" i="3"/>
  <c r="AZ146" i="3" s="1"/>
  <c r="BA139" i="3"/>
  <c r="AZ139" i="3" s="1"/>
  <c r="BA127" i="3"/>
  <c r="AZ127" i="3" s="1"/>
  <c r="BL122" i="3"/>
  <c r="AZ122" i="3" s="1"/>
  <c r="BA115" i="3"/>
  <c r="AZ115" i="3" s="1"/>
  <c r="BL110" i="3"/>
  <c r="AZ110" i="3" s="1"/>
  <c r="BA103" i="3"/>
  <c r="AZ103" i="3" s="1"/>
  <c r="BL98" i="3"/>
  <c r="AZ98" i="3" s="1"/>
  <c r="BA91" i="3"/>
  <c r="AZ91" i="3" s="1"/>
  <c r="BL86" i="3"/>
  <c r="AZ86" i="3" s="1"/>
  <c r="BA79" i="3"/>
  <c r="AZ79" i="3" s="1"/>
  <c r="BL74" i="3"/>
  <c r="AZ74" i="3" s="1"/>
  <c r="BA67" i="3"/>
  <c r="AZ67" i="3" s="1"/>
  <c r="BL62" i="3"/>
  <c r="AZ62" i="3" s="1"/>
  <c r="BA55" i="3"/>
  <c r="AZ55" i="3" s="1"/>
  <c r="BL50" i="3"/>
  <c r="AZ50" i="3" s="1"/>
  <c r="BA43" i="3"/>
  <c r="AZ43" i="3" s="1"/>
  <c r="BL38" i="3"/>
  <c r="AZ38" i="3" s="1"/>
  <c r="BA31" i="3"/>
  <c r="AZ31" i="3" s="1"/>
  <c r="BL14" i="3"/>
  <c r="AZ14" i="3" s="1"/>
  <c r="BA317" i="3"/>
  <c r="BL312" i="3"/>
  <c r="AZ312" i="3" s="1"/>
  <c r="BA305" i="3"/>
  <c r="AZ305" i="3" s="1"/>
  <c r="BL300" i="3"/>
  <c r="AZ300" i="3" s="1"/>
  <c r="BA293" i="3"/>
  <c r="AZ293" i="3" s="1"/>
  <c r="BL288" i="3"/>
  <c r="AZ288" i="3" s="1"/>
  <c r="BA281" i="3"/>
  <c r="AZ281" i="3" s="1"/>
  <c r="BL276" i="3"/>
  <c r="AZ276" i="3" s="1"/>
  <c r="BA269" i="3"/>
  <c r="AZ269" i="3" s="1"/>
  <c r="BL264" i="3"/>
  <c r="AZ264" i="3" s="1"/>
  <c r="BA257" i="3"/>
  <c r="BL252" i="3"/>
  <c r="AZ252" i="3" s="1"/>
  <c r="BA245" i="3"/>
  <c r="BL240" i="3"/>
  <c r="AZ240" i="3" s="1"/>
  <c r="BA233" i="3"/>
  <c r="AZ233" i="3" s="1"/>
  <c r="BL228" i="3"/>
  <c r="AZ228" i="3" s="1"/>
  <c r="BA221" i="3"/>
  <c r="AZ221" i="3" s="1"/>
  <c r="BL216" i="3"/>
  <c r="AZ216" i="3" s="1"/>
  <c r="BA209" i="3"/>
  <c r="BL204" i="3"/>
  <c r="AZ204" i="3" s="1"/>
  <c r="BA197" i="3"/>
  <c r="AZ197" i="3" s="1"/>
  <c r="BL192" i="3"/>
  <c r="AZ192" i="3" s="1"/>
  <c r="BL168" i="3"/>
  <c r="AZ168" i="3" s="1"/>
  <c r="BA161" i="3"/>
  <c r="AZ161" i="3" s="1"/>
  <c r="BL156" i="3"/>
  <c r="AZ156" i="3" s="1"/>
  <c r="BA149" i="3"/>
  <c r="BL144" i="3"/>
  <c r="AZ144" i="3" s="1"/>
  <c r="BA137" i="3"/>
  <c r="AZ137" i="3" s="1"/>
  <c r="BA125" i="3"/>
  <c r="AZ125" i="3" s="1"/>
  <c r="BL120" i="3"/>
  <c r="AZ120" i="3" s="1"/>
  <c r="BA113" i="3"/>
  <c r="AZ113" i="3" s="1"/>
  <c r="BL108" i="3"/>
  <c r="AZ108" i="3" s="1"/>
  <c r="BA101" i="3"/>
  <c r="AZ101" i="3" s="1"/>
  <c r="BL96" i="3"/>
  <c r="AZ96" i="3" s="1"/>
  <c r="BA89" i="3"/>
  <c r="AZ89" i="3" s="1"/>
  <c r="BL84" i="3"/>
  <c r="AZ84" i="3" s="1"/>
  <c r="BA77" i="3"/>
  <c r="BL72" i="3"/>
  <c r="AZ72" i="3" s="1"/>
  <c r="BA65" i="3"/>
  <c r="AZ65" i="3" s="1"/>
  <c r="BL60" i="3"/>
  <c r="AZ60" i="3" s="1"/>
  <c r="BA53" i="3"/>
  <c r="AZ53" i="3" s="1"/>
  <c r="BL48" i="3"/>
  <c r="AZ48" i="3" s="1"/>
  <c r="BA41" i="3"/>
  <c r="AZ41" i="3" s="1"/>
  <c r="BL36" i="3"/>
  <c r="AZ36" i="3" s="1"/>
  <c r="BA29" i="3"/>
  <c r="AZ29" i="3" s="1"/>
  <c r="B14" i="52"/>
  <c r="B12" i="52"/>
  <c r="B5" i="52"/>
  <c r="B10" i="52"/>
  <c r="B8" i="52"/>
  <c r="E4" i="52"/>
  <c r="E7" i="52"/>
  <c r="E11" i="52"/>
  <c r="E14" i="52"/>
  <c r="B4" i="52"/>
  <c r="M43" i="9"/>
  <c r="D18" i="9"/>
  <c r="M44" i="9" s="1"/>
  <c r="J22" i="44"/>
  <c r="B2" i="67"/>
  <c r="C36" i="44"/>
  <c r="E3" i="67"/>
  <c r="E4" i="67"/>
  <c r="C8" i="44"/>
  <c r="J54" i="44"/>
  <c r="J58" i="44"/>
  <c r="J56" i="44" s="1"/>
  <c r="J59" i="44" s="1"/>
  <c r="Q52" i="44" s="1"/>
  <c r="J60" i="44"/>
  <c r="L57" i="44"/>
  <c r="I55" i="44"/>
  <c r="J61" i="44"/>
  <c r="Q50" i="44" s="1"/>
  <c r="C29" i="44"/>
  <c r="Q73" i="44"/>
  <c r="L60" i="44"/>
  <c r="L59" i="44"/>
  <c r="M9" i="44"/>
  <c r="J8" i="44" s="1"/>
  <c r="Q72" i="15"/>
  <c r="C4" i="65"/>
  <c r="B39" i="1" s="1"/>
  <c r="I59" i="34"/>
  <c r="J59" i="34" s="1"/>
  <c r="K59" i="34" s="1"/>
  <c r="L59" i="34" s="1"/>
  <c r="M59" i="34" s="1"/>
  <c r="N59" i="34" s="1"/>
  <c r="O59" i="34" s="1"/>
  <c r="H7" i="34" s="1"/>
  <c r="K58" i="33"/>
  <c r="L58" i="33" s="1"/>
  <c r="M58" i="33" s="1"/>
  <c r="N58" i="33" s="1"/>
  <c r="O58" i="33" s="1"/>
  <c r="H7" i="33"/>
  <c r="J7" i="33"/>
  <c r="F7" i="33"/>
  <c r="D102" i="46"/>
  <c r="D104" i="46"/>
  <c r="D107" i="46"/>
  <c r="D109" i="46"/>
  <c r="H104" i="46"/>
  <c r="H107" i="46"/>
  <c r="J109" i="46"/>
  <c r="J105" i="46"/>
  <c r="J102" i="46"/>
  <c r="J106" i="46"/>
  <c r="J107" i="46"/>
  <c r="F105" i="46"/>
  <c r="F107" i="46"/>
  <c r="AD13" i="46"/>
  <c r="S9" i="21"/>
  <c r="AA9" i="21"/>
  <c r="AC9" i="33"/>
  <c r="W9" i="33"/>
  <c r="H48" i="35"/>
  <c r="F7" i="34"/>
  <c r="F70" i="39"/>
  <c r="E61" i="40"/>
  <c r="E59" i="40"/>
  <c r="H106" i="46"/>
  <c r="H105" i="46"/>
  <c r="F103" i="46"/>
  <c r="D103" i="46"/>
  <c r="H102" i="46"/>
  <c r="D67" i="40"/>
  <c r="O16" i="1"/>
  <c r="E58" i="21"/>
  <c r="F104" i="46"/>
  <c r="K103" i="46"/>
  <c r="K104" i="46"/>
  <c r="L102" i="46"/>
  <c r="L105" i="46"/>
  <c r="G102" i="46"/>
  <c r="G103" i="46"/>
  <c r="G105" i="46"/>
  <c r="G106" i="46"/>
  <c r="H80" i="46"/>
  <c r="H82" i="46"/>
  <c r="H83" i="46"/>
  <c r="H85" i="46"/>
  <c r="E46" i="36"/>
  <c r="P16" i="1"/>
  <c r="G17" i="46"/>
  <c r="M86" i="9"/>
  <c r="N86" i="9" s="1"/>
  <c r="M88" i="9"/>
  <c r="N88" i="9" s="1"/>
  <c r="M87" i="9"/>
  <c r="N87" i="9" s="1"/>
  <c r="M85" i="9"/>
  <c r="N85" i="9" s="1"/>
  <c r="M83" i="9"/>
  <c r="N83" i="9" s="1"/>
  <c r="N89" i="9" s="1"/>
  <c r="O89" i="9" s="1"/>
  <c r="AC18" i="36"/>
  <c r="E29" i="6"/>
  <c r="K15" i="1" s="1"/>
  <c r="F52" i="37"/>
  <c r="D5" i="46"/>
  <c r="C5" i="46"/>
  <c r="AC26" i="33"/>
  <c r="W26" i="33"/>
  <c r="W27" i="34"/>
  <c r="AC27" i="34"/>
  <c r="F9" i="33"/>
  <c r="H9" i="33"/>
  <c r="J9" i="36"/>
  <c r="H9" i="36"/>
  <c r="F9" i="36"/>
  <c r="J24" i="36"/>
  <c r="H24" i="36"/>
  <c r="I21" i="57"/>
  <c r="H47" i="46"/>
  <c r="H54" i="46"/>
  <c r="H48" i="46"/>
  <c r="E28" i="6"/>
  <c r="A3" i="55"/>
  <c r="B56" i="63" s="1"/>
  <c r="U25" i="33"/>
  <c r="AB11" i="33"/>
  <c r="AC11" i="34"/>
  <c r="W27" i="39"/>
  <c r="AB32" i="40"/>
  <c r="W35" i="40"/>
  <c r="AA36" i="35"/>
  <c r="AB15" i="37"/>
  <c r="U12" i="37"/>
  <c r="AB44" i="33"/>
  <c r="AA23" i="37"/>
  <c r="AC23" i="37"/>
  <c r="U28" i="21"/>
  <c r="S45" i="21"/>
  <c r="AA27" i="33"/>
  <c r="W31" i="34"/>
  <c r="AB14" i="21"/>
  <c r="U46" i="21"/>
  <c r="AB13" i="21"/>
  <c r="AB40" i="37"/>
  <c r="W46" i="33"/>
  <c r="W35" i="35"/>
  <c r="AA21" i="34"/>
  <c r="S21" i="34"/>
  <c r="C22" i="59"/>
  <c r="D21" i="59"/>
  <c r="D41" i="59"/>
  <c r="C42" i="59"/>
  <c r="D19" i="59"/>
  <c r="T19" i="59"/>
  <c r="C18" i="59"/>
  <c r="B14" i="59"/>
  <c r="B13" i="59" s="1"/>
  <c r="B12" i="59" s="1"/>
  <c r="B11" i="59" s="1"/>
  <c r="S15" i="59"/>
  <c r="C2" i="65"/>
  <c r="K12" i="1"/>
  <c r="D81" i="46"/>
  <c r="E80" i="46" s="1"/>
  <c r="B78" i="46" s="1"/>
  <c r="C24" i="46" s="1"/>
  <c r="B74" i="46"/>
  <c r="C31" i="39"/>
  <c r="S31" i="39"/>
  <c r="O57" i="59"/>
  <c r="O56" i="59"/>
  <c r="D57" i="59"/>
  <c r="C27" i="59"/>
  <c r="D26" i="59"/>
  <c r="C30" i="59"/>
  <c r="D29" i="59"/>
  <c r="C38" i="59"/>
  <c r="D38" i="59" s="1"/>
  <c r="D37" i="59"/>
  <c r="C47" i="59"/>
  <c r="D46" i="59"/>
  <c r="D49" i="59"/>
  <c r="C50" i="59"/>
  <c r="D54" i="59"/>
  <c r="P58" i="59"/>
  <c r="E57" i="59"/>
  <c r="B18" i="59"/>
  <c r="B17" i="59" s="1"/>
  <c r="S19" i="59"/>
  <c r="M19" i="46"/>
  <c r="V31" i="59"/>
  <c r="U15" i="59"/>
  <c r="E14" i="59"/>
  <c r="E13" i="59" s="1"/>
  <c r="E12" i="59" s="1"/>
  <c r="E11" i="59" s="1"/>
  <c r="AZ504" i="3"/>
  <c r="AZ480" i="3"/>
  <c r="S18" i="35"/>
  <c r="D58" i="59"/>
  <c r="S59" i="59"/>
  <c r="AB3" i="59"/>
  <c r="X3" i="59"/>
  <c r="C19" i="46" s="1"/>
  <c r="B58" i="59"/>
  <c r="K76" i="9"/>
  <c r="K77" i="9" s="1"/>
  <c r="K79" i="9" s="1"/>
  <c r="K81" i="9" s="1"/>
  <c r="F6" i="59"/>
  <c r="F5" i="59" s="1"/>
  <c r="BL506" i="3"/>
  <c r="AZ506" i="3" s="1"/>
  <c r="BA505" i="3"/>
  <c r="AZ505" i="3" s="1"/>
  <c r="BL502" i="3"/>
  <c r="AZ502" i="3" s="1"/>
  <c r="BA501" i="3"/>
  <c r="AZ501" i="3" s="1"/>
  <c r="BL498" i="3"/>
  <c r="AZ498" i="3" s="1"/>
  <c r="BA497" i="3"/>
  <c r="AZ497" i="3" s="1"/>
  <c r="BL494" i="3"/>
  <c r="AZ494" i="3" s="1"/>
  <c r="BA493" i="3"/>
  <c r="AZ493" i="3" s="1"/>
  <c r="BL490" i="3"/>
  <c r="AZ490" i="3" s="1"/>
  <c r="BA489" i="3"/>
  <c r="AZ489" i="3" s="1"/>
  <c r="BL486" i="3"/>
  <c r="AZ486" i="3" s="1"/>
  <c r="BA485" i="3"/>
  <c r="AZ485" i="3" s="1"/>
  <c r="BL482" i="3"/>
  <c r="AZ482" i="3" s="1"/>
  <c r="BA481" i="3"/>
  <c r="AZ481" i="3" s="1"/>
  <c r="BL478" i="3"/>
  <c r="AZ478" i="3" s="1"/>
  <c r="BA477" i="3"/>
  <c r="AZ477" i="3" s="1"/>
  <c r="BL474" i="3"/>
  <c r="AZ474" i="3" s="1"/>
  <c r="BA473" i="3"/>
  <c r="AZ473" i="3" s="1"/>
  <c r="BL470" i="3"/>
  <c r="AZ470" i="3" s="1"/>
  <c r="BA469" i="3"/>
  <c r="AZ469" i="3" s="1"/>
  <c r="BA507" i="3"/>
  <c r="AZ507" i="3" s="1"/>
  <c r="BL504" i="3"/>
  <c r="BA503" i="3"/>
  <c r="AZ503" i="3" s="1"/>
  <c r="BL500" i="3"/>
  <c r="AZ500" i="3" s="1"/>
  <c r="BA499" i="3"/>
  <c r="AZ499" i="3" s="1"/>
  <c r="BL496" i="3"/>
  <c r="AZ496" i="3" s="1"/>
  <c r="BA495" i="3"/>
  <c r="AZ495" i="3" s="1"/>
  <c r="BL492" i="3"/>
  <c r="AZ492" i="3" s="1"/>
  <c r="BA491" i="3"/>
  <c r="AZ491" i="3" s="1"/>
  <c r="BL488" i="3"/>
  <c r="AZ488" i="3" s="1"/>
  <c r="BA487" i="3"/>
  <c r="AZ487" i="3" s="1"/>
  <c r="BL484" i="3"/>
  <c r="AZ484" i="3" s="1"/>
  <c r="BA483" i="3"/>
  <c r="AZ483" i="3" s="1"/>
  <c r="BL480" i="3"/>
  <c r="BA479" i="3"/>
  <c r="AZ479" i="3" s="1"/>
  <c r="BL476" i="3"/>
  <c r="AZ476" i="3" s="1"/>
  <c r="BA475" i="3"/>
  <c r="AZ475" i="3" s="1"/>
  <c r="BL472" i="3"/>
  <c r="AZ472" i="3" s="1"/>
  <c r="BA471" i="3"/>
  <c r="AZ471" i="3" s="1"/>
  <c r="BL468" i="3"/>
  <c r="AZ468" i="3" s="1"/>
  <c r="AZ394" i="3"/>
  <c r="AZ386" i="3"/>
  <c r="BL404" i="3"/>
  <c r="AZ404" i="3" s="1"/>
  <c r="BA403" i="3"/>
  <c r="AZ403" i="3" s="1"/>
  <c r="BL400" i="3"/>
  <c r="AZ400" i="3" s="1"/>
  <c r="BA399" i="3"/>
  <c r="AZ399" i="3" s="1"/>
  <c r="BL396" i="3"/>
  <c r="AZ396" i="3" s="1"/>
  <c r="BA395" i="3"/>
  <c r="AZ395" i="3" s="1"/>
  <c r="BL392" i="3"/>
  <c r="AZ392" i="3" s="1"/>
  <c r="BA391" i="3"/>
  <c r="AZ391" i="3" s="1"/>
  <c r="BL388" i="3"/>
  <c r="AZ388" i="3" s="1"/>
  <c r="BA387" i="3"/>
  <c r="AZ387" i="3" s="1"/>
  <c r="BL384" i="3"/>
  <c r="AZ384" i="3" s="1"/>
  <c r="BA383" i="3"/>
  <c r="AZ383" i="3" s="1"/>
  <c r="BA405" i="3"/>
  <c r="AZ405" i="3" s="1"/>
  <c r="BL402" i="3"/>
  <c r="AZ402" i="3" s="1"/>
  <c r="BA401" i="3"/>
  <c r="AZ401" i="3" s="1"/>
  <c r="BL398" i="3"/>
  <c r="AZ398" i="3" s="1"/>
  <c r="BA397" i="3"/>
  <c r="AZ397" i="3" s="1"/>
  <c r="BL394" i="3"/>
  <c r="BA393" i="3"/>
  <c r="AZ393" i="3" s="1"/>
  <c r="BL390" i="3"/>
  <c r="AZ390" i="3" s="1"/>
  <c r="BA389" i="3"/>
  <c r="AZ389" i="3" s="1"/>
  <c r="BL386" i="3"/>
  <c r="BA385" i="3"/>
  <c r="AZ385" i="3" s="1"/>
  <c r="BL382" i="3"/>
  <c r="AZ382" i="3" s="1"/>
  <c r="BA381" i="3"/>
  <c r="AZ381" i="3" s="1"/>
  <c r="AZ174" i="3"/>
  <c r="BL188" i="3"/>
  <c r="AZ188" i="3" s="1"/>
  <c r="BA187" i="3"/>
  <c r="AZ187" i="3" s="1"/>
  <c r="BL184" i="3"/>
  <c r="AZ184" i="3" s="1"/>
  <c r="BA183" i="3"/>
  <c r="BL180" i="3"/>
  <c r="AZ180" i="3" s="1"/>
  <c r="BA179" i="3"/>
  <c r="AZ179" i="3" s="1"/>
  <c r="BL176" i="3"/>
  <c r="AZ176" i="3" s="1"/>
  <c r="BA175" i="3"/>
  <c r="AZ175" i="3" s="1"/>
  <c r="BL172" i="3"/>
  <c r="AZ172" i="3" s="1"/>
  <c r="BA171" i="3"/>
  <c r="AZ171" i="3" s="1"/>
  <c r="BA189" i="3"/>
  <c r="AZ189" i="3" s="1"/>
  <c r="BL186" i="3"/>
  <c r="AZ186" i="3" s="1"/>
  <c r="BA185" i="3"/>
  <c r="AZ185" i="3" s="1"/>
  <c r="BL182" i="3"/>
  <c r="AZ182" i="3" s="1"/>
  <c r="BA181" i="3"/>
  <c r="AZ181" i="3" s="1"/>
  <c r="BL178" i="3"/>
  <c r="AZ178" i="3" s="1"/>
  <c r="BA177" i="3"/>
  <c r="AZ177" i="3" s="1"/>
  <c r="BL174" i="3"/>
  <c r="BA173" i="3"/>
  <c r="AZ173" i="3" s="1"/>
  <c r="BL170" i="3"/>
  <c r="AZ170" i="3" s="1"/>
  <c r="BA169" i="3"/>
  <c r="AZ169" i="3" s="1"/>
  <c r="BL134" i="3"/>
  <c r="AZ134" i="3" s="1"/>
  <c r="BA133" i="3"/>
  <c r="AZ133" i="3" s="1"/>
  <c r="BL132" i="3"/>
  <c r="AZ132" i="3" s="1"/>
  <c r="AZ26" i="3"/>
  <c r="AZ18" i="3"/>
  <c r="BL26" i="3"/>
  <c r="BA25" i="3"/>
  <c r="AZ25" i="3" s="1"/>
  <c r="BL22" i="3"/>
  <c r="AZ22" i="3" s="1"/>
  <c r="BA21" i="3"/>
  <c r="AZ21" i="3" s="1"/>
  <c r="BL18" i="3"/>
  <c r="BA17" i="3"/>
  <c r="BA27" i="3"/>
  <c r="AZ27" i="3" s="1"/>
  <c r="BL24" i="3"/>
  <c r="AZ24" i="3" s="1"/>
  <c r="BA23" i="3"/>
  <c r="AZ23" i="3" s="1"/>
  <c r="BL20" i="3"/>
  <c r="AZ20" i="3" s="1"/>
  <c r="BA19" i="3"/>
  <c r="AZ19" i="3" s="1"/>
  <c r="BL16" i="3"/>
  <c r="D21" i="12"/>
  <c r="C13" i="12"/>
  <c r="M6" i="15"/>
  <c r="F45" i="44"/>
  <c r="M8" i="15"/>
  <c r="F16" i="15"/>
  <c r="L47" i="15"/>
  <c r="F37" i="15"/>
  <c r="I6" i="65"/>
  <c r="F38" i="15"/>
  <c r="I7" i="65"/>
  <c r="I5" i="65"/>
  <c r="F13" i="15"/>
  <c r="M30" i="44"/>
  <c r="C18" i="44"/>
  <c r="F36" i="15"/>
  <c r="F26" i="15"/>
  <c r="M24" i="44"/>
  <c r="F43" i="15"/>
  <c r="F40" i="15"/>
  <c r="M23" i="15"/>
  <c r="J4" i="65"/>
  <c r="F8" i="15"/>
  <c r="C15" i="43"/>
  <c r="J7" i="65"/>
  <c r="J6" i="65"/>
  <c r="F9" i="15"/>
  <c r="J3" i="65"/>
  <c r="M9" i="15"/>
  <c r="F6" i="15"/>
  <c r="C29" i="43"/>
  <c r="F42" i="15"/>
  <c r="I3" i="65"/>
  <c r="I4" i="65"/>
  <c r="J5" i="65"/>
  <c r="M29" i="15"/>
  <c r="F24" i="43"/>
  <c r="L48" i="15"/>
  <c r="C21" i="12" l="1"/>
  <c r="I1" i="65"/>
  <c r="L59" i="15"/>
  <c r="Q62" i="15" s="1"/>
  <c r="G5" i="3"/>
  <c r="B3" i="3" s="1"/>
  <c r="E278" i="3" s="1"/>
  <c r="D66" i="59"/>
  <c r="C65" i="59"/>
  <c r="D65" i="59" s="1"/>
  <c r="AC36" i="35"/>
  <c r="W36" i="35"/>
  <c r="E383" i="3"/>
  <c r="S34" i="36"/>
  <c r="AA34" i="36"/>
  <c r="AZ351" i="3"/>
  <c r="E456" i="3"/>
  <c r="L109" i="46"/>
  <c r="AZ254" i="3"/>
  <c r="AZ77" i="3"/>
  <c r="AZ245" i="3"/>
  <c r="AZ317" i="3"/>
  <c r="AZ266" i="3"/>
  <c r="AZ54" i="3"/>
  <c r="AZ126" i="3"/>
  <c r="AZ287" i="3"/>
  <c r="AZ157" i="3"/>
  <c r="AZ253" i="3"/>
  <c r="AZ243" i="3"/>
  <c r="AZ353" i="3"/>
  <c r="AZ572" i="3"/>
  <c r="C13" i="59"/>
  <c r="D14" i="59"/>
  <c r="AC31" i="33"/>
  <c r="W31" i="33"/>
  <c r="U31" i="33"/>
  <c r="AB31" i="33"/>
  <c r="AA47" i="34"/>
  <c r="S47" i="34"/>
  <c r="D22" i="46"/>
  <c r="C21" i="46" s="1"/>
  <c r="H65" i="40"/>
  <c r="G67" i="40"/>
  <c r="AZ262" i="3"/>
  <c r="AB46" i="33"/>
  <c r="U46" i="33"/>
  <c r="AC32" i="36"/>
  <c r="W32" i="36"/>
  <c r="F102" i="46"/>
  <c r="F106" i="46"/>
  <c r="AZ257" i="3"/>
  <c r="AZ66" i="3"/>
  <c r="AZ92" i="3"/>
  <c r="AZ279" i="3"/>
  <c r="E213" i="3"/>
  <c r="AA45" i="34"/>
  <c r="S45" i="34"/>
  <c r="AA14" i="37"/>
  <c r="S14" i="37"/>
  <c r="AA9" i="35"/>
  <c r="S9" i="35"/>
  <c r="F57" i="59"/>
  <c r="Q58" i="59"/>
  <c r="U35" i="35"/>
  <c r="AB35" i="35"/>
  <c r="G107" i="46"/>
  <c r="G104" i="46"/>
  <c r="G109" i="46"/>
  <c r="AZ218" i="3"/>
  <c r="AZ290" i="3"/>
  <c r="AZ311" i="3"/>
  <c r="AZ316" i="3"/>
  <c r="N106" i="46"/>
  <c r="N102" i="46"/>
  <c r="N104" i="46"/>
  <c r="S2" i="46" s="1"/>
  <c r="N107" i="46"/>
  <c r="N105" i="46"/>
  <c r="N109" i="46"/>
  <c r="N103" i="46"/>
  <c r="AZ295" i="3"/>
  <c r="AZ83" i="3"/>
  <c r="AZ155" i="3"/>
  <c r="AZ37" i="3"/>
  <c r="AZ109" i="3"/>
  <c r="AZ212" i="3"/>
  <c r="AZ304" i="3"/>
  <c r="AZ310" i="3"/>
  <c r="K17" i="4"/>
  <c r="M103" i="46"/>
  <c r="M109" i="46"/>
  <c r="M107" i="46"/>
  <c r="M104" i="46"/>
  <c r="M105" i="46"/>
  <c r="M106" i="46"/>
  <c r="M102" i="46"/>
  <c r="AZ209" i="3"/>
  <c r="AZ302" i="3"/>
  <c r="AZ90" i="3"/>
  <c r="AZ251" i="3"/>
  <c r="AZ323" i="3"/>
  <c r="AZ44" i="3"/>
  <c r="AZ116" i="3"/>
  <c r="AZ166" i="3"/>
  <c r="D35" i="59"/>
  <c r="T35" i="59"/>
  <c r="AA26" i="37"/>
  <c r="S26" i="37"/>
  <c r="AZ235" i="3"/>
  <c r="AZ307" i="3"/>
  <c r="AZ49" i="3"/>
  <c r="AZ121" i="3"/>
  <c r="AZ224" i="3"/>
  <c r="S32" i="36"/>
  <c r="AA32" i="36"/>
  <c r="D116" i="46"/>
  <c r="E116" i="46" s="1"/>
  <c r="F116" i="46" s="1"/>
  <c r="G116" i="46" s="1"/>
  <c r="H116" i="46" s="1"/>
  <c r="B116" i="46"/>
  <c r="C116" i="46" s="1"/>
  <c r="D118" i="46"/>
  <c r="E118" i="46" s="1"/>
  <c r="F118" i="46" s="1"/>
  <c r="D117" i="46"/>
  <c r="E117" i="46" s="1"/>
  <c r="F117" i="46" s="1"/>
  <c r="G117" i="46" s="1"/>
  <c r="H117" i="46" s="1"/>
  <c r="I117" i="46"/>
  <c r="J117" i="46" s="1"/>
  <c r="K117" i="46" s="1"/>
  <c r="L117" i="46" s="1"/>
  <c r="M117" i="46" s="1"/>
  <c r="D115" i="46"/>
  <c r="E115" i="46" s="1"/>
  <c r="F115" i="46" s="1"/>
  <c r="G115" i="46" s="1"/>
  <c r="H115" i="46" s="1"/>
  <c r="B117" i="46"/>
  <c r="C117" i="46" s="1"/>
  <c r="I116" i="46"/>
  <c r="J116" i="46" s="1"/>
  <c r="K116" i="46" s="1"/>
  <c r="L116" i="46" s="1"/>
  <c r="M116" i="46" s="1"/>
  <c r="I118" i="46"/>
  <c r="J118" i="46" s="1"/>
  <c r="K118" i="46" s="1"/>
  <c r="L118" i="46" s="1"/>
  <c r="M118" i="46" s="1"/>
  <c r="G118" i="46"/>
  <c r="H118" i="46" s="1"/>
  <c r="B118" i="46"/>
  <c r="C118" i="46" s="1"/>
  <c r="I115" i="46"/>
  <c r="J115" i="46" s="1"/>
  <c r="K115" i="46" s="1"/>
  <c r="L115" i="46" s="1"/>
  <c r="M115" i="46" s="1"/>
  <c r="B115" i="46"/>
  <c r="I106" i="46"/>
  <c r="I104" i="46"/>
  <c r="I102" i="46"/>
  <c r="I109" i="46"/>
  <c r="I105" i="46"/>
  <c r="S5" i="46" s="1"/>
  <c r="I107" i="46"/>
  <c r="I103" i="46"/>
  <c r="L104" i="46"/>
  <c r="L103" i="46"/>
  <c r="AA9" i="34"/>
  <c r="S9" i="34"/>
  <c r="AB9" i="35"/>
  <c r="U9" i="35"/>
  <c r="AZ158" i="3"/>
  <c r="AZ275" i="3"/>
  <c r="E454" i="3"/>
  <c r="AB26" i="37"/>
  <c r="U26" i="37"/>
  <c r="W34" i="36"/>
  <c r="AC34" i="36"/>
  <c r="S28" i="33"/>
  <c r="AA28" i="33"/>
  <c r="F109" i="46"/>
  <c r="AZ183" i="3"/>
  <c r="D1" i="57"/>
  <c r="E10" i="57" s="1"/>
  <c r="L107" i="46"/>
  <c r="AZ149" i="3"/>
  <c r="AZ28" i="3"/>
  <c r="AZ256" i="3"/>
  <c r="AZ346" i="3"/>
  <c r="U29" i="21"/>
  <c r="AB29" i="21"/>
  <c r="S29" i="21"/>
  <c r="AA29" i="21"/>
  <c r="AA12" i="35"/>
  <c r="S12" i="35"/>
  <c r="L47" i="44"/>
  <c r="F64" i="15"/>
  <c r="F63" i="15"/>
  <c r="F50" i="15"/>
  <c r="C27" i="15"/>
  <c r="E20" i="46"/>
  <c r="J1" i="65"/>
  <c r="C26" i="43"/>
  <c r="D24" i="43" s="1"/>
  <c r="J57" i="15"/>
  <c r="J55" i="15" s="1"/>
  <c r="J58" i="15" s="1"/>
  <c r="Q51" i="15" s="1"/>
  <c r="I54" i="15"/>
  <c r="L56" i="15"/>
  <c r="J59" i="15"/>
  <c r="L58" i="15"/>
  <c r="J53" i="15"/>
  <c r="J60" i="15"/>
  <c r="Q49" i="15" s="1"/>
  <c r="F65" i="15"/>
  <c r="F67" i="15"/>
  <c r="F70" i="15"/>
  <c r="U7" i="34"/>
  <c r="AB7" i="34"/>
  <c r="T49" i="34" s="1"/>
  <c r="G49" i="34" s="1"/>
  <c r="J20" i="44"/>
  <c r="M12" i="1"/>
  <c r="Q16" i="1"/>
  <c r="H16" i="1"/>
  <c r="AP16" i="1"/>
  <c r="D18" i="59"/>
  <c r="C17" i="59"/>
  <c r="D17" i="59" s="1"/>
  <c r="C23" i="59"/>
  <c r="D22" i="59"/>
  <c r="W24" i="36"/>
  <c r="AC24" i="36"/>
  <c r="AB9" i="36"/>
  <c r="U9" i="36"/>
  <c r="AB9" i="33"/>
  <c r="U9" i="33"/>
  <c r="G52" i="37"/>
  <c r="H52" i="37" s="1"/>
  <c r="I52" i="37" s="1"/>
  <c r="J52" i="37" s="1"/>
  <c r="K52" i="37" s="1"/>
  <c r="L52" i="37" s="1"/>
  <c r="M52" i="37" s="1"/>
  <c r="N52" i="37" s="1"/>
  <c r="O52" i="37" s="1"/>
  <c r="J7" i="37"/>
  <c r="F7" i="37"/>
  <c r="C17" i="12"/>
  <c r="C14" i="12"/>
  <c r="F46" i="36"/>
  <c r="F58" i="21"/>
  <c r="S7" i="34"/>
  <c r="AA7" i="34"/>
  <c r="R49" i="34" s="1"/>
  <c r="I48" i="35"/>
  <c r="G16" i="1"/>
  <c r="W7" i="33"/>
  <c r="AC7" i="33"/>
  <c r="V48" i="33" s="1"/>
  <c r="I48" i="33" s="1"/>
  <c r="Q63" i="44"/>
  <c r="Q76" i="44"/>
  <c r="C34" i="44"/>
  <c r="B3" i="67"/>
  <c r="B4" i="67"/>
  <c r="AZ16" i="3"/>
  <c r="BL5" i="3"/>
  <c r="AZ17" i="3"/>
  <c r="BA5" i="3"/>
  <c r="E27" i="6" s="1"/>
  <c r="K25" i="6" s="1"/>
  <c r="M25" i="6" s="1"/>
  <c r="I25" i="6" s="1"/>
  <c r="S25" i="6" s="1"/>
  <c r="T55" i="59"/>
  <c r="D55" i="59"/>
  <c r="T47" i="59"/>
  <c r="D47" i="59"/>
  <c r="C31" i="59"/>
  <c r="D30" i="59"/>
  <c r="T27" i="59"/>
  <c r="D27" i="59"/>
  <c r="N58" i="59"/>
  <c r="B57" i="59"/>
  <c r="E10" i="59"/>
  <c r="E9" i="59" s="1"/>
  <c r="E8" i="59" s="1"/>
  <c r="E7" i="59" s="1"/>
  <c r="U11" i="59"/>
  <c r="P56" i="59"/>
  <c r="P57" i="59"/>
  <c r="D50" i="59"/>
  <c r="C51" i="59"/>
  <c r="B10" i="59"/>
  <c r="B9" i="59" s="1"/>
  <c r="B8" i="59" s="1"/>
  <c r="B7" i="59" s="1"/>
  <c r="S11" i="59"/>
  <c r="C43" i="59"/>
  <c r="D42" i="59"/>
  <c r="K14" i="1"/>
  <c r="M14" i="1" s="1"/>
  <c r="E30" i="6"/>
  <c r="AB24" i="36"/>
  <c r="U24" i="36"/>
  <c r="S9" i="36"/>
  <c r="AA9" i="36"/>
  <c r="AC9" i="36"/>
  <c r="W9" i="36"/>
  <c r="AA9" i="33"/>
  <c r="S9" i="33"/>
  <c r="H7" i="37"/>
  <c r="F72" i="39"/>
  <c r="G70" i="39"/>
  <c r="S3" i="46"/>
  <c r="S4" i="46"/>
  <c r="S6" i="46"/>
  <c r="C23" i="46"/>
  <c r="AA7" i="33"/>
  <c r="R48" i="33" s="1"/>
  <c r="S7" i="33"/>
  <c r="U7" i="33"/>
  <c r="AB7" i="33"/>
  <c r="T48" i="33" s="1"/>
  <c r="G48" i="33" s="1"/>
  <c r="J7" i="34"/>
  <c r="F11" i="15"/>
  <c r="C52" i="15" s="1"/>
  <c r="M11" i="15"/>
  <c r="J10" i="15" s="1"/>
  <c r="F13" i="44"/>
  <c r="C12" i="44" s="1"/>
  <c r="C7" i="44" s="1"/>
  <c r="M13" i="44"/>
  <c r="J12" i="44" s="1"/>
  <c r="J7" i="44" s="1"/>
  <c r="Q62" i="44"/>
  <c r="Q75" i="44"/>
  <c r="Q54" i="44"/>
  <c r="F1" i="44"/>
  <c r="F33" i="12"/>
  <c r="E2" i="65"/>
  <c r="C16" i="15"/>
  <c r="E3" i="65"/>
  <c r="C34" i="12" l="1"/>
  <c r="D33" i="12" s="1"/>
  <c r="B40" i="1"/>
  <c r="F21" i="43" s="1"/>
  <c r="C23" i="43" s="1"/>
  <c r="D21" i="43" s="1"/>
  <c r="Q75" i="15"/>
  <c r="E188" i="3"/>
  <c r="E197" i="3"/>
  <c r="E273" i="3"/>
  <c r="E421" i="3"/>
  <c r="E187" i="3"/>
  <c r="E457" i="3"/>
  <c r="E253" i="3"/>
  <c r="E434" i="3"/>
  <c r="E266" i="3"/>
  <c r="E359" i="3"/>
  <c r="E215" i="3"/>
  <c r="AK6" i="3"/>
  <c r="E523" i="3"/>
  <c r="E321" i="3"/>
  <c r="Z6" i="3"/>
  <c r="E78" i="3"/>
  <c r="E423" i="3"/>
  <c r="E63" i="3"/>
  <c r="E557" i="3"/>
  <c r="AO6" i="3"/>
  <c r="E91" i="3"/>
  <c r="E127" i="3"/>
  <c r="E435" i="3"/>
  <c r="E380" i="3"/>
  <c r="E413" i="3"/>
  <c r="E437" i="3"/>
  <c r="AA6" i="3"/>
  <c r="E62" i="3"/>
  <c r="E337" i="3"/>
  <c r="E545" i="3"/>
  <c r="E503" i="3"/>
  <c r="M6" i="3"/>
  <c r="E46" i="3"/>
  <c r="AD6" i="3"/>
  <c r="E389" i="3"/>
  <c r="E221" i="3"/>
  <c r="E299" i="3"/>
  <c r="E184" i="3"/>
  <c r="E13" i="3"/>
  <c r="E475" i="3"/>
  <c r="E520" i="3"/>
  <c r="E296" i="3"/>
  <c r="E490" i="3"/>
  <c r="E472" i="3"/>
  <c r="E536" i="3"/>
  <c r="E482" i="3"/>
  <c r="E561" i="3"/>
  <c r="E98" i="3"/>
  <c r="N6" i="3"/>
  <c r="E391" i="3"/>
  <c r="E537" i="3"/>
  <c r="E293" i="3"/>
  <c r="E199" i="3"/>
  <c r="I6" i="3"/>
  <c r="E69" i="3"/>
  <c r="E103" i="3"/>
  <c r="E318" i="3"/>
  <c r="X6" i="3"/>
  <c r="E462" i="3"/>
  <c r="E110" i="3"/>
  <c r="E47" i="3"/>
  <c r="E541" i="3"/>
  <c r="E327" i="3"/>
  <c r="E54" i="3"/>
  <c r="E565" i="3"/>
  <c r="AM6" i="3"/>
  <c r="E200" i="3"/>
  <c r="E31" i="3"/>
  <c r="E548" i="3"/>
  <c r="E23" i="3"/>
  <c r="E132" i="3"/>
  <c r="E143" i="3"/>
  <c r="E152" i="3"/>
  <c r="E194" i="3"/>
  <c r="E473" i="3"/>
  <c r="E202" i="3"/>
  <c r="E168" i="3"/>
  <c r="E37" i="3"/>
  <c r="E402" i="3"/>
  <c r="E417" i="3"/>
  <c r="E347" i="3"/>
  <c r="E433" i="3"/>
  <c r="E379" i="3"/>
  <c r="E403" i="3"/>
  <c r="E307" i="3"/>
  <c r="E106" i="3"/>
  <c r="E163" i="3"/>
  <c r="E368" i="3"/>
  <c r="E301" i="3"/>
  <c r="E476" i="3"/>
  <c r="E55" i="3"/>
  <c r="E124" i="3"/>
  <c r="E140" i="3"/>
  <c r="E185" i="3"/>
  <c r="E395" i="3"/>
  <c r="E295" i="3"/>
  <c r="E547" i="3"/>
  <c r="E97" i="3"/>
  <c r="E539" i="3"/>
  <c r="E451" i="3"/>
  <c r="E73" i="3"/>
  <c r="Y6" i="3"/>
  <c r="E198" i="3"/>
  <c r="AF6" i="3"/>
  <c r="E325" i="3"/>
  <c r="T6" i="3"/>
  <c r="E335" i="3"/>
  <c r="E515" i="3"/>
  <c r="E328" i="3"/>
  <c r="E571" i="3"/>
  <c r="AS6" i="3"/>
  <c r="E465" i="3"/>
  <c r="E35" i="3"/>
  <c r="E26" i="3"/>
  <c r="E117" i="3"/>
  <c r="E104" i="3"/>
  <c r="AN6" i="3"/>
  <c r="E426" i="3"/>
  <c r="E25" i="3"/>
  <c r="E134" i="3"/>
  <c r="E353" i="3"/>
  <c r="E562" i="3"/>
  <c r="E36" i="3"/>
  <c r="E429" i="3"/>
  <c r="E121" i="3"/>
  <c r="E108" i="3"/>
  <c r="E312" i="3"/>
  <c r="E68" i="3"/>
  <c r="E262" i="3"/>
  <c r="E151" i="3"/>
  <c r="E438" i="3"/>
  <c r="E43" i="3"/>
  <c r="E234" i="3"/>
  <c r="E474" i="3"/>
  <c r="E521" i="3"/>
  <c r="E41" i="3"/>
  <c r="E471" i="3"/>
  <c r="E428" i="3"/>
  <c r="E233" i="3"/>
  <c r="E116" i="3"/>
  <c r="E154" i="3"/>
  <c r="E448" i="3"/>
  <c r="E224" i="3"/>
  <c r="E76" i="3"/>
  <c r="E508" i="3"/>
  <c r="E81" i="3"/>
  <c r="E19" i="3"/>
  <c r="E182" i="3"/>
  <c r="E514" i="3"/>
  <c r="E567" i="3"/>
  <c r="E322" i="3"/>
  <c r="E509" i="3"/>
  <c r="E528" i="3"/>
  <c r="E424" i="3"/>
  <c r="E387" i="3"/>
  <c r="AP6" i="3"/>
  <c r="E53" i="3"/>
  <c r="E464" i="3"/>
  <c r="E460" i="3"/>
  <c r="E75" i="3"/>
  <c r="E363" i="3"/>
  <c r="E272" i="3"/>
  <c r="E258" i="3"/>
  <c r="E276" i="3"/>
  <c r="E477" i="3"/>
  <c r="AI6" i="3"/>
  <c r="E128" i="3"/>
  <c r="E525" i="3"/>
  <c r="E50" i="3"/>
  <c r="E171" i="3"/>
  <c r="E495" i="3"/>
  <c r="E532" i="3"/>
  <c r="E130" i="3"/>
  <c r="E268" i="3"/>
  <c r="E418" i="3"/>
  <c r="E165" i="3"/>
  <c r="E80" i="3"/>
  <c r="E550" i="3"/>
  <c r="E288" i="3"/>
  <c r="E235" i="3"/>
  <c r="E191" i="3"/>
  <c r="E499" i="3"/>
  <c r="E436" i="3"/>
  <c r="E153" i="3"/>
  <c r="E118" i="3"/>
  <c r="E342" i="3"/>
  <c r="E516" i="3"/>
  <c r="E71" i="3"/>
  <c r="E326" i="3"/>
  <c r="E348" i="3"/>
  <c r="E375" i="3"/>
  <c r="E430" i="3"/>
  <c r="E535" i="3"/>
  <c r="E294" i="3"/>
  <c r="E410" i="3"/>
  <c r="E412" i="3"/>
  <c r="E157" i="3"/>
  <c r="E170" i="3"/>
  <c r="Q6" i="3"/>
  <c r="E136" i="3"/>
  <c r="E139" i="3"/>
  <c r="E291" i="3"/>
  <c r="E248" i="3"/>
  <c r="E65" i="3"/>
  <c r="E72" i="3"/>
  <c r="E362" i="3"/>
  <c r="E502" i="3"/>
  <c r="E183" i="3"/>
  <c r="E284" i="3"/>
  <c r="E269" i="3"/>
  <c r="E497" i="3"/>
  <c r="E252" i="3"/>
  <c r="E238" i="3"/>
  <c r="E374" i="3"/>
  <c r="E357" i="3"/>
  <c r="E190" i="3"/>
  <c r="L6" i="3"/>
  <c r="E372" i="3"/>
  <c r="E74" i="3"/>
  <c r="E123" i="3"/>
  <c r="E24" i="3"/>
  <c r="E493" i="3"/>
  <c r="E277" i="3"/>
  <c r="E212" i="3"/>
  <c r="E267" i="3"/>
  <c r="E512" i="3"/>
  <c r="E329" i="3"/>
  <c r="E17" i="3"/>
  <c r="E564" i="3"/>
  <c r="E439" i="3"/>
  <c r="E349" i="3"/>
  <c r="E164" i="3"/>
  <c r="E49" i="3"/>
  <c r="E125" i="3"/>
  <c r="E70" i="3"/>
  <c r="W6" i="3"/>
  <c r="E450" i="3"/>
  <c r="E463" i="3"/>
  <c r="J6" i="3"/>
  <c r="E79" i="3"/>
  <c r="E102" i="3"/>
  <c r="E479" i="3"/>
  <c r="E370" i="3"/>
  <c r="E540" i="3"/>
  <c r="E239" i="3"/>
  <c r="E176" i="3"/>
  <c r="K6" i="3"/>
  <c r="H6" i="3" s="1"/>
  <c r="E236" i="3"/>
  <c r="E354" i="3"/>
  <c r="E344" i="3"/>
  <c r="E340" i="3"/>
  <c r="E563" i="3"/>
  <c r="E175" i="3"/>
  <c r="E44" i="3"/>
  <c r="E223" i="3"/>
  <c r="E179" i="3"/>
  <c r="E560" i="3"/>
  <c r="E467" i="3"/>
  <c r="E486" i="3"/>
  <c r="E369" i="3"/>
  <c r="AG6" i="3"/>
  <c r="E302" i="3"/>
  <c r="E551" i="3"/>
  <c r="E385" i="3"/>
  <c r="E298" i="3"/>
  <c r="E323" i="3"/>
  <c r="E384" i="3"/>
  <c r="AB6" i="3"/>
  <c r="E377" i="3"/>
  <c r="E86" i="3"/>
  <c r="E459" i="3"/>
  <c r="E186" i="3"/>
  <c r="E99" i="3"/>
  <c r="E193" i="3"/>
  <c r="AH6" i="3"/>
  <c r="E38" i="3"/>
  <c r="E297" i="3"/>
  <c r="E149" i="3"/>
  <c r="E292" i="3"/>
  <c r="E48" i="3"/>
  <c r="E425" i="3"/>
  <c r="O6" i="3"/>
  <c r="E449" i="3"/>
  <c r="E308" i="3"/>
  <c r="E160" i="3"/>
  <c r="E87" i="3"/>
  <c r="E256" i="3"/>
  <c r="E546" i="3"/>
  <c r="E56" i="3"/>
  <c r="E485" i="3"/>
  <c r="E350" i="3"/>
  <c r="E542" i="3"/>
  <c r="E506" i="3"/>
  <c r="D29" i="46"/>
  <c r="D1" i="46" s="1"/>
  <c r="E205" i="3"/>
  <c r="E420" i="3"/>
  <c r="E309" i="3"/>
  <c r="E66" i="3"/>
  <c r="E524" i="3"/>
  <c r="E371" i="3"/>
  <c r="E18" i="3"/>
  <c r="E311" i="3"/>
  <c r="P6" i="3"/>
  <c r="E249" i="3"/>
  <c r="E401" i="3"/>
  <c r="E526" i="3"/>
  <c r="E554" i="3"/>
  <c r="E531" i="3"/>
  <c r="E112" i="3"/>
  <c r="E30" i="3"/>
  <c r="E189" i="3"/>
  <c r="E393" i="3"/>
  <c r="AQ6" i="3"/>
  <c r="E555" i="3"/>
  <c r="E260" i="3"/>
  <c r="E378" i="3"/>
  <c r="E227" i="3"/>
  <c r="E481" i="3"/>
  <c r="E83" i="3"/>
  <c r="E427" i="3"/>
  <c r="E109" i="3"/>
  <c r="E492" i="3"/>
  <c r="E500" i="3"/>
  <c r="E445" i="3"/>
  <c r="E336" i="3"/>
  <c r="E440" i="3"/>
  <c r="E489" i="3"/>
  <c r="E42" i="3"/>
  <c r="E566" i="3"/>
  <c r="E544" i="3"/>
  <c r="E367" i="3"/>
  <c r="E507" i="3"/>
  <c r="E88" i="3"/>
  <c r="E162" i="3"/>
  <c r="E355" i="3"/>
  <c r="E432" i="3"/>
  <c r="E364" i="3"/>
  <c r="E488" i="3"/>
  <c r="E192" i="3"/>
  <c r="E222" i="3"/>
  <c r="E94" i="3"/>
  <c r="E148" i="3"/>
  <c r="E89" i="3"/>
  <c r="AE6" i="3"/>
  <c r="E556" i="3"/>
  <c r="AR6" i="3"/>
  <c r="E331" i="3"/>
  <c r="E286" i="3"/>
  <c r="E181" i="3"/>
  <c r="E553" i="3"/>
  <c r="E411" i="3"/>
  <c r="E399" i="3"/>
  <c r="E111" i="3"/>
  <c r="E543" i="3"/>
  <c r="E505" i="3"/>
  <c r="E306" i="3"/>
  <c r="E95" i="3"/>
  <c r="E159" i="3"/>
  <c r="S6" i="3"/>
  <c r="E135" i="3"/>
  <c r="E263" i="3"/>
  <c r="E534" i="3"/>
  <c r="E313" i="3"/>
  <c r="E549" i="3"/>
  <c r="E455" i="3"/>
  <c r="E204" i="3"/>
  <c r="E416" i="3"/>
  <c r="E458" i="3"/>
  <c r="E569" i="3"/>
  <c r="E122" i="3"/>
  <c r="E496" i="3"/>
  <c r="E250" i="3"/>
  <c r="E415" i="3"/>
  <c r="E303" i="3"/>
  <c r="E145" i="3"/>
  <c r="E530" i="3"/>
  <c r="E90" i="3"/>
  <c r="E351" i="3"/>
  <c r="E244" i="3"/>
  <c r="E114" i="3"/>
  <c r="E388" i="3"/>
  <c r="E376" i="3"/>
  <c r="E27" i="3"/>
  <c r="E201" i="3"/>
  <c r="E289" i="3"/>
  <c r="U6" i="3"/>
  <c r="E466" i="3"/>
  <c r="E40" i="3"/>
  <c r="E396" i="3"/>
  <c r="E144" i="3"/>
  <c r="E494" i="3"/>
  <c r="E408" i="3"/>
  <c r="E317" i="3"/>
  <c r="E261" i="3"/>
  <c r="E264" i="3"/>
  <c r="E419" i="3"/>
  <c r="E180" i="3"/>
  <c r="E498" i="3"/>
  <c r="E501" i="3"/>
  <c r="E511" i="3"/>
  <c r="E22" i="3"/>
  <c r="E82" i="3"/>
  <c r="R6" i="3"/>
  <c r="E405" i="3"/>
  <c r="I3" i="6"/>
  <c r="E113" i="3"/>
  <c r="E207" i="3"/>
  <c r="E96" i="3"/>
  <c r="E29" i="3"/>
  <c r="AJ6" i="3"/>
  <c r="E208" i="3"/>
  <c r="E352" i="3"/>
  <c r="E92" i="3"/>
  <c r="E28" i="3"/>
  <c r="E203" i="3"/>
  <c r="E279" i="3"/>
  <c r="E61" i="3"/>
  <c r="E538" i="3"/>
  <c r="E210" i="3"/>
  <c r="AL6" i="3"/>
  <c r="E137" i="3"/>
  <c r="E93" i="3"/>
  <c r="E146" i="3"/>
  <c r="E21" i="3"/>
  <c r="E469" i="3"/>
  <c r="E274" i="3"/>
  <c r="E568" i="3"/>
  <c r="E305" i="3"/>
  <c r="E51" i="3"/>
  <c r="E559" i="3"/>
  <c r="E216" i="3"/>
  <c r="E219" i="3"/>
  <c r="E461" i="3"/>
  <c r="E247" i="3"/>
  <c r="E20" i="3"/>
  <c r="E156" i="3"/>
  <c r="E166" i="3"/>
  <c r="E133" i="3"/>
  <c r="E251" i="3"/>
  <c r="E414" i="3"/>
  <c r="E141" i="3"/>
  <c r="E39" i="3"/>
  <c r="E220" i="3"/>
  <c r="E229" i="3"/>
  <c r="E558" i="3"/>
  <c r="E339" i="3"/>
  <c r="E522" i="3"/>
  <c r="E394" i="3"/>
  <c r="E77" i="3"/>
  <c r="E64" i="3"/>
  <c r="E232" i="3"/>
  <c r="E32" i="3"/>
  <c r="E85" i="3"/>
  <c r="E527" i="3"/>
  <c r="E513" i="3"/>
  <c r="E150" i="3"/>
  <c r="E320" i="3"/>
  <c r="E338" i="3"/>
  <c r="E138" i="3"/>
  <c r="E100" i="3"/>
  <c r="E487" i="3"/>
  <c r="E209" i="3"/>
  <c r="E319" i="3"/>
  <c r="E131" i="3"/>
  <c r="E34" i="3"/>
  <c r="E107" i="3"/>
  <c r="E517" i="3"/>
  <c r="E120" i="3"/>
  <c r="E173" i="3"/>
  <c r="E14" i="3"/>
  <c r="E572" i="3"/>
  <c r="E382" i="3"/>
  <c r="E282" i="3"/>
  <c r="E552" i="3"/>
  <c r="E343" i="3"/>
  <c r="E280" i="3"/>
  <c r="E447" i="3"/>
  <c r="E332" i="3"/>
  <c r="E365" i="3"/>
  <c r="E345" i="3"/>
  <c r="E314" i="3"/>
  <c r="E45" i="3"/>
  <c r="E483" i="3"/>
  <c r="E519" i="3"/>
  <c r="E105" i="3"/>
  <c r="E287" i="3"/>
  <c r="E16" i="3"/>
  <c r="E315" i="3"/>
  <c r="E470" i="3"/>
  <c r="E431" i="3"/>
  <c r="E259" i="3"/>
  <c r="E330" i="3"/>
  <c r="E237" i="3"/>
  <c r="E444" i="3"/>
  <c r="E67" i="3"/>
  <c r="V6" i="3"/>
  <c r="E386" i="3"/>
  <c r="E246" i="3"/>
  <c r="E361" i="3"/>
  <c r="E310" i="3"/>
  <c r="E358" i="3"/>
  <c r="E231" i="3"/>
  <c r="E101" i="3"/>
  <c r="E84" i="3"/>
  <c r="E59" i="3"/>
  <c r="E60" i="3"/>
  <c r="E257" i="3"/>
  <c r="E196" i="3"/>
  <c r="E242" i="3"/>
  <c r="E491" i="3"/>
  <c r="E15" i="3"/>
  <c r="E366" i="3"/>
  <c r="E341" i="3"/>
  <c r="E304" i="3"/>
  <c r="E407" i="3"/>
  <c r="E172" i="3"/>
  <c r="E400" i="3"/>
  <c r="E529" i="3"/>
  <c r="E217" i="3"/>
  <c r="E169" i="3"/>
  <c r="E510" i="3"/>
  <c r="E484" i="3"/>
  <c r="E570" i="3"/>
  <c r="E57" i="3"/>
  <c r="E142" i="3"/>
  <c r="E270" i="3"/>
  <c r="E33" i="3"/>
  <c r="E245" i="3"/>
  <c r="E126" i="3"/>
  <c r="E281" i="3"/>
  <c r="E324" i="3"/>
  <c r="E373" i="3"/>
  <c r="E518" i="3"/>
  <c r="E155" i="3"/>
  <c r="E214" i="3"/>
  <c r="E178" i="3"/>
  <c r="E316" i="3"/>
  <c r="E404" i="3"/>
  <c r="E533" i="3"/>
  <c r="E255" i="3"/>
  <c r="E58" i="3"/>
  <c r="E300" i="3"/>
  <c r="E177" i="3"/>
  <c r="E226" i="3"/>
  <c r="E504" i="3"/>
  <c r="E356" i="3"/>
  <c r="E409" i="3"/>
  <c r="E381" i="3"/>
  <c r="E468" i="3"/>
  <c r="E161" i="3"/>
  <c r="E119" i="3"/>
  <c r="E52" i="3"/>
  <c r="E211" i="3"/>
  <c r="E290" i="3"/>
  <c r="E334" i="3"/>
  <c r="E360" i="3"/>
  <c r="E167" i="3"/>
  <c r="E346" i="3"/>
  <c r="E397" i="3"/>
  <c r="Q56" i="59"/>
  <c r="Q57" i="59"/>
  <c r="E195" i="3"/>
  <c r="E392" i="3"/>
  <c r="E228" i="3"/>
  <c r="E243" i="3"/>
  <c r="E241" i="3"/>
  <c r="E206" i="3"/>
  <c r="E398" i="3"/>
  <c r="E254" i="3"/>
  <c r="E271" i="3"/>
  <c r="K26" i="6"/>
  <c r="M26" i="6" s="1"/>
  <c r="I26" i="6" s="1"/>
  <c r="S26" i="6" s="1"/>
  <c r="E443" i="3"/>
  <c r="E390" i="3"/>
  <c r="E265" i="3"/>
  <c r="E147" i="3"/>
  <c r="E406" i="3"/>
  <c r="K20" i="6"/>
  <c r="M20" i="6" s="1"/>
  <c r="I20" i="6" s="1"/>
  <c r="S20" i="6" s="1"/>
  <c r="E158" i="3"/>
  <c r="E225" i="3"/>
  <c r="E115" i="3"/>
  <c r="E453" i="3"/>
  <c r="E275" i="3"/>
  <c r="K24" i="6"/>
  <c r="M24" i="6" s="1"/>
  <c r="I24" i="6" s="1"/>
  <c r="S24" i="6" s="1"/>
  <c r="K23" i="6"/>
  <c r="M23" i="6" s="1"/>
  <c r="I23" i="6" s="1"/>
  <c r="S23" i="6" s="1"/>
  <c r="C115" i="46"/>
  <c r="D113" i="46"/>
  <c r="E218" i="3"/>
  <c r="E283" i="3"/>
  <c r="K22" i="6"/>
  <c r="M22" i="6" s="1"/>
  <c r="I22" i="6" s="1"/>
  <c r="S22" i="6" s="1"/>
  <c r="S7" i="46"/>
  <c r="K19" i="6"/>
  <c r="E174" i="3"/>
  <c r="E452" i="3"/>
  <c r="C12" i="59"/>
  <c r="D13" i="59"/>
  <c r="E285" i="3"/>
  <c r="K21" i="6"/>
  <c r="M21" i="6" s="1"/>
  <c r="I21" i="6" s="1"/>
  <c r="S21" i="6" s="1"/>
  <c r="E422" i="3"/>
  <c r="E230" i="3"/>
  <c r="E441" i="3"/>
  <c r="E480" i="3"/>
  <c r="E240" i="3"/>
  <c r="E442" i="3"/>
  <c r="E333" i="3"/>
  <c r="I65" i="40"/>
  <c r="H67" i="40"/>
  <c r="E129" i="3"/>
  <c r="E446" i="3"/>
  <c r="E478" i="3"/>
  <c r="F17" i="11"/>
  <c r="C17" i="11" s="1"/>
  <c r="C19" i="11" s="1"/>
  <c r="J26" i="44"/>
  <c r="J28" i="44"/>
  <c r="J31" i="44" s="1"/>
  <c r="C40" i="44"/>
  <c r="AC7" i="34"/>
  <c r="V49" i="34" s="1"/>
  <c r="I49" i="34" s="1"/>
  <c r="W7" i="34"/>
  <c r="E48" i="33"/>
  <c r="R49" i="33"/>
  <c r="M19" i="6"/>
  <c r="K27" i="6"/>
  <c r="S6" i="1"/>
  <c r="G52" i="33"/>
  <c r="H52" i="33" s="1"/>
  <c r="G53" i="33"/>
  <c r="H53" i="33" s="1"/>
  <c r="G72" i="39"/>
  <c r="H70" i="39"/>
  <c r="U7" i="37"/>
  <c r="AB7" i="37"/>
  <c r="T42" i="37" s="1"/>
  <c r="G42" i="37" s="1"/>
  <c r="T51" i="59"/>
  <c r="D51" i="59"/>
  <c r="N56" i="59"/>
  <c r="N57" i="59"/>
  <c r="E31" i="6"/>
  <c r="I53" i="33"/>
  <c r="J53" i="33" s="1"/>
  <c r="I52" i="33"/>
  <c r="J52" i="33" s="1"/>
  <c r="J12" i="40"/>
  <c r="H12" i="39"/>
  <c r="H12" i="40"/>
  <c r="J12" i="39"/>
  <c r="F12" i="40"/>
  <c r="F12" i="39"/>
  <c r="J48" i="35"/>
  <c r="G58" i="21"/>
  <c r="G46" i="36"/>
  <c r="W7" i="37"/>
  <c r="AC7" i="37"/>
  <c r="V42" i="37" s="1"/>
  <c r="I42" i="37" s="1"/>
  <c r="M16" i="1"/>
  <c r="L46" i="15"/>
  <c r="F1" i="15"/>
  <c r="Q53" i="15"/>
  <c r="F24" i="15"/>
  <c r="C24" i="15" s="1"/>
  <c r="P28" i="46"/>
  <c r="G20" i="46" s="1"/>
  <c r="M28" i="46"/>
  <c r="N28" i="46"/>
  <c r="O28" i="46"/>
  <c r="T43" i="59"/>
  <c r="D43" i="59"/>
  <c r="S7" i="59"/>
  <c r="B6" i="59"/>
  <c r="B5" i="59" s="1"/>
  <c r="U7" i="59"/>
  <c r="E6" i="59"/>
  <c r="E5" i="59" s="1"/>
  <c r="T31" i="59"/>
  <c r="D31" i="59"/>
  <c r="AZ5" i="3"/>
  <c r="E49" i="34"/>
  <c r="R50" i="34"/>
  <c r="AA7" i="37"/>
  <c r="R42" i="37" s="1"/>
  <c r="S7" i="37"/>
  <c r="T23" i="59"/>
  <c r="D23" i="59"/>
  <c r="K16" i="1"/>
  <c r="G54" i="34"/>
  <c r="H54" i="34" s="1"/>
  <c r="G53" i="34"/>
  <c r="H53" i="34" s="1"/>
  <c r="Q61" i="15"/>
  <c r="Q74" i="15"/>
  <c r="AE6" i="1"/>
  <c r="D16" i="43"/>
  <c r="C17" i="15"/>
  <c r="F26" i="44" l="1"/>
  <c r="C26" i="44" s="1"/>
  <c r="F26" i="12"/>
  <c r="C27" i="12" s="1"/>
  <c r="D26" i="12" s="1"/>
  <c r="C32" i="12" s="1"/>
  <c r="D30" i="12" s="1"/>
  <c r="AC6" i="3"/>
  <c r="E6" i="3" s="1"/>
  <c r="C11" i="59"/>
  <c r="D12" i="59"/>
  <c r="I67" i="40"/>
  <c r="J65" i="40"/>
  <c r="C16" i="43"/>
  <c r="E54" i="34"/>
  <c r="F54" i="34" s="1"/>
  <c r="E53" i="34"/>
  <c r="F53" i="34" s="1"/>
  <c r="C20" i="46"/>
  <c r="E41" i="46"/>
  <c r="C41" i="46" s="1"/>
  <c r="N16" i="1"/>
  <c r="L16" i="1"/>
  <c r="H46" i="36"/>
  <c r="H58" i="21"/>
  <c r="S12" i="39"/>
  <c r="AA12" i="39"/>
  <c r="AC12" i="39"/>
  <c r="W12" i="39"/>
  <c r="AB12" i="39"/>
  <c r="U12" i="39"/>
  <c r="G46" i="37"/>
  <c r="H46" i="37" s="1"/>
  <c r="G47" i="37"/>
  <c r="H47" i="37" s="1"/>
  <c r="H72" i="39"/>
  <c r="I70" i="39"/>
  <c r="S16" i="1"/>
  <c r="M27" i="6"/>
  <c r="I19" i="6"/>
  <c r="C49" i="33"/>
  <c r="B3" i="33" s="1"/>
  <c r="B2" i="33" s="1"/>
  <c r="C48" i="33"/>
  <c r="Q58" i="44"/>
  <c r="Q49" i="44"/>
  <c r="Q55" i="44" s="1"/>
  <c r="Q67" i="44"/>
  <c r="E42" i="37"/>
  <c r="R43" i="37"/>
  <c r="C50" i="34"/>
  <c r="B3" i="34" s="1"/>
  <c r="B2" i="34" s="1"/>
  <c r="C49" i="34"/>
  <c r="E3" i="6"/>
  <c r="AY6" i="3"/>
  <c r="I46" i="37"/>
  <c r="J46" i="37" s="1"/>
  <c r="K48" i="35"/>
  <c r="S12" i="40"/>
  <c r="AA12" i="40"/>
  <c r="U12" i="40"/>
  <c r="AB12" i="40"/>
  <c r="AC12" i="40"/>
  <c r="W12" i="40"/>
  <c r="E52" i="33"/>
  <c r="F52" i="33" s="1"/>
  <c r="E53" i="33"/>
  <c r="F53" i="33" s="1"/>
  <c r="I53" i="34"/>
  <c r="J53" i="34" s="1"/>
  <c r="I54" i="34"/>
  <c r="J54" i="34" s="1"/>
  <c r="C20" i="11"/>
  <c r="C21" i="11" s="1"/>
  <c r="C22" i="11" s="1"/>
  <c r="C23" i="11" s="1"/>
  <c r="F41" i="15"/>
  <c r="J67" i="40" l="1"/>
  <c r="K65" i="40"/>
  <c r="C10" i="59"/>
  <c r="T11" i="59"/>
  <c r="D11" i="59"/>
  <c r="B2" i="11"/>
  <c r="B3" i="11" s="1"/>
  <c r="C24" i="11"/>
  <c r="F68" i="15"/>
  <c r="L48" i="35"/>
  <c r="AH6" i="1"/>
  <c r="D44" i="9"/>
  <c r="E6" i="6"/>
  <c r="L38" i="9"/>
  <c r="B14" i="66" s="1"/>
  <c r="B1" i="66" s="1"/>
  <c r="C21" i="4"/>
  <c r="O5" i="54" s="1"/>
  <c r="B45" i="63" s="1"/>
  <c r="D46" i="9"/>
  <c r="E47" i="37"/>
  <c r="F47" i="37" s="1"/>
  <c r="E46" i="37"/>
  <c r="F46" i="37" s="1"/>
  <c r="S19" i="6"/>
  <c r="S27" i="6" s="1"/>
  <c r="I27" i="6"/>
  <c r="T11" i="1"/>
  <c r="T6" i="1"/>
  <c r="T7" i="1"/>
  <c r="T13" i="1"/>
  <c r="T8" i="1"/>
  <c r="T9" i="1"/>
  <c r="T12" i="1"/>
  <c r="T10" i="1"/>
  <c r="I46" i="36"/>
  <c r="C29" i="46"/>
  <c r="T10" i="46"/>
  <c r="V10" i="46" s="1"/>
  <c r="T12" i="46"/>
  <c r="V12" i="46" s="1"/>
  <c r="T9" i="46"/>
  <c r="V9" i="46" s="1"/>
  <c r="T14" i="46"/>
  <c r="V14" i="46" s="1"/>
  <c r="T5" i="46"/>
  <c r="V5" i="46" s="1"/>
  <c r="T15" i="46"/>
  <c r="V15" i="46" s="1"/>
  <c r="T8" i="46"/>
  <c r="V8" i="46" s="1"/>
  <c r="T7" i="46"/>
  <c r="V7" i="46" s="1"/>
  <c r="T2" i="46"/>
  <c r="V2" i="46" s="1"/>
  <c r="T11" i="46"/>
  <c r="V11" i="46" s="1"/>
  <c r="T3" i="46"/>
  <c r="V3" i="46" s="1"/>
  <c r="T6" i="46"/>
  <c r="V6" i="46" s="1"/>
  <c r="T16" i="46"/>
  <c r="V16" i="46" s="1"/>
  <c r="T13" i="46"/>
  <c r="V13" i="46" s="1"/>
  <c r="T4" i="46"/>
  <c r="V4" i="46" s="1"/>
  <c r="C34" i="46"/>
  <c r="C36" i="46"/>
  <c r="C33" i="46"/>
  <c r="C35" i="46"/>
  <c r="C37" i="46"/>
  <c r="I47" i="37"/>
  <c r="J47" i="37" s="1"/>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80" i="3"/>
  <c r="AY58" i="3"/>
  <c r="AY179" i="3"/>
  <c r="AY100" i="3"/>
  <c r="AY126" i="3"/>
  <c r="AY118" i="3"/>
  <c r="AY209" i="3"/>
  <c r="AY416" i="3"/>
  <c r="AY55" i="3"/>
  <c r="AY250" i="3"/>
  <c r="AY560" i="3"/>
  <c r="AY141" i="3"/>
  <c r="AY310" i="3"/>
  <c r="AY459"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41" i="3"/>
  <c r="AY504" i="3"/>
  <c r="AY175" i="3"/>
  <c r="AY467" i="3"/>
  <c r="AY139" i="3"/>
  <c r="AY70" i="3"/>
  <c r="BK6"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531" i="3"/>
  <c r="AY485" i="3"/>
  <c r="AY244" i="3"/>
  <c r="AY399" i="3"/>
  <c r="AY199" i="3"/>
  <c r="AY174" i="3"/>
  <c r="AY351" i="3"/>
  <c r="AY328" i="3"/>
  <c r="AY505" i="3"/>
  <c r="AY17" i="3"/>
  <c r="AY563" i="3"/>
  <c r="AY68" i="3"/>
  <c r="AY357" i="3"/>
  <c r="AY133"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37" i="3"/>
  <c r="AY95" i="3"/>
  <c r="AY45" i="3"/>
  <c r="AY384" i="3"/>
  <c r="AY202" i="3"/>
  <c r="AY398" i="3"/>
  <c r="AY348" i="3"/>
  <c r="AY256" i="3"/>
  <c r="AY81" i="3"/>
  <c r="AY342" i="3"/>
  <c r="AY279" i="3"/>
  <c r="AY438" i="3"/>
  <c r="AY336" i="3"/>
  <c r="AY352" i="3"/>
  <c r="AY124" i="3"/>
  <c r="AY21" i="3"/>
  <c r="AY293" i="3"/>
  <c r="AY411" i="3"/>
  <c r="AY271" i="3"/>
  <c r="AY200" i="3"/>
  <c r="AY111" i="3"/>
  <c r="AY85" i="3"/>
  <c r="AY229" i="3"/>
  <c r="AY314" i="3"/>
  <c r="AY268" i="3"/>
  <c r="AY510" i="3"/>
  <c r="AY75" i="3"/>
  <c r="AY368" i="3"/>
  <c r="AY171" i="3"/>
  <c r="AY471" i="3"/>
  <c r="AY316" i="3"/>
  <c r="AY367" i="3"/>
  <c r="AY413" i="3"/>
  <c r="BT6" i="3"/>
  <c r="AY370" i="3"/>
  <c r="AY456" i="3"/>
  <c r="AY112" i="3"/>
  <c r="AY247" i="3"/>
  <c r="AY20" i="3"/>
  <c r="AY78" i="3"/>
  <c r="AY153" i="3"/>
  <c r="AY375" i="3"/>
  <c r="AY559" i="3"/>
  <c r="AY483" i="3"/>
  <c r="AY506" i="3"/>
  <c r="AY108" i="3"/>
  <c r="AY240" i="3"/>
  <c r="AY60" i="3"/>
  <c r="AY475" i="3"/>
  <c r="AY40" i="3"/>
  <c r="AY281" i="3"/>
  <c r="AY322" i="3"/>
  <c r="AY395" i="3"/>
  <c r="AY189" i="3"/>
  <c r="AY393" i="3"/>
  <c r="BO6" i="3"/>
  <c r="AY490" i="3"/>
  <c r="AY210" i="3"/>
  <c r="AY213" i="3"/>
  <c r="AY110" i="3"/>
  <c r="AY403" i="3"/>
  <c r="AY454" i="3"/>
  <c r="AY391" i="3"/>
  <c r="AY549" i="3"/>
  <c r="AY88" i="3"/>
  <c r="AY129" i="3"/>
  <c r="AY104" i="3"/>
  <c r="AY74" i="3"/>
  <c r="AY106" i="3"/>
  <c r="AY291" i="3"/>
  <c r="AY361" i="3"/>
  <c r="AY422" i="3"/>
  <c r="AY146" i="3"/>
  <c r="AY324" i="3"/>
  <c r="AY39" i="3"/>
  <c r="AY258" i="3"/>
  <c r="AY315" i="3"/>
  <c r="AY168" i="3"/>
  <c r="AY67" i="3"/>
  <c r="AY105" i="3"/>
  <c r="AY31" i="3"/>
  <c r="AY317" i="3"/>
  <c r="AY181" i="3"/>
  <c r="AY65" i="3"/>
  <c r="AY350" i="3"/>
  <c r="AY241" i="3"/>
  <c r="AY30" i="3"/>
  <c r="AY542" i="3"/>
  <c r="AY382" i="3"/>
  <c r="AY555" i="3"/>
  <c r="AY143" i="3"/>
  <c r="AY308" i="3"/>
  <c r="AY236" i="3"/>
  <c r="AY52" i="3"/>
  <c r="AY246" i="3"/>
  <c r="AY408" i="3"/>
  <c r="AY374" i="3"/>
  <c r="AY183" i="3"/>
  <c r="AY25" i="3"/>
  <c r="AY197" i="3"/>
  <c r="AY321" i="3"/>
  <c r="BH6" i="3"/>
  <c r="AY431" i="3"/>
  <c r="AY526" i="3"/>
  <c r="AY34" i="3"/>
  <c r="AY309" i="3"/>
  <c r="AY176" i="3"/>
  <c r="AY44" i="3"/>
  <c r="AY318" i="3"/>
  <c r="AY561" i="3"/>
  <c r="AY22" i="3"/>
  <c r="AY406" i="3"/>
  <c r="AY127" i="3"/>
  <c r="AY407" i="3"/>
  <c r="AY140" i="3"/>
  <c r="AY461" i="3"/>
  <c r="AY66" i="3"/>
  <c r="AY186" i="3"/>
  <c r="AY222" i="3"/>
  <c r="AY540" i="3"/>
  <c r="AY82" i="3"/>
  <c r="AY182" i="3"/>
  <c r="AY479" i="3"/>
  <c r="AY238" i="3"/>
  <c r="AY389" i="3"/>
  <c r="AY122" i="3"/>
  <c r="BC6" i="3"/>
  <c r="AY91" i="3"/>
  <c r="AY274" i="3"/>
  <c r="AY114" i="3"/>
  <c r="AY558" i="3"/>
  <c r="AY156" i="3"/>
  <c r="AY27" i="3"/>
  <c r="AY160" i="3"/>
  <c r="AY96" i="3"/>
  <c r="AY206" i="3"/>
  <c r="AY225" i="3"/>
  <c r="AY360" i="3"/>
  <c r="AY565" i="3"/>
  <c r="AY553" i="3"/>
  <c r="AY90" i="3"/>
  <c r="AY344" i="3"/>
  <c r="BR6" i="3"/>
  <c r="AY285" i="3"/>
  <c r="AY327" i="3"/>
  <c r="AY538" i="3"/>
  <c r="AY557" i="3"/>
  <c r="AY418" i="3"/>
  <c r="AY289" i="3"/>
  <c r="AY130" i="3"/>
  <c r="AY331" i="3"/>
  <c r="AY487" i="3"/>
  <c r="AY509" i="3"/>
  <c r="AY539" i="3"/>
  <c r="AY564" i="3"/>
  <c r="BB6" i="3"/>
  <c r="AY296" i="3"/>
  <c r="AY338" i="3"/>
  <c r="AY79" i="3"/>
  <c r="AY243" i="3"/>
  <c r="AY373" i="3"/>
  <c r="AY466" i="3"/>
  <c r="AY474" i="3"/>
  <c r="AY441" i="3"/>
  <c r="D3" i="6"/>
  <c r="AY83" i="3"/>
  <c r="AY425" i="3"/>
  <c r="AY169" i="3"/>
  <c r="AY464" i="3"/>
  <c r="AY194" i="3"/>
  <c r="AY278" i="3"/>
  <c r="AY35" i="3"/>
  <c r="AY92" i="3"/>
  <c r="AY187" i="3"/>
  <c r="AY335" i="3"/>
  <c r="AY369" i="3"/>
  <c r="AY320" i="3"/>
  <c r="AY154" i="3"/>
  <c r="AY409" i="3"/>
  <c r="AY138" i="3"/>
  <c r="AY166" i="3"/>
  <c r="AY323" i="3"/>
  <c r="AY518" i="3"/>
  <c r="AY503" i="3"/>
  <c r="AY299" i="3"/>
  <c r="AY185" i="3"/>
  <c r="AY223" i="3"/>
  <c r="AY190" i="3"/>
  <c r="AY235" i="3"/>
  <c r="AY401" i="3"/>
  <c r="AY267" i="3"/>
  <c r="AY545" i="3"/>
  <c r="AY433" i="3"/>
  <c r="AY455" i="3"/>
  <c r="AY298" i="3"/>
  <c r="AY499" i="3"/>
  <c r="AY48" i="3"/>
  <c r="AY61" i="3"/>
  <c r="AY237" i="3"/>
  <c r="AY59" i="3"/>
  <c r="AY306" i="3"/>
  <c r="AY473" i="3"/>
  <c r="AY541" i="3"/>
  <c r="AY439" i="3"/>
  <c r="AY477" i="3"/>
  <c r="AY452" i="3"/>
  <c r="AY468" i="3"/>
  <c r="BI6" i="3"/>
  <c r="AY469" i="3"/>
  <c r="AY263" i="3"/>
  <c r="AY231" i="3"/>
  <c r="AY19" i="3"/>
  <c r="AY347" i="3"/>
  <c r="AY470" i="3"/>
  <c r="AY533" i="3"/>
  <c r="AY102" i="3"/>
  <c r="AY462" i="3"/>
  <c r="AY94" i="3"/>
  <c r="AY536" i="3"/>
  <c r="AY517" i="3"/>
  <c r="AY523" i="3"/>
  <c r="AY529" i="3"/>
  <c r="AY217" i="3"/>
  <c r="AY427" i="3"/>
  <c r="AY214" i="3"/>
  <c r="AY116" i="3"/>
  <c r="AY548" i="3"/>
  <c r="AY159" i="3"/>
  <c r="AY234" i="3"/>
  <c r="AY343" i="3"/>
  <c r="AY435" i="3"/>
  <c r="AY132" i="3"/>
  <c r="AY188" i="3"/>
  <c r="AY528" i="3"/>
  <c r="AY36" i="3"/>
  <c r="AY117" i="3"/>
  <c r="AY341" i="3"/>
  <c r="AY465" i="3"/>
  <c r="AY428" i="3"/>
  <c r="AY218" i="3"/>
  <c r="AY356" i="3"/>
  <c r="AY147" i="3"/>
  <c r="AY562" i="3"/>
  <c r="AY498" i="3"/>
  <c r="AY552" i="3"/>
  <c r="AY519" i="3"/>
  <c r="BF6" i="3"/>
  <c r="AY484" i="3"/>
  <c r="AY264" i="3"/>
  <c r="AY115" i="3"/>
  <c r="AY457" i="3"/>
  <c r="AY13" i="3"/>
  <c r="AY38" i="3"/>
  <c r="AY378" i="3"/>
  <c r="AY248" i="3"/>
  <c r="AY249" i="3"/>
  <c r="AY137" i="3"/>
  <c r="AY480" i="3"/>
  <c r="AY220" i="3"/>
  <c r="AY404" i="3"/>
  <c r="AY534" i="3"/>
  <c r="AY434" i="3"/>
  <c r="AY334" i="3"/>
  <c r="AY571" i="3"/>
  <c r="AY532" i="3"/>
  <c r="AY251" i="3"/>
  <c r="AY284" i="3"/>
  <c r="AY426" i="3"/>
  <c r="AY496" i="3"/>
  <c r="AY203" i="3"/>
  <c r="AY286" i="3"/>
  <c r="AY295" i="3"/>
  <c r="AY253" i="3"/>
  <c r="AY386" i="3"/>
  <c r="AY224" i="3"/>
  <c r="AY430" i="3"/>
  <c r="AY259" i="3"/>
  <c r="AY29" i="3"/>
  <c r="AY388" i="3"/>
  <c r="AY208" i="3"/>
  <c r="AY63" i="3"/>
  <c r="AY440" i="3"/>
  <c r="AY495" i="3"/>
  <c r="AY339" i="3"/>
  <c r="AY502" i="3"/>
  <c r="AY507" i="3"/>
  <c r="AY23" i="3"/>
  <c r="AY522" i="3"/>
  <c r="AY551" i="3"/>
  <c r="AY167" i="3"/>
  <c r="AY292" i="3"/>
  <c r="AY377" i="3"/>
  <c r="AY177" i="3"/>
  <c r="AY300" i="3"/>
  <c r="AY345" i="3"/>
  <c r="AY89" i="3"/>
  <c r="AY51" i="3"/>
  <c r="BJ6" i="3"/>
  <c r="AY69" i="3"/>
  <c r="AY26" i="3"/>
  <c r="AY53" i="3"/>
  <c r="AY98" i="3"/>
  <c r="AY383" i="3"/>
  <c r="AY170" i="3"/>
  <c r="AY476" i="3"/>
  <c r="AY366" i="3"/>
  <c r="AY486" i="3"/>
  <c r="AY47" i="3"/>
  <c r="AY402" i="3"/>
  <c r="AY265" i="3"/>
  <c r="AY50" i="3"/>
  <c r="AY230" i="3"/>
  <c r="AY420" i="3"/>
  <c r="AY157" i="3"/>
  <c r="AY516" i="3"/>
  <c r="AY333" i="3"/>
  <c r="AY123" i="3"/>
  <c r="AY337" i="3"/>
  <c r="AY76" i="3"/>
  <c r="AY86" i="3"/>
  <c r="AY42" i="3"/>
  <c r="AY392" i="3"/>
  <c r="AY288" i="3"/>
  <c r="AY162" i="3"/>
  <c r="AY303" i="3"/>
  <c r="AY527" i="3"/>
  <c r="AY325" i="3"/>
  <c r="AY390" i="3"/>
  <c r="AY128" i="3"/>
  <c r="AY364" i="3"/>
  <c r="AY302" i="3"/>
  <c r="AY543" i="3"/>
  <c r="AY556" i="3"/>
  <c r="AY424" i="3"/>
  <c r="BD6" i="3"/>
  <c r="AY329" i="3"/>
  <c r="BQ6" i="3"/>
  <c r="BP6" i="3"/>
  <c r="AY358" i="3"/>
  <c r="AY497" i="3"/>
  <c r="AY567" i="3"/>
  <c r="AY478" i="3"/>
  <c r="AY93" i="3"/>
  <c r="AY270" i="3"/>
  <c r="AY554" i="3"/>
  <c r="AY212" i="3"/>
  <c r="AY353" i="3"/>
  <c r="AY419" i="3"/>
  <c r="AY301" i="3"/>
  <c r="AY482" i="3"/>
  <c r="AY491" i="3"/>
  <c r="AY277" i="3"/>
  <c r="AY72" i="3"/>
  <c r="AY16" i="3"/>
  <c r="AY525" i="3"/>
  <c r="AY445" i="3"/>
  <c r="AY207" i="3"/>
  <c r="AY365" i="3"/>
  <c r="AY319" i="3"/>
  <c r="AY415" i="3"/>
  <c r="AY447" i="3"/>
  <c r="AY71" i="3"/>
  <c r="AY195" i="3"/>
  <c r="AY363" i="3"/>
  <c r="AY547" i="3"/>
  <c r="AY514" i="3"/>
  <c r="AY215" i="3"/>
  <c r="AY173" i="3"/>
  <c r="AY33" i="3"/>
  <c r="AY180" i="3"/>
  <c r="AY297" i="3"/>
  <c r="AY164" i="3"/>
  <c r="AY524" i="3"/>
  <c r="AY513" i="3"/>
  <c r="AY119" i="3"/>
  <c r="AY332" i="3"/>
  <c r="AY511" i="3"/>
  <c r="AY535" i="3"/>
  <c r="C42" i="37"/>
  <c r="C43" i="37"/>
  <c r="B3" i="37" s="1"/>
  <c r="B2" i="37" s="1"/>
  <c r="I72" i="39"/>
  <c r="J70" i="39"/>
  <c r="I58" i="21"/>
  <c r="C38" i="46"/>
  <c r="C39" i="46"/>
  <c r="D16" i="12"/>
  <c r="C20" i="9"/>
  <c r="C13" i="43"/>
  <c r="F7" i="15"/>
  <c r="C19" i="9"/>
  <c r="C14" i="15"/>
  <c r="C16" i="44"/>
  <c r="C9" i="59" l="1"/>
  <c r="D10" i="59"/>
  <c r="L65" i="40"/>
  <c r="K67" i="40"/>
  <c r="B4" i="11"/>
  <c r="C4" i="68" s="1"/>
  <c r="L43" i="9"/>
  <c r="C18" i="15"/>
  <c r="C15" i="15"/>
  <c r="C14" i="43"/>
  <c r="C17" i="43"/>
  <c r="C17" i="44"/>
  <c r="C20" i="44"/>
  <c r="M7" i="15"/>
  <c r="J6" i="15" s="1"/>
  <c r="F49" i="15"/>
  <c r="C48" i="15" s="1"/>
  <c r="C47" i="15" s="1"/>
  <c r="C6" i="15"/>
  <c r="E39" i="46"/>
  <c r="G39" i="46"/>
  <c r="I39" i="46" s="1"/>
  <c r="J58" i="21"/>
  <c r="K58" i="21" s="1"/>
  <c r="L58" i="21" s="1"/>
  <c r="M58" i="21" s="1"/>
  <c r="N58" i="21" s="1"/>
  <c r="O58" i="21" s="1"/>
  <c r="F7" i="21"/>
  <c r="G35" i="46"/>
  <c r="I35" i="46" s="1"/>
  <c r="E35" i="46"/>
  <c r="E36" i="46"/>
  <c r="G36" i="46"/>
  <c r="I36" i="46" s="1"/>
  <c r="T16" i="1"/>
  <c r="D19" i="12"/>
  <c r="C19" i="12" s="1"/>
  <c r="C16" i="12"/>
  <c r="C18" i="12" s="1"/>
  <c r="B5" i="11"/>
  <c r="F1" i="46"/>
  <c r="D21" i="6"/>
  <c r="H21" i="6"/>
  <c r="D14" i="6"/>
  <c r="H23" i="6"/>
  <c r="E68" i="39"/>
  <c r="D22" i="6"/>
  <c r="H25" i="6"/>
  <c r="H22" i="6"/>
  <c r="F46" i="9"/>
  <c r="E63" i="40"/>
  <c r="H24" i="6"/>
  <c r="H20" i="6"/>
  <c r="E44" i="9"/>
  <c r="D13" i="6"/>
  <c r="D8" i="6"/>
  <c r="D24" i="6"/>
  <c r="D11" i="6"/>
  <c r="D15" i="6"/>
  <c r="C22" i="4"/>
  <c r="D10" i="6"/>
  <c r="D6" i="6"/>
  <c r="D20" i="6"/>
  <c r="R20" i="6" s="1"/>
  <c r="D26" i="6"/>
  <c r="R26" i="6" s="1"/>
  <c r="D12" i="6"/>
  <c r="D5" i="6"/>
  <c r="H26" i="6"/>
  <c r="H19" i="6"/>
  <c r="H27" i="6" s="1"/>
  <c r="D25" i="6"/>
  <c r="R25" i="6" s="1"/>
  <c r="D28" i="6"/>
  <c r="K38" i="9"/>
  <c r="C14" i="66" s="1"/>
  <c r="B2" i="66" s="1"/>
  <c r="D29" i="6"/>
  <c r="D19" i="6"/>
  <c r="D23" i="6"/>
  <c r="F44" i="9"/>
  <c r="D9" i="6"/>
  <c r="E46" i="9"/>
  <c r="G38" i="46"/>
  <c r="I38" i="46" s="1"/>
  <c r="E38" i="46"/>
  <c r="J7" i="21"/>
  <c r="J72" i="39"/>
  <c r="K70" i="39"/>
  <c r="G37" i="46"/>
  <c r="I37" i="46" s="1"/>
  <c r="E37" i="46"/>
  <c r="G33" i="46"/>
  <c r="I33" i="46" s="1"/>
  <c r="E33" i="46"/>
  <c r="E34" i="46"/>
  <c r="G34" i="46"/>
  <c r="I34" i="46" s="1"/>
  <c r="A2" i="68"/>
  <c r="E29" i="46"/>
  <c r="C30" i="46"/>
  <c r="E30" i="46" s="1"/>
  <c r="J46" i="36"/>
  <c r="C8" i="66"/>
  <c r="C6" i="66"/>
  <c r="C13" i="11"/>
  <c r="M48" i="35"/>
  <c r="D22" i="12"/>
  <c r="C21" i="9"/>
  <c r="C22" i="12" l="1"/>
  <c r="C20" i="12" s="1"/>
  <c r="C23" i="12" s="1"/>
  <c r="M65" i="40"/>
  <c r="L67" i="40"/>
  <c r="R23" i="6"/>
  <c r="C8" i="59"/>
  <c r="D9" i="59"/>
  <c r="C27" i="46"/>
  <c r="C21" i="44"/>
  <c r="C22" i="44" s="1"/>
  <c r="C28" i="44" s="1"/>
  <c r="C19" i="15"/>
  <c r="C20" i="15" s="1"/>
  <c r="C18" i="43"/>
  <c r="C19" i="43" s="1"/>
  <c r="N48" i="35"/>
  <c r="K46" i="36"/>
  <c r="C26" i="46"/>
  <c r="B2" i="46" s="1"/>
  <c r="K72" i="39"/>
  <c r="L70" i="39"/>
  <c r="W7" i="21"/>
  <c r="AC7" i="21"/>
  <c r="V48" i="21" s="1"/>
  <c r="I48" i="21" s="1"/>
  <c r="D30" i="6"/>
  <c r="A6" i="64"/>
  <c r="A6" i="51"/>
  <c r="B7" i="63" s="1"/>
  <c r="A20" i="51"/>
  <c r="B15" i="63" s="1"/>
  <c r="N5" i="54"/>
  <c r="B43" i="63" s="1"/>
  <c r="A20" i="64"/>
  <c r="D16" i="6"/>
  <c r="R21" i="6"/>
  <c r="H7" i="21"/>
  <c r="C59" i="15"/>
  <c r="C65" i="15"/>
  <c r="D27" i="6"/>
  <c r="D31" i="6" s="1"/>
  <c r="R19" i="6"/>
  <c r="D8" i="66"/>
  <c r="D6" i="66"/>
  <c r="R24" i="6"/>
  <c r="R22" i="6"/>
  <c r="S7" i="21"/>
  <c r="AA7" i="21"/>
  <c r="R48" i="21" s="1"/>
  <c r="C10" i="15"/>
  <c r="C5" i="15" s="1"/>
  <c r="C32" i="15"/>
  <c r="J5" i="15"/>
  <c r="J18" i="15"/>
  <c r="D19" i="9"/>
  <c r="D8" i="59" l="1"/>
  <c r="C7" i="59"/>
  <c r="M67" i="40"/>
  <c r="N65" i="40"/>
  <c r="N67" i="40" s="1"/>
  <c r="F9" i="40" s="1"/>
  <c r="C23" i="15"/>
  <c r="C25" i="43"/>
  <c r="C24" i="43" s="1"/>
  <c r="C22" i="43"/>
  <c r="C21" i="43" s="1"/>
  <c r="C25" i="44"/>
  <c r="C31" i="44" s="1"/>
  <c r="C26" i="15"/>
  <c r="L44" i="9"/>
  <c r="G19" i="9"/>
  <c r="D22" i="9"/>
  <c r="C38" i="15"/>
  <c r="E48" i="21"/>
  <c r="R49" i="21"/>
  <c r="R6" i="1"/>
  <c r="R27" i="6"/>
  <c r="J26" i="15"/>
  <c r="J29" i="15" s="1"/>
  <c r="J24" i="15"/>
  <c r="I6" i="6"/>
  <c r="I5" i="6"/>
  <c r="I53" i="21"/>
  <c r="J53" i="21" s="1"/>
  <c r="I52" i="21"/>
  <c r="J52" i="21" s="1"/>
  <c r="M70" i="39"/>
  <c r="L72" i="39"/>
  <c r="B4" i="46"/>
  <c r="B3" i="46"/>
  <c r="D4" i="46"/>
  <c r="O48" i="35"/>
  <c r="F7" i="35"/>
  <c r="U7" i="21"/>
  <c r="AB7" i="21"/>
  <c r="T48" i="21" s="1"/>
  <c r="G48" i="21" s="1"/>
  <c r="L46" i="36"/>
  <c r="F35" i="15"/>
  <c r="D21" i="9"/>
  <c r="D20" i="9"/>
  <c r="M21" i="15"/>
  <c r="S9" i="40" l="1"/>
  <c r="AA9" i="40"/>
  <c r="R44" i="40" s="1"/>
  <c r="H9" i="40"/>
  <c r="J9" i="40"/>
  <c r="T7" i="59"/>
  <c r="D7" i="59"/>
  <c r="C6" i="59"/>
  <c r="C28" i="43"/>
  <c r="C30" i="43" s="1"/>
  <c r="C29" i="15"/>
  <c r="C38" i="44"/>
  <c r="C15" i="44"/>
  <c r="Q72" i="44" s="1"/>
  <c r="C35" i="44"/>
  <c r="C33" i="44" s="1"/>
  <c r="Q51" i="44"/>
  <c r="J16" i="44"/>
  <c r="J15" i="44" s="1"/>
  <c r="J25" i="44" s="1"/>
  <c r="J21" i="44"/>
  <c r="J19" i="44" s="1"/>
  <c r="G21" i="9"/>
  <c r="G20" i="9"/>
  <c r="J20" i="15"/>
  <c r="F62" i="15"/>
  <c r="C61" i="15" s="1"/>
  <c r="C34" i="15"/>
  <c r="AA7" i="35"/>
  <c r="R38" i="35" s="1"/>
  <c r="S7" i="35"/>
  <c r="M46" i="36"/>
  <c r="G52" i="21"/>
  <c r="H52" i="21" s="1"/>
  <c r="G53" i="21"/>
  <c r="H53" i="21" s="1"/>
  <c r="J7" i="35"/>
  <c r="H7" i="35"/>
  <c r="C48" i="21"/>
  <c r="C49" i="21"/>
  <c r="B3" i="21" s="1"/>
  <c r="B2" i="21" s="1"/>
  <c r="C32" i="9"/>
  <c r="N43" i="9"/>
  <c r="G22" i="9"/>
  <c r="M72" i="39"/>
  <c r="N70" i="39"/>
  <c r="N72" i="39" s="1"/>
  <c r="R16" i="1"/>
  <c r="E53" i="21"/>
  <c r="F53" i="21" s="1"/>
  <c r="E52" i="21"/>
  <c r="F52" i="21" s="1"/>
  <c r="J24" i="44" l="1"/>
  <c r="D6" i="59"/>
  <c r="C5" i="59"/>
  <c r="C39" i="44"/>
  <c r="C32" i="44" s="1"/>
  <c r="C42" i="44" s="1"/>
  <c r="Q71" i="44" s="1"/>
  <c r="Q70" i="44" s="1"/>
  <c r="AC9" i="40"/>
  <c r="V44" i="40" s="1"/>
  <c r="I44" i="40" s="1"/>
  <c r="W9" i="40"/>
  <c r="AB9" i="40"/>
  <c r="T44" i="40" s="1"/>
  <c r="G44" i="40" s="1"/>
  <c r="U9" i="40"/>
  <c r="R45" i="40"/>
  <c r="E44" i="40"/>
  <c r="C13" i="15"/>
  <c r="Q71" i="15" s="1"/>
  <c r="C33" i="15"/>
  <c r="C31" i="15" s="1"/>
  <c r="C43" i="44"/>
  <c r="C36" i="15"/>
  <c r="J19" i="15"/>
  <c r="J17" i="15" s="1"/>
  <c r="J14" i="15"/>
  <c r="C56" i="15"/>
  <c r="Q50" i="15"/>
  <c r="J18" i="44"/>
  <c r="J27" i="44" s="1"/>
  <c r="O43" i="9"/>
  <c r="C35" i="9"/>
  <c r="F42" i="9" s="1"/>
  <c r="C34" i="9"/>
  <c r="C33" i="9"/>
  <c r="O38" i="9"/>
  <c r="C45" i="9"/>
  <c r="C42" i="9"/>
  <c r="AB7" i="35"/>
  <c r="T38" i="35" s="1"/>
  <c r="G38" i="35" s="1"/>
  <c r="U7" i="35"/>
  <c r="N46" i="36"/>
  <c r="O46" i="36" s="1"/>
  <c r="F7" i="36"/>
  <c r="E38" i="35"/>
  <c r="R39" i="35"/>
  <c r="H9" i="39"/>
  <c r="J9" i="39"/>
  <c r="F9" i="39"/>
  <c r="W7" i="35"/>
  <c r="AC7" i="35"/>
  <c r="V38" i="35" s="1"/>
  <c r="I38" i="35" s="1"/>
  <c r="E48" i="40" l="1"/>
  <c r="F48" i="40" s="1"/>
  <c r="E49" i="40"/>
  <c r="F49" i="40" s="1"/>
  <c r="C44" i="40"/>
  <c r="C45" i="40"/>
  <c r="G49" i="40"/>
  <c r="H49" i="40" s="1"/>
  <c r="G48" i="40"/>
  <c r="H48" i="40" s="1"/>
  <c r="I48" i="40"/>
  <c r="J48" i="40" s="1"/>
  <c r="I49" i="40"/>
  <c r="J49" i="40" s="1"/>
  <c r="D5" i="59"/>
  <c r="M20" i="46"/>
  <c r="C55" i="15"/>
  <c r="C64" i="15" s="1"/>
  <c r="J35" i="15"/>
  <c r="C37" i="15"/>
  <c r="C30" i="15" s="1"/>
  <c r="C39" i="15" s="1"/>
  <c r="C40" i="15" s="1"/>
  <c r="C63" i="15"/>
  <c r="C60" i="15"/>
  <c r="C58" i="15" s="1"/>
  <c r="C44" i="44"/>
  <c r="C45" i="44" s="1"/>
  <c r="L52" i="44" s="1"/>
  <c r="J22" i="15"/>
  <c r="J13" i="15"/>
  <c r="J23" i="15" s="1"/>
  <c r="AA9" i="39"/>
  <c r="R49" i="39" s="1"/>
  <c r="S9" i="39"/>
  <c r="AC9" i="39"/>
  <c r="V49" i="39" s="1"/>
  <c r="I49" i="39" s="1"/>
  <c r="W9" i="39"/>
  <c r="E43" i="35"/>
  <c r="F43" i="35" s="1"/>
  <c r="E42" i="35"/>
  <c r="F42" i="35" s="1"/>
  <c r="H7" i="36"/>
  <c r="J7" i="36"/>
  <c r="G42" i="35"/>
  <c r="H42" i="35" s="1"/>
  <c r="G43" i="35"/>
  <c r="H43" i="35" s="1"/>
  <c r="D45" i="9"/>
  <c r="H14" i="66"/>
  <c r="B7" i="66" s="1"/>
  <c r="E45" i="9"/>
  <c r="F45" i="9"/>
  <c r="O40" i="9"/>
  <c r="N38" i="9"/>
  <c r="K28" i="9" s="1"/>
  <c r="D42" i="9"/>
  <c r="Q5" i="54" s="1"/>
  <c r="B47" i="63" s="1"/>
  <c r="I42" i="35"/>
  <c r="J42" i="35" s="1"/>
  <c r="I43" i="35"/>
  <c r="J43" i="35" s="1"/>
  <c r="U9" i="39"/>
  <c r="AB9" i="39"/>
  <c r="T49" i="39" s="1"/>
  <c r="G49" i="39" s="1"/>
  <c r="C38" i="35"/>
  <c r="C39" i="35"/>
  <c r="B3" i="35" s="1"/>
  <c r="B2" i="35" s="1"/>
  <c r="AA7" i="36"/>
  <c r="R36" i="36" s="1"/>
  <c r="S7" i="36"/>
  <c r="R5" i="54"/>
  <c r="B48" i="63" s="1"/>
  <c r="D14" i="66"/>
  <c r="N68" i="9"/>
  <c r="D63" i="9"/>
  <c r="K26" i="9"/>
  <c r="K25" i="9"/>
  <c r="M38" i="9"/>
  <c r="K27" i="9" s="1"/>
  <c r="E42" i="9"/>
  <c r="P5" i="54" s="1"/>
  <c r="B46" i="63" s="1"/>
  <c r="L51" i="15"/>
  <c r="B58" i="40" l="1"/>
  <c r="F58" i="40" s="1"/>
  <c r="B53" i="40"/>
  <c r="F53" i="40" s="1"/>
  <c r="B62" i="40"/>
  <c r="F62" i="40" s="1"/>
  <c r="B60" i="40"/>
  <c r="F60" i="40" s="1"/>
  <c r="B59" i="40"/>
  <c r="F59" i="40" s="1"/>
  <c r="F63" i="40"/>
  <c r="B2" i="40" s="1"/>
  <c r="B61" i="40"/>
  <c r="F61" i="40" s="1"/>
  <c r="B55" i="40"/>
  <c r="F55" i="40" s="1"/>
  <c r="B57" i="40"/>
  <c r="F57" i="40" s="1"/>
  <c r="B54" i="40"/>
  <c r="F54" i="40" s="1"/>
  <c r="B56" i="40"/>
  <c r="F56" i="40" s="1"/>
  <c r="B2" i="44"/>
  <c r="B4" i="44" s="1"/>
  <c r="C57" i="15"/>
  <c r="C66" i="15" s="1"/>
  <c r="C67" i="15" s="1"/>
  <c r="C70" i="15" s="1"/>
  <c r="Q70" i="15"/>
  <c r="Q69" i="15" s="1"/>
  <c r="J39" i="15"/>
  <c r="J40" i="15" s="1"/>
  <c r="J16" i="15"/>
  <c r="J25" i="15" s="1"/>
  <c r="Q68" i="15"/>
  <c r="L57" i="15"/>
  <c r="L60" i="15" s="1"/>
  <c r="E36" i="36"/>
  <c r="G53" i="39"/>
  <c r="H53" i="39" s="1"/>
  <c r="G54" i="39"/>
  <c r="H54" i="39" s="1"/>
  <c r="R7" i="54"/>
  <c r="B52" i="63" s="1"/>
  <c r="K31" i="9"/>
  <c r="K32" i="9" s="1"/>
  <c r="AB7" i="36"/>
  <c r="T36" i="36" s="1"/>
  <c r="G36" i="36" s="1"/>
  <c r="U7" i="36"/>
  <c r="I53" i="39"/>
  <c r="J53" i="39" s="1"/>
  <c r="C103" i="9"/>
  <c r="C90" i="9"/>
  <c r="C111" i="9"/>
  <c r="C104" i="9" s="1"/>
  <c r="C82" i="9"/>
  <c r="C81" i="9" s="1"/>
  <c r="C85" i="9" s="1"/>
  <c r="C86" i="9" s="1"/>
  <c r="D72" i="9" s="1"/>
  <c r="D71" i="9"/>
  <c r="D73" i="9"/>
  <c r="N73" i="9" s="1"/>
  <c r="C96" i="9"/>
  <c r="C91" i="9" s="1"/>
  <c r="D70" i="9"/>
  <c r="B5" i="66"/>
  <c r="F14" i="66"/>
  <c r="E14" i="66"/>
  <c r="Q69" i="44"/>
  <c r="L58" i="44"/>
  <c r="L61" i="44" s="1"/>
  <c r="C7" i="66"/>
  <c r="D7" i="66"/>
  <c r="AC7" i="36"/>
  <c r="V36" i="36" s="1"/>
  <c r="I36" i="36" s="1"/>
  <c r="W7" i="36"/>
  <c r="B2" i="15"/>
  <c r="C10" i="12" s="1"/>
  <c r="C43" i="15"/>
  <c r="Q57" i="15"/>
  <c r="Q48" i="15"/>
  <c r="Q54" i="15" s="1"/>
  <c r="Q66" i="15"/>
  <c r="J42" i="15"/>
  <c r="J43" i="15" s="1"/>
  <c r="R50" i="39"/>
  <c r="E49" i="39"/>
  <c r="B3" i="44" l="1"/>
  <c r="B4" i="40"/>
  <c r="B5" i="40"/>
  <c r="B3" i="40"/>
  <c r="B5" i="44"/>
  <c r="C46" i="15"/>
  <c r="E54" i="39"/>
  <c r="F54" i="39" s="1"/>
  <c r="E53" i="39"/>
  <c r="F53" i="39" s="1"/>
  <c r="Q68" i="44"/>
  <c r="Q77" i="44" s="1"/>
  <c r="Q59" i="44"/>
  <c r="Q64" i="44" s="1"/>
  <c r="C5" i="66"/>
  <c r="D5" i="66"/>
  <c r="C113" i="9"/>
  <c r="G41" i="36"/>
  <c r="H41" i="36" s="1"/>
  <c r="G40" i="36"/>
  <c r="H40" i="36" s="1"/>
  <c r="E40" i="36"/>
  <c r="F40" i="36" s="1"/>
  <c r="E41" i="36"/>
  <c r="F41" i="36" s="1"/>
  <c r="Q58" i="15"/>
  <c r="Q63" i="15" s="1"/>
  <c r="Q67" i="15"/>
  <c r="Q76" i="15" s="1"/>
  <c r="C49" i="39"/>
  <c r="C50" i="39"/>
  <c r="C10" i="43"/>
  <c r="B3" i="15"/>
  <c r="I40" i="36"/>
  <c r="J40" i="36" s="1"/>
  <c r="I41" i="36"/>
  <c r="J41" i="36" s="1"/>
  <c r="C97" i="9"/>
  <c r="I54" i="39"/>
  <c r="J54" i="39" s="1"/>
  <c r="R37" i="36"/>
  <c r="C6" i="43" l="1"/>
  <c r="C6" i="12"/>
  <c r="C31" i="43"/>
  <c r="C32" i="43" s="1"/>
  <c r="B2" i="43" s="1"/>
  <c r="C37" i="36"/>
  <c r="B3" i="36" s="1"/>
  <c r="B2" i="36" s="1"/>
  <c r="C36" i="36"/>
  <c r="C98" i="9"/>
  <c r="E98" i="9" s="1"/>
  <c r="E99" i="9" s="1"/>
  <c r="B63" i="39"/>
  <c r="F63" i="39" s="1"/>
  <c r="B67" i="39"/>
  <c r="F67" i="39" s="1"/>
  <c r="B65" i="39"/>
  <c r="F65" i="39" s="1"/>
  <c r="B61" i="39"/>
  <c r="F61" i="39" s="1"/>
  <c r="B58" i="39"/>
  <c r="F58" i="39" s="1"/>
  <c r="B59" i="39"/>
  <c r="F59" i="39" s="1"/>
  <c r="B66" i="39"/>
  <c r="F66" i="39" s="1"/>
  <c r="B62" i="39"/>
  <c r="F62" i="39" s="1"/>
  <c r="B64" i="39"/>
  <c r="F64" i="39" s="1"/>
  <c r="B60" i="39"/>
  <c r="F60" i="39" s="1"/>
  <c r="F68" i="39"/>
  <c r="B2" i="39" s="1"/>
  <c r="C114" i="9"/>
  <c r="E114" i="9" s="1"/>
  <c r="E115" i="9" s="1"/>
  <c r="C24" i="12" l="1"/>
  <c r="C29" i="12"/>
  <c r="C115" i="9"/>
  <c r="D76" i="9" s="1"/>
  <c r="D74" i="9" s="1"/>
  <c r="N74" i="9" s="1"/>
  <c r="O77" i="9" s="1"/>
  <c r="O78" i="9" s="1"/>
  <c r="C99" i="9"/>
  <c r="B3" i="39"/>
  <c r="B4" i="39"/>
  <c r="B5" i="39"/>
  <c r="B4" i="43"/>
  <c r="B3" i="43"/>
  <c r="B5" i="43"/>
  <c r="C35" i="12" l="1"/>
  <c r="C33" i="12" s="1"/>
  <c r="C28" i="12"/>
  <c r="C26" i="12" s="1"/>
  <c r="C31" i="12" s="1"/>
  <c r="C30" i="12" s="1"/>
  <c r="O79" i="9"/>
  <c r="O81" i="9" s="1"/>
  <c r="Q77" i="9"/>
  <c r="B2" i="68"/>
  <c r="A5" i="68" s="1"/>
  <c r="C36" i="12" l="1"/>
  <c r="B2" i="12" s="1"/>
  <c r="C2" i="68"/>
  <c r="E3" i="68" s="1"/>
  <c r="E5" i="68" s="1"/>
  <c r="B5" i="68"/>
  <c r="O80" i="9"/>
  <c r="B3" i="12"/>
  <c r="B4" i="12"/>
  <c r="B5" i="12"/>
  <c r="D9" i="68" l="1"/>
  <c r="F3" i="68"/>
  <c r="D10" i="68" l="1"/>
  <c r="D16" i="68" l="1"/>
  <c r="D17" i="68" s="1"/>
  <c r="D18" i="68"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charset val="134"/>
          </rPr>
          <t xml:space="preserve">没有时，请选择“——”
</t>
        </r>
      </text>
    </comment>
    <comment ref="H4" authorId="0">
      <text>
        <r>
          <rPr>
            <sz val="12"/>
            <color indexed="81"/>
            <rFont val="楷体_GB2312"/>
            <charset val="134"/>
          </rPr>
          <t xml:space="preserve">没有时，请选择“——”
</t>
        </r>
      </text>
    </comment>
    <comment ref="B10" authorId="1">
      <text>
        <r>
          <rPr>
            <sz val="11"/>
            <color indexed="81"/>
            <rFont val="楷体_GB2312"/>
            <charset val="134"/>
          </rPr>
          <t>其它城市请在右侧录入</t>
        </r>
        <r>
          <rPr>
            <sz val="14"/>
            <color indexed="81"/>
            <rFont val="楷体_GB2312"/>
            <charset val="134"/>
          </rPr>
          <t xml:space="preserve">
</t>
        </r>
      </text>
    </comment>
    <comment ref="E10" authorId="0">
      <text>
        <r>
          <rPr>
            <sz val="12"/>
            <color indexed="81"/>
            <rFont val="楷体_GB2312"/>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charset val="134"/>
          </rPr>
          <t>现房/在建（简单填写进度）/未建</t>
        </r>
        <r>
          <rPr>
            <sz val="9"/>
            <color indexed="81"/>
            <rFont val="宋体"/>
            <family val="3"/>
            <charset val="134"/>
          </rPr>
          <t xml:space="preserve">
</t>
        </r>
      </text>
    </comment>
    <comment ref="K49" authorId="1">
      <text>
        <r>
          <rPr>
            <sz val="11"/>
            <color indexed="81"/>
            <rFont val="楷体_GB2312"/>
            <charset val="134"/>
          </rPr>
          <t>现房/在建（简单填写进度）/未建</t>
        </r>
        <r>
          <rPr>
            <sz val="9"/>
            <color indexed="81"/>
            <rFont val="宋体"/>
            <family val="3"/>
            <charset val="134"/>
          </rPr>
          <t xml:space="preserve">
</t>
        </r>
      </text>
    </comment>
    <comment ref="K50" authorId="1">
      <text>
        <r>
          <rPr>
            <sz val="11"/>
            <color indexed="81"/>
            <rFont val="楷体_GB2312"/>
            <charset val="134"/>
          </rPr>
          <t>现房/在建（简单填写进度）/未建</t>
        </r>
        <r>
          <rPr>
            <sz val="9"/>
            <color indexed="81"/>
            <rFont val="宋体"/>
            <family val="3"/>
            <charset val="134"/>
          </rPr>
          <t xml:space="preserve">
</t>
        </r>
      </text>
    </comment>
    <comment ref="K51" authorId="1">
      <text>
        <r>
          <rPr>
            <sz val="11"/>
            <color indexed="81"/>
            <rFont val="楷体_GB2312"/>
            <charset val="134"/>
          </rPr>
          <t>现房/在建（简单填写进度）/未建</t>
        </r>
        <r>
          <rPr>
            <sz val="9"/>
            <color indexed="81"/>
            <rFont val="宋体"/>
            <family val="3"/>
            <charset val="134"/>
          </rPr>
          <t xml:space="preserve">
</t>
        </r>
      </text>
    </comment>
    <comment ref="K52" authorId="1">
      <text>
        <r>
          <rPr>
            <sz val="11"/>
            <color indexed="81"/>
            <rFont val="楷体_GB2312"/>
            <charset val="134"/>
          </rPr>
          <t>现房/在建（简单填写进度）/未建</t>
        </r>
        <r>
          <rPr>
            <sz val="9"/>
            <color indexed="81"/>
            <rFont val="宋体"/>
            <family val="3"/>
            <charset val="134"/>
          </rPr>
          <t xml:space="preserve">
</t>
        </r>
      </text>
    </comment>
    <comment ref="K53" authorId="1">
      <text>
        <r>
          <rPr>
            <sz val="11"/>
            <color indexed="81"/>
            <rFont val="楷体_GB2312"/>
            <charset val="134"/>
          </rPr>
          <t>现房/在建（简单填写进度）/未建</t>
        </r>
        <r>
          <rPr>
            <sz val="9"/>
            <color indexed="81"/>
            <rFont val="宋体"/>
            <family val="3"/>
            <charset val="134"/>
          </rPr>
          <t xml:space="preserve">
</t>
        </r>
      </text>
    </comment>
    <comment ref="K54" authorId="1">
      <text>
        <r>
          <rPr>
            <sz val="11"/>
            <color indexed="81"/>
            <rFont val="楷体_GB2312"/>
            <charset val="134"/>
          </rPr>
          <t>现房/在建（简单填写进度）/未建</t>
        </r>
        <r>
          <rPr>
            <sz val="9"/>
            <color indexed="81"/>
            <rFont val="宋体"/>
            <family val="3"/>
            <charset val="134"/>
          </rPr>
          <t xml:space="preserve">
</t>
        </r>
      </text>
    </comment>
    <comment ref="K55" authorId="1">
      <text>
        <r>
          <rPr>
            <sz val="11"/>
            <color indexed="81"/>
            <rFont val="楷体_GB2312"/>
            <charset val="134"/>
          </rPr>
          <t>现房/在建（简单填写进度）/未建</t>
        </r>
        <r>
          <rPr>
            <sz val="9"/>
            <color indexed="81"/>
            <rFont val="宋体"/>
            <family val="3"/>
            <charset val="134"/>
          </rPr>
          <t xml:space="preserve">
</t>
        </r>
      </text>
    </comment>
    <comment ref="K56" authorId="1">
      <text>
        <r>
          <rPr>
            <sz val="11"/>
            <color indexed="81"/>
            <rFont val="楷体_GB2312"/>
            <charset val="134"/>
          </rPr>
          <t>现房/在建（简单填写进度）/未建</t>
        </r>
        <r>
          <rPr>
            <sz val="9"/>
            <color indexed="81"/>
            <rFont val="宋体"/>
            <family val="3"/>
            <charset val="134"/>
          </rPr>
          <t xml:space="preserve">
</t>
        </r>
      </text>
    </comment>
    <comment ref="K57" authorId="1">
      <text>
        <r>
          <rPr>
            <sz val="11"/>
            <color indexed="81"/>
            <rFont val="楷体_GB2312"/>
            <charset val="134"/>
          </rPr>
          <t>现房/在建（简单填写进度）/未建</t>
        </r>
        <r>
          <rPr>
            <sz val="9"/>
            <color indexed="81"/>
            <rFont val="宋体"/>
            <family val="3"/>
            <charset val="134"/>
          </rPr>
          <t xml:space="preserve">
</t>
        </r>
      </text>
    </comment>
    <comment ref="K58" authorId="1">
      <text>
        <r>
          <rPr>
            <sz val="11"/>
            <color indexed="81"/>
            <rFont val="楷体_GB2312"/>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rgb="FF000000"/>
            <rFont val="宋体"/>
            <family val="3"/>
            <charset val="134"/>
          </rPr>
          <t>依《国土证》或《不动产证》录入</t>
        </r>
        <r>
          <rPr>
            <sz val="9"/>
            <color rgb="FF000000"/>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<sst xmlns="http://schemas.openxmlformats.org/spreadsheetml/2006/main" count="7247" uniqueCount="3276">
  <si>
    <t>土地使用权证号</t>
    <phoneticPr fontId="3" type="noConversion"/>
  </si>
  <si>
    <t>——</t>
    <phoneticPr fontId="1" type="noConversion"/>
  </si>
  <si>
    <t>——</t>
    <phoneticPr fontId="1" type="noConversion"/>
  </si>
  <si>
    <t>——</t>
    <phoneticPr fontId="1" type="noConversion"/>
  </si>
  <si>
    <t>建筑面积依据</t>
    <phoneticPr fontId="3" type="noConversion"/>
  </si>
  <si>
    <t>建设内容/楼号</t>
    <phoneticPr fontId="3" type="noConversion"/>
  </si>
  <si>
    <t>——</t>
    <phoneticPr fontId="12" type="noConversion"/>
  </si>
  <si>
    <t>3</t>
    <phoneticPr fontId="1" type="noConversion"/>
  </si>
  <si>
    <t>100/</t>
    <phoneticPr fontId="1" type="noConversion"/>
  </si>
  <si>
    <t>——</t>
    <phoneticPr fontId="1" type="noConversion"/>
  </si>
  <si>
    <t>100/</t>
    <phoneticPr fontId="1" type="noConversion"/>
  </si>
  <si>
    <t>100/</t>
    <phoneticPr fontId="1" type="noConversion"/>
  </si>
  <si>
    <t>——</t>
    <phoneticPr fontId="12" type="noConversion"/>
  </si>
  <si>
    <t>100/</t>
    <phoneticPr fontId="1" type="noConversion"/>
  </si>
  <si>
    <t>-</t>
    <phoneticPr fontId="24" type="noConversion"/>
  </si>
  <si>
    <t>-</t>
    <phoneticPr fontId="24" type="noConversion"/>
  </si>
  <si>
    <t>-</t>
    <phoneticPr fontId="24" type="noConversion"/>
  </si>
  <si>
    <t>-</t>
    <phoneticPr fontId="24" type="noConversion"/>
  </si>
  <si>
    <t>-</t>
    <phoneticPr fontId="24" type="noConversion"/>
  </si>
  <si>
    <t>——</t>
    <phoneticPr fontId="31" type="noConversion"/>
  </si>
  <si>
    <t>——</t>
    <phoneticPr fontId="19" type="noConversion"/>
  </si>
  <si>
    <t>——</t>
    <phoneticPr fontId="6"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</si>
  <si>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</si>
  <si>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</si>
  <si>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</si>
  <si>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</si>
  <si>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</si>
  <si>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</si>
  <si>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</si>
  <si>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</si>
  <si>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</si>
  <si>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</si>
  <si>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</si>
  <si>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</si>
  <si>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</si>
  <si>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</si>
  <si>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5" type="noConversion"/>
  </si>
  <si>
    <t>地下公共配套设施</t>
    <phoneticPr fontId="35" type="noConversion"/>
  </si>
  <si>
    <t>地上物业管理用房</t>
    <phoneticPr fontId="35" type="noConversion"/>
  </si>
  <si>
    <t>地下设备及其他</t>
    <phoneticPr fontId="35" type="noConversion"/>
  </si>
  <si>
    <t>分摊土地面积</t>
    <phoneticPr fontId="35" type="noConversion"/>
  </si>
  <si>
    <t>建筑面积</t>
    <phoneticPr fontId="35" type="noConversion"/>
  </si>
  <si>
    <t>面积合计</t>
    <phoneticPr fontId="35" type="noConversion"/>
  </si>
  <si>
    <t>——</t>
    <phoneticPr fontId="7" type="noConversion"/>
  </si>
  <si>
    <t>——</t>
    <phoneticPr fontId="7" type="noConversion"/>
  </si>
  <si>
    <r>
      <rPr>
        <b/>
        <sz val="12"/>
        <color indexed="8"/>
        <rFont val="仿宋_GB2312"/>
        <family val="3"/>
        <charset val="134"/>
      </rPr>
      <t>下拉菜单</t>
    </r>
  </si>
  <si>
    <r>
      <rPr>
        <sz val="11"/>
        <color indexed="8"/>
        <rFont val="仿宋_GB2312"/>
        <family val="3"/>
        <charset val="134"/>
      </rPr>
      <t>黄色底纹单元格</t>
    </r>
    <phoneticPr fontId="27" type="noConversion"/>
  </si>
  <si>
    <r>
      <rPr>
        <b/>
        <sz val="12"/>
        <color indexed="8"/>
        <rFont val="仿宋_GB2312"/>
        <family val="3"/>
        <charset val="134"/>
      </rPr>
      <t>不可更改项</t>
    </r>
    <phoneticPr fontId="1" type="noConversion"/>
  </si>
  <si>
    <r>
      <rPr>
        <sz val="11"/>
        <color indexed="8"/>
        <rFont val="仿宋_GB2312"/>
        <family val="3"/>
        <charset val="134"/>
      </rPr>
      <t>灰色底纹单元格</t>
    </r>
    <phoneticPr fontId="27" type="noConversion"/>
  </si>
  <si>
    <r>
      <rPr>
        <b/>
        <sz val="12"/>
        <color indexed="13"/>
        <rFont val="仿宋_GB2312"/>
        <family val="3"/>
        <charset val="134"/>
      </rPr>
      <t>错误提示</t>
    </r>
    <phoneticPr fontId="27" type="noConversion"/>
  </si>
  <si>
    <r>
      <rPr>
        <sz val="11"/>
        <color indexed="8"/>
        <rFont val="仿宋_GB2312"/>
        <family val="3"/>
        <charset val="134"/>
      </rPr>
      <t>红色底纹黄色字体</t>
    </r>
    <phoneticPr fontId="27" type="noConversion"/>
  </si>
  <si>
    <r>
      <rPr>
        <b/>
        <sz val="12"/>
        <color indexed="10"/>
        <rFont val="仿宋_GB2312"/>
        <family val="3"/>
        <charset val="134"/>
      </rPr>
      <t>特别提示</t>
    </r>
    <phoneticPr fontId="27" type="noConversion"/>
  </si>
  <si>
    <r>
      <rPr>
        <b/>
        <sz val="12"/>
        <color indexed="8"/>
        <rFont val="仿宋_GB2312"/>
        <family val="3"/>
        <charset val="134"/>
      </rPr>
      <t>关注批注角标</t>
    </r>
    <phoneticPr fontId="27" type="noConversion"/>
  </si>
  <si>
    <r>
      <rPr>
        <sz val="11"/>
        <color indexed="8"/>
        <rFont val="仿宋_GB2312"/>
        <family val="3"/>
        <charset val="134"/>
      </rPr>
      <t>基础表</t>
    </r>
    <phoneticPr fontId="1" type="noConversion"/>
  </si>
  <si>
    <r>
      <rPr>
        <sz val="11"/>
        <color indexed="8"/>
        <rFont val="仿宋_GB2312"/>
        <family val="3"/>
        <charset val="134"/>
      </rPr>
      <t>数据表</t>
    </r>
    <phoneticPr fontId="1" type="noConversion"/>
  </si>
  <si>
    <r>
      <rPr>
        <sz val="11"/>
        <color indexed="8"/>
        <rFont val="仿宋_GB2312"/>
        <family val="3"/>
        <charset val="134"/>
      </rPr>
      <t>汇总表</t>
    </r>
    <phoneticPr fontId="1" type="noConversion"/>
  </si>
  <si>
    <r>
      <rPr>
        <sz val="11"/>
        <color indexed="8"/>
        <rFont val="仿宋_GB2312"/>
        <family val="3"/>
        <charset val="134"/>
      </rPr>
      <t>取费表</t>
    </r>
    <phoneticPr fontId="1" type="noConversion"/>
  </si>
  <si>
    <r>
      <rPr>
        <sz val="11"/>
        <color indexed="8"/>
        <rFont val="仿宋_GB2312"/>
        <family val="3"/>
        <charset val="134"/>
      </rPr>
      <t>房地状况</t>
    </r>
    <phoneticPr fontId="1" type="noConversion"/>
  </si>
  <si>
    <r>
      <rPr>
        <sz val="11"/>
        <color indexed="8"/>
        <rFont val="仿宋_GB2312"/>
        <family val="3"/>
        <charset val="134"/>
      </rPr>
      <t>结果表</t>
    </r>
    <phoneticPr fontId="1" type="noConversion"/>
  </si>
  <si>
    <r>
      <rPr>
        <sz val="11"/>
        <color indexed="8"/>
        <rFont val="仿宋_GB2312"/>
        <family val="3"/>
        <charset val="134"/>
      </rPr>
      <t>方法</t>
    </r>
    <phoneticPr fontId="1" type="noConversion"/>
  </si>
  <si>
    <r>
      <rPr>
        <sz val="11"/>
        <color indexed="8"/>
        <rFont val="仿宋_GB2312"/>
        <family val="3"/>
        <charset val="134"/>
      </rPr>
      <t>成本</t>
    </r>
    <phoneticPr fontId="1" type="noConversion"/>
  </si>
  <si>
    <r>
      <rPr>
        <sz val="11"/>
        <color indexed="8"/>
        <rFont val="仿宋_GB2312"/>
        <family val="3"/>
        <charset val="134"/>
      </rPr>
      <t>假开</t>
    </r>
    <phoneticPr fontId="1" type="noConversion"/>
  </si>
  <si>
    <r>
      <rPr>
        <sz val="11"/>
        <color indexed="8"/>
        <rFont val="仿宋_GB2312"/>
        <family val="3"/>
        <charset val="134"/>
      </rPr>
      <t>收益</t>
    </r>
    <phoneticPr fontId="1" type="noConversion"/>
  </si>
  <si>
    <r>
      <rPr>
        <sz val="11"/>
        <color indexed="8"/>
        <rFont val="仿宋_GB2312"/>
        <family val="3"/>
        <charset val="134"/>
      </rPr>
      <t>比较</t>
    </r>
    <phoneticPr fontId="1" type="noConversion"/>
  </si>
  <si>
    <r>
      <t>5.</t>
    </r>
    <r>
      <rPr>
        <sz val="11"/>
        <color indexed="8"/>
        <rFont val="仿宋_GB2312"/>
        <family val="3"/>
        <charset val="134"/>
      </rPr>
      <t>面积依据不同时，以每部分取得的最新数据文件为依据。</t>
    </r>
    <phoneticPr fontId="1"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</si>
  <si>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7" type="noConversion"/>
  </si>
  <si>
    <r>
      <rPr>
        <b/>
        <sz val="12"/>
        <color indexed="8"/>
        <rFont val="仿宋_GB2312"/>
        <family val="3"/>
        <charset val="134"/>
      </rPr>
      <t>录入项</t>
    </r>
    <phoneticPr fontId="1" type="noConversion"/>
  </si>
  <si>
    <r>
      <rPr>
        <sz val="11"/>
        <color indexed="8"/>
        <rFont val="仿宋_GB2312"/>
        <family val="3"/>
        <charset val="134"/>
      </rPr>
      <t>无底纹单元格</t>
    </r>
    <phoneticPr fontId="27"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</si>
  <si>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7"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</si>
  <si>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1" type="noConversion"/>
  </si>
  <si>
    <r>
      <rPr>
        <sz val="11"/>
        <color indexed="8"/>
        <rFont val="仿宋_GB2312"/>
        <family val="3"/>
        <charset val="134"/>
      </rPr>
      <t>车库</t>
    </r>
    <phoneticPr fontId="12" type="noConversion"/>
  </si>
  <si>
    <r>
      <rPr>
        <sz val="11"/>
        <color indexed="8"/>
        <rFont val="仿宋_GB2312"/>
        <family val="3"/>
        <charset val="134"/>
      </rPr>
      <t>车库</t>
    </r>
    <phoneticPr fontId="12" type="noConversion"/>
  </si>
  <si>
    <r>
      <rPr>
        <sz val="11"/>
        <color indexed="8"/>
        <rFont val="仿宋_GB2312"/>
        <family val="3"/>
        <charset val="134"/>
      </rPr>
      <t>仓储</t>
    </r>
    <phoneticPr fontId="12" type="noConversion"/>
  </si>
  <si>
    <r>
      <rPr>
        <sz val="11"/>
        <color indexed="8"/>
        <rFont val="仿宋_GB2312"/>
        <family val="3"/>
        <charset val="134"/>
      </rPr>
      <t>平层住宅</t>
    </r>
    <phoneticPr fontId="12" type="noConversion"/>
  </si>
  <si>
    <r>
      <rPr>
        <sz val="11"/>
        <color indexed="8"/>
        <rFont val="仿宋_GB2312"/>
        <family val="3"/>
        <charset val="134"/>
      </rPr>
      <t>是</t>
    </r>
    <phoneticPr fontId="12" type="noConversion"/>
  </si>
  <si>
    <r>
      <rPr>
        <sz val="11"/>
        <color indexed="8"/>
        <rFont val="仿宋_GB2312"/>
        <family val="3"/>
        <charset val="134"/>
      </rPr>
      <t>好</t>
    </r>
  </si>
  <si>
    <r>
      <rPr>
        <sz val="11"/>
        <color indexed="8"/>
        <rFont val="仿宋_GB2312"/>
        <family val="3"/>
        <charset val="134"/>
      </rPr>
      <t>多面临街</t>
    </r>
    <phoneticPr fontId="37" type="noConversion"/>
  </si>
  <si>
    <r>
      <rPr>
        <sz val="11"/>
        <color indexed="8"/>
        <rFont val="仿宋_GB2312"/>
        <family val="3"/>
        <charset val="134"/>
      </rPr>
      <t>单位面积地价</t>
    </r>
    <phoneticPr fontId="12" type="noConversion"/>
  </si>
  <si>
    <r>
      <t>LOFT</t>
    </r>
    <r>
      <rPr>
        <sz val="11"/>
        <color indexed="8"/>
        <rFont val="仿宋_GB2312"/>
        <family val="3"/>
        <charset val="134"/>
      </rPr>
      <t>住宅</t>
    </r>
    <phoneticPr fontId="12" type="noConversion"/>
  </si>
  <si>
    <r>
      <rPr>
        <sz val="11"/>
        <color indexed="8"/>
        <rFont val="仿宋_GB2312"/>
        <family val="3"/>
        <charset val="134"/>
      </rPr>
      <t>否</t>
    </r>
    <phoneticPr fontId="12" type="noConversion"/>
  </si>
  <si>
    <r>
      <rPr>
        <sz val="11"/>
        <color indexed="8"/>
        <rFont val="仿宋_GB2312"/>
        <family val="3"/>
        <charset val="134"/>
      </rPr>
      <t>商业</t>
    </r>
    <phoneticPr fontId="12" type="noConversion"/>
  </si>
  <si>
    <r>
      <rPr>
        <sz val="11"/>
        <color indexed="8"/>
        <rFont val="仿宋_GB2312"/>
        <family val="3"/>
        <charset val="134"/>
      </rPr>
      <t>商业</t>
    </r>
    <phoneticPr fontId="12" type="noConversion"/>
  </si>
  <si>
    <r>
      <t>50-60</t>
    </r>
    <r>
      <rPr>
        <sz val="11"/>
        <color indexed="8"/>
        <rFont val="仿宋_GB2312"/>
        <family val="3"/>
        <charset val="134"/>
      </rPr>
      <t>（含）</t>
    </r>
    <phoneticPr fontId="12" type="noConversion"/>
  </si>
  <si>
    <r>
      <rPr>
        <sz val="11"/>
        <color indexed="8"/>
        <rFont val="仿宋_GB2312"/>
        <family val="3"/>
        <charset val="134"/>
      </rPr>
      <t>非经营性</t>
    </r>
    <phoneticPr fontId="12" type="noConversion"/>
  </si>
  <si>
    <r>
      <rPr>
        <sz val="11"/>
        <color indexed="8"/>
        <rFont val="仿宋_GB2312"/>
        <family val="3"/>
        <charset val="134"/>
      </rPr>
      <t>较好</t>
    </r>
  </si>
  <si>
    <r>
      <rPr>
        <sz val="11"/>
        <color indexed="8"/>
        <rFont val="仿宋_GB2312"/>
        <family val="3"/>
        <charset val="134"/>
      </rPr>
      <t>双面临街</t>
    </r>
    <phoneticPr fontId="37" type="noConversion"/>
  </si>
  <si>
    <r>
      <rPr>
        <sz val="11"/>
        <color indexed="8"/>
        <rFont val="仿宋_GB2312"/>
        <family val="3"/>
        <charset val="134"/>
      </rPr>
      <t>楼面地价</t>
    </r>
    <phoneticPr fontId="12" type="noConversion"/>
  </si>
  <si>
    <r>
      <rPr>
        <sz val="11"/>
        <color indexed="8"/>
        <rFont val="仿宋_GB2312"/>
        <family val="3"/>
        <charset val="134"/>
      </rPr>
      <t>普通住宅</t>
    </r>
    <phoneticPr fontId="12" type="noConversion"/>
  </si>
  <si>
    <r>
      <rPr>
        <sz val="11"/>
        <color indexed="8"/>
        <rFont val="仿宋_GB2312"/>
        <family val="3"/>
        <charset val="134"/>
      </rPr>
      <t>地下</t>
    </r>
    <phoneticPr fontId="12" type="noConversion"/>
  </si>
  <si>
    <r>
      <rPr>
        <sz val="11"/>
        <color indexed="8"/>
        <rFont val="仿宋_GB2312"/>
        <family val="3"/>
        <charset val="134"/>
      </rPr>
      <t>办公</t>
    </r>
    <phoneticPr fontId="12" type="noConversion"/>
  </si>
  <si>
    <r>
      <rPr>
        <sz val="11"/>
        <color indexed="8"/>
        <rFont val="仿宋_GB2312"/>
        <family val="3"/>
        <charset val="134"/>
      </rPr>
      <t>办公</t>
    </r>
    <phoneticPr fontId="12" type="noConversion"/>
  </si>
  <si>
    <r>
      <t>40-50</t>
    </r>
    <r>
      <rPr>
        <sz val="11"/>
        <color indexed="8"/>
        <rFont val="仿宋_GB2312"/>
        <family val="3"/>
        <charset val="134"/>
      </rPr>
      <t>（含）</t>
    </r>
    <phoneticPr fontId="12" type="noConversion"/>
  </si>
  <si>
    <r>
      <rPr>
        <sz val="11"/>
        <color indexed="8"/>
        <rFont val="仿宋_GB2312"/>
        <family val="3"/>
        <charset val="134"/>
      </rPr>
      <t>一般</t>
    </r>
  </si>
  <si>
    <r>
      <rPr>
        <sz val="11"/>
        <color indexed="8"/>
        <rFont val="仿宋_GB2312"/>
        <family val="3"/>
        <charset val="134"/>
      </rPr>
      <t>单面临街</t>
    </r>
    <phoneticPr fontId="37" type="noConversion"/>
  </si>
  <si>
    <r>
      <rPr>
        <sz val="11"/>
        <color indexed="8"/>
        <rFont val="仿宋_GB2312"/>
        <family val="3"/>
        <charset val="134"/>
      </rPr>
      <t>公寓</t>
    </r>
    <phoneticPr fontId="12" type="noConversion"/>
  </si>
  <si>
    <r>
      <rPr>
        <sz val="11"/>
        <color indexed="8"/>
        <rFont val="仿宋_GB2312"/>
        <family val="3"/>
        <charset val="134"/>
      </rPr>
      <t>工业</t>
    </r>
    <phoneticPr fontId="12" type="noConversion"/>
  </si>
  <si>
    <r>
      <t>30-40</t>
    </r>
    <r>
      <rPr>
        <sz val="11"/>
        <color indexed="8"/>
        <rFont val="仿宋_GB2312"/>
        <family val="3"/>
        <charset val="134"/>
      </rPr>
      <t>（含）</t>
    </r>
    <phoneticPr fontId="12" type="noConversion"/>
  </si>
  <si>
    <r>
      <rPr>
        <sz val="11"/>
        <color indexed="8"/>
        <rFont val="仿宋_GB2312"/>
        <family val="3"/>
        <charset val="134"/>
      </rPr>
      <t>较差</t>
    </r>
  </si>
  <si>
    <r>
      <rPr>
        <sz val="11"/>
        <color indexed="8"/>
        <rFont val="仿宋_GB2312"/>
        <family val="3"/>
        <charset val="134"/>
      </rPr>
      <t>不临街</t>
    </r>
    <phoneticPr fontId="37" type="noConversion"/>
  </si>
  <si>
    <r>
      <rPr>
        <sz val="11"/>
        <color indexed="8"/>
        <rFont val="仿宋_GB2312"/>
        <family val="3"/>
        <charset val="134"/>
      </rPr>
      <t>洋房</t>
    </r>
    <phoneticPr fontId="12" type="noConversion"/>
  </si>
  <si>
    <r>
      <t>20-30</t>
    </r>
    <r>
      <rPr>
        <sz val="11"/>
        <color indexed="8"/>
        <rFont val="仿宋_GB2312"/>
        <family val="3"/>
        <charset val="134"/>
      </rPr>
      <t>（含）</t>
    </r>
    <phoneticPr fontId="12" type="noConversion"/>
  </si>
  <si>
    <r>
      <rPr>
        <sz val="11"/>
        <color indexed="8"/>
        <rFont val="仿宋_GB2312"/>
        <family val="3"/>
        <charset val="134"/>
      </rPr>
      <t>差</t>
    </r>
  </si>
  <si>
    <r>
      <rPr>
        <sz val="11"/>
        <color indexed="8"/>
        <rFont val="仿宋_GB2312"/>
        <family val="3"/>
        <charset val="134"/>
      </rPr>
      <t>叠拼</t>
    </r>
    <phoneticPr fontId="12" type="noConversion"/>
  </si>
  <si>
    <r>
      <rPr>
        <sz val="11"/>
        <color indexed="8"/>
        <rFont val="仿宋_GB2312"/>
        <family val="3"/>
        <charset val="134"/>
      </rPr>
      <t>成本逼近法</t>
    </r>
    <phoneticPr fontId="12" type="noConversion"/>
  </si>
  <si>
    <r>
      <rPr>
        <sz val="11"/>
        <color indexed="8"/>
        <rFont val="仿宋_GB2312"/>
        <family val="3"/>
        <charset val="134"/>
      </rPr>
      <t>工业</t>
    </r>
    <phoneticPr fontId="12" type="noConversion"/>
  </si>
  <si>
    <r>
      <t>10-20</t>
    </r>
    <r>
      <rPr>
        <sz val="11"/>
        <color indexed="8"/>
        <rFont val="仿宋_GB2312"/>
        <family val="3"/>
        <charset val="134"/>
      </rPr>
      <t>（含）</t>
    </r>
    <phoneticPr fontId="12" type="noConversion"/>
  </si>
  <si>
    <r>
      <rPr>
        <sz val="11"/>
        <color indexed="8"/>
        <rFont val="仿宋_GB2312"/>
        <family val="3"/>
        <charset val="134"/>
      </rPr>
      <t>联排</t>
    </r>
    <phoneticPr fontId="12" type="noConversion"/>
  </si>
  <si>
    <r>
      <rPr>
        <sz val="11"/>
        <color indexed="8"/>
        <rFont val="仿宋_GB2312"/>
        <family val="3"/>
        <charset val="134"/>
      </rPr>
      <t>不动产收益法</t>
    </r>
    <phoneticPr fontId="12" type="noConversion"/>
  </si>
  <si>
    <r>
      <t>0-10</t>
    </r>
    <r>
      <rPr>
        <sz val="11"/>
        <color indexed="8"/>
        <rFont val="仿宋_GB2312"/>
        <family val="3"/>
        <charset val="134"/>
      </rPr>
      <t>（含）</t>
    </r>
    <phoneticPr fontId="12" type="noConversion"/>
  </si>
  <si>
    <r>
      <rPr>
        <sz val="11"/>
        <color indexed="8"/>
        <rFont val="仿宋_GB2312"/>
        <family val="3"/>
        <charset val="134"/>
      </rPr>
      <t>双拼</t>
    </r>
    <phoneticPr fontId="12" type="noConversion"/>
  </si>
  <si>
    <r>
      <rPr>
        <sz val="11"/>
        <color indexed="8"/>
        <rFont val="仿宋_GB2312"/>
        <family val="3"/>
        <charset val="134"/>
      </rPr>
      <t>仓储</t>
    </r>
    <phoneticPr fontId="12" type="noConversion"/>
  </si>
  <si>
    <r>
      <rPr>
        <sz val="11"/>
        <color indexed="8"/>
        <rFont val="仿宋_GB2312"/>
        <family val="3"/>
        <charset val="134"/>
      </rPr>
      <t>独栋</t>
    </r>
    <phoneticPr fontId="12" type="noConversion"/>
  </si>
  <si>
    <r>
      <rPr>
        <sz val="11"/>
        <color indexed="8"/>
        <rFont val="仿宋_GB2312"/>
        <family val="3"/>
        <charset val="134"/>
      </rPr>
      <t>底商</t>
    </r>
    <phoneticPr fontId="12" type="noConversion"/>
  </si>
  <si>
    <r>
      <rPr>
        <sz val="11"/>
        <color indexed="8"/>
        <rFont val="仿宋_GB2312"/>
        <family val="3"/>
        <charset val="134"/>
      </rPr>
      <t>独立商业</t>
    </r>
    <phoneticPr fontId="12" type="noConversion"/>
  </si>
  <si>
    <r>
      <rPr>
        <sz val="11"/>
        <color indexed="8"/>
        <rFont val="仿宋_GB2312"/>
        <family val="3"/>
        <charset val="134"/>
      </rPr>
      <t>商业街</t>
    </r>
    <phoneticPr fontId="12" type="noConversion"/>
  </si>
  <si>
    <r>
      <rPr>
        <sz val="11"/>
        <color indexed="8"/>
        <rFont val="仿宋_GB2312"/>
        <family val="3"/>
        <charset val="134"/>
      </rPr>
      <t>酒店</t>
    </r>
    <phoneticPr fontId="12" type="noConversion"/>
  </si>
  <si>
    <r>
      <rPr>
        <sz val="11"/>
        <color indexed="8"/>
        <rFont val="仿宋_GB2312"/>
        <family val="3"/>
        <charset val="134"/>
      </rPr>
      <t>标准厂房</t>
    </r>
    <phoneticPr fontId="12" type="noConversion"/>
  </si>
  <si>
    <r>
      <rPr>
        <sz val="11"/>
        <color indexed="8"/>
        <rFont val="仿宋_GB2312"/>
        <family val="3"/>
        <charset val="134"/>
      </rPr>
      <t>特殊厂房</t>
    </r>
    <phoneticPr fontId="12" type="noConversion"/>
  </si>
  <si>
    <r>
      <rPr>
        <sz val="11"/>
        <color indexed="8"/>
        <rFont val="仿宋_GB2312"/>
        <family val="3"/>
        <charset val="134"/>
      </rPr>
      <t>办公楼</t>
    </r>
    <phoneticPr fontId="12" type="noConversion"/>
  </si>
  <si>
    <r>
      <rPr>
        <sz val="11"/>
        <color indexed="8"/>
        <rFont val="仿宋_GB2312"/>
        <family val="3"/>
        <charset val="134"/>
      </rPr>
      <t>宿舍</t>
    </r>
    <phoneticPr fontId="12" type="noConversion"/>
  </si>
  <si>
    <r>
      <rPr>
        <sz val="11"/>
        <color indexed="8"/>
        <rFont val="仿宋_GB2312"/>
        <family val="3"/>
        <charset val="134"/>
      </rPr>
      <t>食堂</t>
    </r>
    <phoneticPr fontId="12" type="noConversion"/>
  </si>
  <si>
    <r>
      <rPr>
        <sz val="11"/>
        <color indexed="8"/>
        <rFont val="仿宋_GB2312"/>
        <family val="3"/>
        <charset val="134"/>
      </rPr>
      <t>车库</t>
    </r>
    <phoneticPr fontId="12" type="noConversion"/>
  </si>
  <si>
    <r>
      <rPr>
        <sz val="11"/>
        <color indexed="8"/>
        <rFont val="仿宋_GB2312"/>
        <family val="3"/>
        <charset val="134"/>
      </rPr>
      <t>戊类库房</t>
    </r>
    <phoneticPr fontId="12" type="noConversion"/>
  </si>
  <si>
    <r>
      <rPr>
        <sz val="11"/>
        <color indexed="8"/>
        <rFont val="仿宋_GB2312"/>
        <family val="3"/>
        <charset val="134"/>
      </rPr>
      <t>燃品库房</t>
    </r>
    <phoneticPr fontId="12" type="noConversion"/>
  </si>
  <si>
    <r>
      <rPr>
        <sz val="11"/>
        <color indexed="8"/>
        <rFont val="仿宋_GB2312"/>
        <family val="3"/>
        <charset val="134"/>
      </rPr>
      <t>非燃品库房</t>
    </r>
    <phoneticPr fontId="12" type="noConversion"/>
  </si>
  <si>
    <r>
      <rPr>
        <sz val="11"/>
        <color indexed="8"/>
        <rFont val="仿宋_GB2312"/>
        <family val="3"/>
        <charset val="134"/>
      </rPr>
      <t>限价商品房</t>
    </r>
    <phoneticPr fontId="34" type="noConversion"/>
  </si>
  <si>
    <r>
      <rPr>
        <sz val="11"/>
        <color indexed="8"/>
        <rFont val="仿宋_GB2312"/>
        <family val="3"/>
        <charset val="134"/>
      </rPr>
      <t>自住商品房</t>
    </r>
    <phoneticPr fontId="34" type="noConversion"/>
  </si>
  <si>
    <r>
      <rPr>
        <sz val="11"/>
        <color indexed="8"/>
        <rFont val="仿宋_GB2312"/>
        <family val="3"/>
        <charset val="134"/>
      </rPr>
      <t>地上</t>
    </r>
    <phoneticPr fontId="12" type="noConversion"/>
  </si>
  <si>
    <r>
      <rPr>
        <sz val="11"/>
        <color indexed="8"/>
        <rFont val="仿宋_GB2312"/>
        <family val="3"/>
        <charset val="134"/>
      </rPr>
      <t>住宅</t>
    </r>
    <phoneticPr fontId="12" type="noConversion"/>
  </si>
  <si>
    <r>
      <rPr>
        <sz val="11"/>
        <color indexed="8"/>
        <rFont val="仿宋_GB2312"/>
        <family val="3"/>
        <charset val="134"/>
      </rPr>
      <t>住宅</t>
    </r>
    <phoneticPr fontId="12" type="noConversion"/>
  </si>
  <si>
    <r>
      <t>60-70</t>
    </r>
    <r>
      <rPr>
        <sz val="11"/>
        <color indexed="8"/>
        <rFont val="仿宋_GB2312"/>
        <family val="3"/>
        <charset val="134"/>
      </rPr>
      <t>（含）</t>
    </r>
    <phoneticPr fontId="12" type="noConversion"/>
  </si>
  <si>
    <r>
      <rPr>
        <sz val="11"/>
        <color indexed="8"/>
        <rFont val="仿宋_GB2312"/>
        <family val="3"/>
        <charset val="134"/>
      </rPr>
      <t>经营性</t>
    </r>
    <phoneticPr fontId="12" type="noConversion"/>
  </si>
  <si>
    <r>
      <rPr>
        <sz val="11"/>
        <color indexed="8"/>
        <rFont val="仿宋_GB2312"/>
        <family val="3"/>
        <charset val="134"/>
      </rPr>
      <t>估价方法</t>
    </r>
    <phoneticPr fontId="12" type="noConversion"/>
  </si>
  <si>
    <r>
      <rPr>
        <sz val="11"/>
        <color indexed="8"/>
        <rFont val="仿宋_GB2312"/>
        <family val="3"/>
        <charset val="134"/>
      </rPr>
      <t>判定</t>
    </r>
    <phoneticPr fontId="12" type="noConversion"/>
  </si>
  <si>
    <r>
      <rPr>
        <sz val="11"/>
        <color indexed="8"/>
        <rFont val="仿宋_GB2312"/>
        <family val="3"/>
        <charset val="134"/>
      </rPr>
      <t>位置</t>
    </r>
    <phoneticPr fontId="12" type="noConversion"/>
  </si>
  <si>
    <r>
      <rPr>
        <sz val="11"/>
        <color indexed="8"/>
        <rFont val="仿宋_GB2312"/>
        <family val="3"/>
        <charset val="134"/>
      </rPr>
      <t>主用途</t>
    </r>
    <phoneticPr fontId="12" type="noConversion"/>
  </si>
  <si>
    <r>
      <rPr>
        <sz val="11"/>
        <color indexed="8"/>
        <rFont val="仿宋_GB2312"/>
        <family val="3"/>
        <charset val="134"/>
      </rPr>
      <t>法定最高年限</t>
    </r>
    <phoneticPr fontId="12" type="noConversion"/>
  </si>
  <si>
    <r>
      <rPr>
        <sz val="11"/>
        <color indexed="8"/>
        <rFont val="仿宋_GB2312"/>
        <family val="3"/>
        <charset val="134"/>
      </rPr>
      <t>地类判定</t>
    </r>
    <phoneticPr fontId="12" type="noConversion"/>
  </si>
  <si>
    <r>
      <rPr>
        <sz val="11"/>
        <color indexed="8"/>
        <rFont val="仿宋_GB2312"/>
        <family val="3"/>
        <charset val="134"/>
      </rPr>
      <t>土地年限区间</t>
    </r>
    <phoneticPr fontId="12" type="noConversion"/>
  </si>
  <si>
    <r>
      <rPr>
        <sz val="11"/>
        <color indexed="8"/>
        <rFont val="仿宋_GB2312"/>
        <family val="3"/>
        <charset val="134"/>
      </rPr>
      <t>类别</t>
    </r>
    <phoneticPr fontId="12" type="noConversion"/>
  </si>
  <si>
    <r>
      <rPr>
        <sz val="11"/>
        <color indexed="8"/>
        <rFont val="仿宋_GB2312"/>
        <family val="3"/>
        <charset val="134"/>
      </rPr>
      <t>居住社区成熟度</t>
    </r>
    <phoneticPr fontId="12" type="noConversion"/>
  </si>
  <si>
    <r>
      <rPr>
        <sz val="11"/>
        <color indexed="8"/>
        <rFont val="仿宋_GB2312"/>
        <family val="3"/>
        <charset val="134"/>
      </rPr>
      <t>商业繁华度</t>
    </r>
    <phoneticPr fontId="12" type="noConversion"/>
  </si>
  <si>
    <r>
      <rPr>
        <sz val="11"/>
        <color indexed="8"/>
        <rFont val="仿宋_GB2312"/>
        <family val="3"/>
        <charset val="134"/>
      </rPr>
      <t>办公集聚程度</t>
    </r>
    <phoneticPr fontId="12" type="noConversion"/>
  </si>
  <si>
    <r>
      <rPr>
        <sz val="11"/>
        <color indexed="8"/>
        <rFont val="仿宋_GB2312"/>
        <family val="3"/>
        <charset val="134"/>
      </rPr>
      <t>产业集聚程度</t>
    </r>
    <phoneticPr fontId="12" type="noConversion"/>
  </si>
  <si>
    <r>
      <rPr>
        <sz val="11"/>
        <color indexed="8"/>
        <rFont val="仿宋_GB2312"/>
        <family val="3"/>
        <charset val="134"/>
      </rPr>
      <t>交通便捷度</t>
    </r>
    <phoneticPr fontId="12" type="noConversion"/>
  </si>
  <si>
    <r>
      <rPr>
        <sz val="11"/>
        <color indexed="8"/>
        <rFont val="仿宋_GB2312"/>
        <family val="3"/>
        <charset val="134"/>
      </rPr>
      <t>区域土地利用方向</t>
    </r>
    <phoneticPr fontId="37" type="noConversion"/>
  </si>
  <si>
    <r>
      <rPr>
        <sz val="11"/>
        <color indexed="8"/>
        <rFont val="仿宋_GB2312"/>
        <family val="3"/>
        <charset val="134"/>
      </rPr>
      <t>环境质量</t>
    </r>
    <phoneticPr fontId="12" type="noConversion"/>
  </si>
  <si>
    <r>
      <rPr>
        <sz val="11"/>
        <color indexed="8"/>
        <rFont val="仿宋_GB2312"/>
        <family val="3"/>
        <charset val="134"/>
      </rPr>
      <t>临街状况</t>
    </r>
    <phoneticPr fontId="37" type="noConversion"/>
  </si>
  <si>
    <r>
      <rPr>
        <sz val="11"/>
        <color indexed="8"/>
        <rFont val="仿宋_GB2312"/>
        <family val="3"/>
        <charset val="134"/>
      </rPr>
      <t>内部装修维护情况</t>
    </r>
    <phoneticPr fontId="12" type="noConversion"/>
  </si>
  <si>
    <r>
      <rPr>
        <sz val="11"/>
        <color indexed="8"/>
        <rFont val="仿宋_GB2312"/>
        <family val="3"/>
        <charset val="134"/>
      </rPr>
      <t>单价内涵</t>
    </r>
    <phoneticPr fontId="12"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</si>
  <si>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2"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</si>
  <si>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2"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</si>
  <si>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2"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</si>
  <si>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2"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</si>
  <si>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2"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</si>
  <si>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2"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</si>
  <si>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2"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</si>
  <si>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2"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</si>
  <si>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2"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</si>
  <si>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2"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</si>
  <si>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2"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</si>
  <si>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2" type="noConversion"/>
  </si>
  <si>
    <r>
      <rPr>
        <b/>
        <sz val="14"/>
        <color indexed="10"/>
        <rFont val="仿宋_GB2312"/>
        <family val="3"/>
        <charset val="134"/>
      </rPr>
      <t>数据基础表</t>
    </r>
    <phoneticPr fontId="1" type="noConversion"/>
  </si>
  <si>
    <r>
      <rPr>
        <sz val="10"/>
        <color indexed="8"/>
        <rFont val="仿宋_GB2312"/>
        <family val="3"/>
        <charset val="134"/>
      </rPr>
      <t>土地面积</t>
    </r>
    <phoneticPr fontId="1" type="noConversion"/>
  </si>
  <si>
    <r>
      <rPr>
        <sz val="10"/>
        <color indexed="8"/>
        <rFont val="仿宋_GB2312"/>
        <family val="3"/>
        <charset val="134"/>
      </rPr>
      <t>建筑面积</t>
    </r>
    <phoneticPr fontId="1" type="noConversion"/>
  </si>
  <si>
    <r>
      <rPr>
        <sz val="10"/>
        <color indexed="8"/>
        <rFont val="仿宋_GB2312"/>
        <family val="3"/>
        <charset val="134"/>
      </rPr>
      <t>人防是否参与分摊</t>
    </r>
    <phoneticPr fontId="1" type="noConversion"/>
  </si>
  <si>
    <r>
      <rPr>
        <b/>
        <sz val="16"/>
        <color indexed="10"/>
        <rFont val="仿宋_GB2312"/>
        <family val="3"/>
        <charset val="134"/>
      </rPr>
      <t>抵押物清单</t>
    </r>
    <phoneticPr fontId="1" type="noConversion"/>
  </si>
  <si>
    <r>
      <rPr>
        <sz val="10"/>
        <color indexed="8"/>
        <rFont val="仿宋_GB2312"/>
        <family val="3"/>
        <charset val="134"/>
      </rPr>
      <t>测绘分摊土地面积</t>
    </r>
    <phoneticPr fontId="1" type="noConversion"/>
  </si>
  <si>
    <r>
      <rPr>
        <sz val="10"/>
        <color indexed="8"/>
        <rFont val="仿宋_GB2312"/>
        <family val="3"/>
        <charset val="134"/>
      </rPr>
      <t>建筑面积合计</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</si>
  <si>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</si>
  <si>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土地使用权证号</t>
    </r>
    <phoneticPr fontId="3" type="noConversion"/>
  </si>
  <si>
    <r>
      <rPr>
        <sz val="10"/>
        <color indexed="8"/>
        <rFont val="仿宋_GB2312"/>
        <family val="3"/>
        <charset val="134"/>
      </rPr>
      <t>建筑面积依据</t>
    </r>
    <phoneticPr fontId="3"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</si>
  <si>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3" type="noConversion"/>
  </si>
  <si>
    <r>
      <rPr>
        <sz val="10"/>
        <color indexed="8"/>
        <rFont val="仿宋_GB2312"/>
        <family val="3"/>
        <charset val="134"/>
      </rPr>
      <t>是否为抵押范围</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</si>
  <si>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</si>
  <si>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楼基面积</t>
    </r>
    <phoneticPr fontId="3" type="noConversion"/>
  </si>
  <si>
    <r>
      <rPr>
        <sz val="10"/>
        <color indexed="8"/>
        <rFont val="仿宋_GB2312"/>
        <family val="3"/>
        <charset val="134"/>
      </rPr>
      <t>建筑面积（含人防）</t>
    </r>
    <phoneticPr fontId="3" type="noConversion"/>
  </si>
  <si>
    <r>
      <rPr>
        <sz val="10"/>
        <color indexed="8"/>
        <rFont val="仿宋_GB2312"/>
        <family val="3"/>
        <charset val="134"/>
      </rPr>
      <t>不在估价范围内的项目</t>
    </r>
    <phoneticPr fontId="1" type="noConversion"/>
  </si>
  <si>
    <r>
      <rPr>
        <sz val="10"/>
        <color indexed="8"/>
        <rFont val="仿宋_GB2312"/>
        <family val="3"/>
        <charset val="134"/>
      </rPr>
      <t>土地使用权证号</t>
    </r>
    <phoneticPr fontId="3" type="noConversion"/>
  </si>
  <si>
    <r>
      <rPr>
        <sz val="10"/>
        <color indexed="8"/>
        <rFont val="仿宋_GB2312"/>
        <family val="3"/>
        <charset val="134"/>
      </rPr>
      <t>建筑面积依据</t>
    </r>
    <phoneticPr fontId="3"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</si>
  <si>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3" type="noConversion"/>
  </si>
  <si>
    <r>
      <rPr>
        <sz val="10"/>
        <color indexed="8"/>
        <rFont val="仿宋_GB2312"/>
        <family val="3"/>
        <charset val="134"/>
      </rPr>
      <t>抵押物</t>
    </r>
    <phoneticPr fontId="1" type="noConversion"/>
  </si>
  <si>
    <r>
      <rPr>
        <sz val="10"/>
        <color indexed="8"/>
        <rFont val="仿宋_GB2312"/>
        <family val="3"/>
        <charset val="134"/>
      </rPr>
      <t>合计</t>
    </r>
    <phoneticPr fontId="1"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</si>
  <si>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3"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</si>
  <si>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3" type="noConversion"/>
  </si>
  <si>
    <r>
      <rPr>
        <sz val="10"/>
        <color indexed="8"/>
        <rFont val="仿宋_GB2312"/>
        <family val="3"/>
        <charset val="134"/>
      </rPr>
      <t>文字说明</t>
    </r>
    <phoneticPr fontId="1" type="noConversion"/>
  </si>
  <si>
    <r>
      <rPr>
        <sz val="10"/>
        <color indexed="8"/>
        <rFont val="仿宋_GB2312"/>
        <family val="3"/>
        <charset val="134"/>
      </rPr>
      <t>（分摊）土地面积</t>
    </r>
    <phoneticPr fontId="1" type="noConversion"/>
  </si>
  <si>
    <r>
      <rPr>
        <sz val="10"/>
        <color indexed="8"/>
        <rFont val="仿宋_GB2312"/>
        <family val="3"/>
        <charset val="134"/>
      </rPr>
      <t>建筑面积</t>
    </r>
    <phoneticPr fontId="1" type="noConversion"/>
  </si>
  <si>
    <r>
      <rPr>
        <sz val="10"/>
        <color indexed="8"/>
        <rFont val="仿宋_GB2312"/>
        <family val="3"/>
        <charset val="134"/>
      </rPr>
      <t>小计</t>
    </r>
    <phoneticPr fontId="1" type="noConversion"/>
  </si>
  <si>
    <r>
      <rPr>
        <sz val="10"/>
        <color indexed="8"/>
        <rFont val="仿宋_GB2312"/>
        <family val="3"/>
        <charset val="134"/>
      </rPr>
      <t>地上</t>
    </r>
    <phoneticPr fontId="1" type="noConversion"/>
  </si>
  <si>
    <r>
      <rPr>
        <sz val="10"/>
        <color indexed="8"/>
        <rFont val="仿宋_GB2312"/>
        <family val="3"/>
        <charset val="134"/>
      </rPr>
      <t>地下</t>
    </r>
    <phoneticPr fontId="1" type="noConversion"/>
  </si>
  <si>
    <r>
      <rPr>
        <sz val="10"/>
        <color indexed="8"/>
        <rFont val="仿宋_GB2312"/>
        <family val="3"/>
        <charset val="134"/>
      </rPr>
      <t>地上</t>
    </r>
    <phoneticPr fontId="1" type="noConversion"/>
  </si>
  <si>
    <r>
      <rPr>
        <sz val="10"/>
        <color indexed="8"/>
        <rFont val="仿宋_GB2312"/>
        <family val="3"/>
        <charset val="134"/>
      </rPr>
      <t>地下</t>
    </r>
    <phoneticPr fontId="1" type="noConversion"/>
  </si>
  <si>
    <r>
      <rPr>
        <sz val="10"/>
        <color indexed="8"/>
        <rFont val="仿宋_GB2312"/>
        <family val="3"/>
        <charset val="134"/>
      </rPr>
      <t>小计</t>
    </r>
    <phoneticPr fontId="1"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</si>
  <si>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1" type="noConversion"/>
  </si>
  <si>
    <r>
      <rPr>
        <sz val="10"/>
        <color indexed="8"/>
        <rFont val="仿宋_GB2312"/>
        <family val="3"/>
        <charset val="134"/>
      </rPr>
      <t>合计</t>
    </r>
    <phoneticPr fontId="1" type="noConversion"/>
  </si>
  <si>
    <r>
      <rPr>
        <sz val="10"/>
        <color indexed="8"/>
        <rFont val="仿宋_GB2312"/>
        <family val="3"/>
        <charset val="134"/>
      </rPr>
      <t>经营性用途</t>
    </r>
    <phoneticPr fontId="3" type="noConversion"/>
  </si>
  <si>
    <r>
      <rPr>
        <sz val="10"/>
        <color indexed="8"/>
        <rFont val="仿宋_GB2312"/>
        <family val="3"/>
        <charset val="134"/>
      </rPr>
      <t>非经营性用途</t>
    </r>
    <phoneticPr fontId="3" type="noConversion"/>
  </si>
  <si>
    <r>
      <rPr>
        <sz val="10"/>
        <color indexed="8"/>
        <rFont val="仿宋_GB2312"/>
        <family val="3"/>
        <charset val="134"/>
      </rPr>
      <t>设备及其他</t>
    </r>
    <phoneticPr fontId="1" type="noConversion"/>
  </si>
  <si>
    <r>
      <rPr>
        <sz val="10"/>
        <color indexed="8"/>
        <rFont val="仿宋_GB2312"/>
        <family val="3"/>
        <charset val="134"/>
      </rPr>
      <t>未注明</t>
    </r>
    <phoneticPr fontId="1" type="noConversion"/>
  </si>
  <si>
    <r>
      <rPr>
        <sz val="10"/>
        <color indexed="8"/>
        <rFont val="仿宋_GB2312"/>
        <family val="3"/>
        <charset val="134"/>
      </rPr>
      <t>总值</t>
    </r>
    <phoneticPr fontId="1" type="noConversion"/>
  </si>
  <si>
    <r>
      <rPr>
        <sz val="10"/>
        <color indexed="8"/>
        <rFont val="仿宋_GB2312"/>
        <family val="3"/>
        <charset val="134"/>
      </rPr>
      <t>扣减值</t>
    </r>
    <phoneticPr fontId="1" type="noConversion"/>
  </si>
  <si>
    <r>
      <rPr>
        <b/>
        <sz val="14"/>
        <color indexed="10"/>
        <rFont val="仿宋_GB2312"/>
        <family val="3"/>
        <charset val="134"/>
      </rPr>
      <t>数据汇总表</t>
    </r>
    <phoneticPr fontId="5" type="noConversion"/>
  </si>
  <si>
    <r>
      <rPr>
        <b/>
        <sz val="11"/>
        <color indexed="8"/>
        <rFont val="仿宋_GB2312"/>
        <family val="3"/>
        <charset val="134"/>
      </rPr>
      <t>估价对象</t>
    </r>
    <phoneticPr fontId="5" type="noConversion"/>
  </si>
  <si>
    <r>
      <rPr>
        <b/>
        <sz val="11"/>
        <color indexed="8"/>
        <rFont val="仿宋_GB2312"/>
        <family val="3"/>
        <charset val="134"/>
      </rPr>
      <t>土地面积</t>
    </r>
    <phoneticPr fontId="8" type="noConversion"/>
  </si>
  <si>
    <r>
      <rPr>
        <b/>
        <sz val="11"/>
        <rFont val="仿宋_GB2312"/>
        <family val="3"/>
        <charset val="134"/>
      </rPr>
      <t>建筑面积</t>
    </r>
    <phoneticPr fontId="8" type="noConversion"/>
  </si>
  <si>
    <r>
      <rPr>
        <b/>
        <sz val="11"/>
        <color indexed="8"/>
        <rFont val="仿宋_GB2312"/>
        <family val="3"/>
        <charset val="134"/>
      </rPr>
      <t>面积总计</t>
    </r>
    <phoneticPr fontId="5" type="noConversion"/>
  </si>
  <si>
    <r>
      <t>1.</t>
    </r>
    <r>
      <rPr>
        <sz val="11"/>
        <color indexed="8"/>
        <rFont val="仿宋_GB2312"/>
        <family val="3"/>
        <charset val="134"/>
      </rPr>
      <t>其中：</t>
    </r>
    <phoneticPr fontId="5" type="noConversion"/>
  </si>
  <si>
    <r>
      <rPr>
        <sz val="11"/>
        <color indexed="8"/>
        <rFont val="仿宋_GB2312"/>
        <family val="3"/>
        <charset val="134"/>
      </rPr>
      <t>非住宅</t>
    </r>
    <phoneticPr fontId="5" type="noConversion"/>
  </si>
  <si>
    <r>
      <t>2.</t>
    </r>
    <r>
      <rPr>
        <sz val="11"/>
        <color indexed="8"/>
        <rFont val="仿宋_GB2312"/>
        <family val="3"/>
        <charset val="134"/>
      </rPr>
      <t>其中：</t>
    </r>
    <phoneticPr fontId="5" type="noConversion"/>
  </si>
  <si>
    <r>
      <rPr>
        <sz val="11"/>
        <color indexed="8"/>
        <rFont val="仿宋_GB2312"/>
        <family val="3"/>
        <charset val="134"/>
      </rPr>
      <t>计出让部分</t>
    </r>
    <phoneticPr fontId="8" type="noConversion"/>
  </si>
  <si>
    <r>
      <rPr>
        <sz val="11"/>
        <color indexed="8"/>
        <rFont val="仿宋_GB2312"/>
        <family val="3"/>
        <charset val="134"/>
      </rPr>
      <t>地上经营性用途</t>
    </r>
    <phoneticPr fontId="5" type="noConversion"/>
  </si>
  <si>
    <r>
      <rPr>
        <sz val="11"/>
        <color indexed="8"/>
        <rFont val="仿宋_GB2312"/>
        <family val="3"/>
        <charset val="134"/>
      </rPr>
      <t>地上其他</t>
    </r>
    <phoneticPr fontId="5" type="noConversion"/>
  </si>
  <si>
    <r>
      <rPr>
        <sz val="11"/>
        <color indexed="8"/>
        <rFont val="仿宋_GB2312"/>
        <family val="3"/>
        <charset val="134"/>
      </rPr>
      <t>地下商业</t>
    </r>
    <phoneticPr fontId="5" type="noConversion"/>
  </si>
  <si>
    <r>
      <rPr>
        <sz val="11"/>
        <color indexed="8"/>
        <rFont val="仿宋_GB2312"/>
        <family val="3"/>
        <charset val="134"/>
      </rPr>
      <t>地下仓储</t>
    </r>
    <phoneticPr fontId="5" type="noConversion"/>
  </si>
  <si>
    <r>
      <rPr>
        <sz val="11"/>
        <color indexed="8"/>
        <rFont val="仿宋_GB2312"/>
        <family val="3"/>
        <charset val="134"/>
      </rPr>
      <t>小计</t>
    </r>
    <phoneticPr fontId="5" type="noConversion"/>
  </si>
  <si>
    <r>
      <t>3.</t>
    </r>
    <r>
      <rPr>
        <sz val="11"/>
        <color indexed="8"/>
        <rFont val="仿宋_GB2312"/>
        <family val="3"/>
        <charset val="134"/>
      </rPr>
      <t>其中：</t>
    </r>
    <phoneticPr fontId="8" type="noConversion"/>
  </si>
  <si>
    <r>
      <rPr>
        <sz val="11"/>
        <color indexed="8"/>
        <rFont val="仿宋_GB2312"/>
        <family val="3"/>
        <charset val="134"/>
      </rPr>
      <t>类别</t>
    </r>
    <phoneticPr fontId="5" type="noConversion"/>
  </si>
  <si>
    <r>
      <rPr>
        <b/>
        <sz val="11"/>
        <color indexed="8"/>
        <rFont val="仿宋_GB2312"/>
        <family val="3"/>
        <charset val="134"/>
      </rPr>
      <t>分摊原则：</t>
    </r>
    <phoneticPr fontId="5" type="noConversion"/>
  </si>
  <si>
    <r>
      <rPr>
        <b/>
        <sz val="11"/>
        <color indexed="8"/>
        <rFont val="仿宋_GB2312"/>
        <family val="3"/>
        <charset val="134"/>
      </rPr>
      <t>分摊非经营性用途用房</t>
    </r>
    <phoneticPr fontId="5" type="noConversion"/>
  </si>
  <si>
    <r>
      <rPr>
        <sz val="11"/>
        <rFont val="仿宋_GB2312"/>
        <family val="3"/>
        <charset val="134"/>
      </rPr>
      <t>合计</t>
    </r>
    <phoneticPr fontId="5" type="noConversion"/>
  </si>
  <si>
    <r>
      <rPr>
        <sz val="11"/>
        <color indexed="8"/>
        <rFont val="仿宋_GB2312"/>
        <family val="3"/>
        <charset val="134"/>
      </rPr>
      <t>地上</t>
    </r>
    <phoneticPr fontId="5" type="noConversion"/>
  </si>
  <si>
    <r>
      <rPr>
        <sz val="11"/>
        <color indexed="8"/>
        <rFont val="仿宋_GB2312"/>
        <family val="3"/>
        <charset val="134"/>
      </rPr>
      <t>地下</t>
    </r>
    <phoneticPr fontId="5" type="noConversion"/>
  </si>
  <si>
    <r>
      <rPr>
        <sz val="11"/>
        <color indexed="8"/>
        <rFont val="仿宋_GB2312"/>
        <family val="3"/>
        <charset val="134"/>
      </rPr>
      <t>土地面积</t>
    </r>
    <phoneticPr fontId="5" type="noConversion"/>
  </si>
  <si>
    <r>
      <rPr>
        <sz val="11"/>
        <color indexed="8"/>
        <rFont val="仿宋_GB2312"/>
        <family val="3"/>
        <charset val="134"/>
      </rPr>
      <t>建筑面积</t>
    </r>
    <phoneticPr fontId="5" type="noConversion"/>
  </si>
  <si>
    <r>
      <rPr>
        <sz val="11"/>
        <color indexed="8"/>
        <rFont val="仿宋_GB2312"/>
        <family val="3"/>
        <charset val="134"/>
      </rPr>
      <t>经营性</t>
    </r>
  </si>
  <si>
    <r>
      <rPr>
        <sz val="11"/>
        <color indexed="8"/>
        <rFont val="仿宋_GB2312"/>
        <family val="3"/>
        <charset val="134"/>
      </rPr>
      <t>经营性</t>
    </r>
    <phoneticPr fontId="5" type="noConversion"/>
  </si>
  <si>
    <r>
      <rPr>
        <sz val="11"/>
        <color indexed="8"/>
        <rFont val="仿宋_GB2312"/>
        <family val="3"/>
        <charset val="134"/>
      </rPr>
      <t>非经营性</t>
    </r>
    <phoneticPr fontId="8" type="noConversion"/>
  </si>
  <si>
    <r>
      <rPr>
        <sz val="11"/>
        <color indexed="8"/>
        <rFont val="仿宋_GB2312"/>
        <family val="3"/>
        <charset val="134"/>
      </rPr>
      <t>设备及其他</t>
    </r>
    <phoneticPr fontId="5" type="noConversion"/>
  </si>
  <si>
    <r>
      <rPr>
        <b/>
        <sz val="11"/>
        <color indexed="8"/>
        <rFont val="仿宋_GB2312"/>
        <family val="3"/>
        <charset val="134"/>
      </rPr>
      <t>合计</t>
    </r>
    <phoneticPr fontId="5" type="noConversion"/>
  </si>
  <si>
    <r>
      <rPr>
        <sz val="11"/>
        <color indexed="8"/>
        <rFont val="仿宋_GB2312"/>
        <family val="3"/>
        <charset val="134"/>
      </rPr>
      <t>住宅</t>
    </r>
    <phoneticPr fontId="5" type="noConversion"/>
  </si>
  <si>
    <r>
      <rPr>
        <b/>
        <sz val="11"/>
        <color indexed="8"/>
        <rFont val="仿宋_GB2312"/>
        <family val="3"/>
        <charset val="134"/>
      </rPr>
      <t>建筑面积</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</si>
  <si>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5"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</si>
  <si>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5" type="noConversion"/>
  </si>
  <si>
    <r>
      <rPr>
        <b/>
        <sz val="14"/>
        <color indexed="10"/>
        <rFont val="楷体_GB2312"/>
        <charset val="134"/>
      </rPr>
      <t>数据取费表</t>
    </r>
    <phoneticPr fontId="1" type="noConversion"/>
  </si>
  <si>
    <r>
      <rPr>
        <b/>
        <sz val="11"/>
        <color indexed="8"/>
        <rFont val="楷体_GB2312"/>
        <charset val="134"/>
      </rPr>
      <t>价值时点</t>
    </r>
    <r>
      <rPr>
        <b/>
        <sz val="11"/>
        <color indexed="8"/>
        <rFont val="Arial"/>
        <family val="2"/>
      </rPr>
      <t>/</t>
    </r>
    <r>
      <rPr>
        <b/>
        <sz val="11"/>
        <color indexed="8"/>
        <rFont val="楷体_GB2312"/>
        <charset val="134"/>
      </rPr>
      <t>估价期日</t>
    </r>
    <phoneticPr fontId="1" type="noConversion"/>
  </si>
  <si>
    <r>
      <rPr>
        <sz val="11"/>
        <color indexed="8"/>
        <rFont val="楷体_GB2312"/>
        <charset val="134"/>
      </rPr>
      <t>类别</t>
    </r>
    <phoneticPr fontId="1" type="noConversion"/>
  </si>
  <si>
    <r>
      <rPr>
        <sz val="11"/>
        <color indexed="8"/>
        <rFont val="楷体_GB2312"/>
        <charset val="134"/>
      </rPr>
      <t>地类判定</t>
    </r>
    <phoneticPr fontId="1" type="noConversion"/>
  </si>
  <si>
    <r>
      <rPr>
        <sz val="11"/>
        <rFont val="楷体_GB2312"/>
        <charset val="134"/>
      </rPr>
      <t>法定最高</t>
    </r>
    <r>
      <rPr>
        <sz val="11"/>
        <rFont val="Arial"/>
        <family val="2"/>
      </rPr>
      <t>/</t>
    </r>
    <r>
      <rPr>
        <sz val="11"/>
        <rFont val="楷体_GB2312"/>
        <charset val="134"/>
      </rPr>
      <t>出让年限</t>
    </r>
    <phoneticPr fontId="1" type="noConversion"/>
  </si>
  <si>
    <r>
      <rPr>
        <sz val="11"/>
        <color indexed="8"/>
        <rFont val="楷体_GB2312"/>
        <charset val="134"/>
      </rPr>
      <t>终止日期</t>
    </r>
    <phoneticPr fontId="1" type="noConversion"/>
  </si>
  <si>
    <r>
      <rPr>
        <sz val="11"/>
        <color indexed="8"/>
        <rFont val="楷体_GB2312"/>
        <charset val="134"/>
      </rPr>
      <t>剩余土地使用年限</t>
    </r>
    <phoneticPr fontId="1" type="noConversion"/>
  </si>
  <si>
    <r>
      <rPr>
        <sz val="11"/>
        <color indexed="8"/>
        <rFont val="楷体_GB2312"/>
        <charset val="134"/>
      </rPr>
      <t>年期修正系数</t>
    </r>
    <phoneticPr fontId="1" type="noConversion"/>
  </si>
  <si>
    <r>
      <rPr>
        <sz val="11"/>
        <color indexed="8"/>
        <rFont val="楷体_GB2312"/>
        <charset val="134"/>
      </rPr>
      <t>资本化率</t>
    </r>
    <r>
      <rPr>
        <sz val="11"/>
        <color indexed="8"/>
        <rFont val="Arial"/>
        <family val="2"/>
      </rPr>
      <t>-</t>
    </r>
    <r>
      <rPr>
        <sz val="11"/>
        <color indexed="8"/>
        <rFont val="楷体_GB2312"/>
        <charset val="134"/>
      </rPr>
      <t>建筑物</t>
    </r>
    <phoneticPr fontId="1" type="noConversion"/>
  </si>
  <si>
    <r>
      <rPr>
        <sz val="11"/>
        <color indexed="8"/>
        <rFont val="楷体_GB2312"/>
        <charset val="134"/>
      </rPr>
      <t>建筑面积</t>
    </r>
    <phoneticPr fontId="2" type="noConversion"/>
  </si>
  <si>
    <r>
      <rPr>
        <sz val="11"/>
        <color indexed="8"/>
        <rFont val="楷体_GB2312"/>
        <charset val="134"/>
      </rPr>
      <t>单方造价</t>
    </r>
    <phoneticPr fontId="2" type="noConversion"/>
  </si>
  <si>
    <r>
      <rPr>
        <sz val="11"/>
        <color indexed="8"/>
        <rFont val="楷体_GB2312"/>
        <charset val="134"/>
      </rPr>
      <t>建安总额</t>
    </r>
    <phoneticPr fontId="2" type="noConversion"/>
  </si>
  <si>
    <r>
      <rPr>
        <sz val="11"/>
        <color indexed="8"/>
        <rFont val="楷体_GB2312"/>
        <charset val="134"/>
      </rPr>
      <t>在建建安</t>
    </r>
    <phoneticPr fontId="2" type="noConversion"/>
  </si>
  <si>
    <r>
      <rPr>
        <sz val="11"/>
        <color indexed="8"/>
        <rFont val="楷体_GB2312"/>
        <charset val="134"/>
      </rPr>
      <t>续建建安</t>
    </r>
    <phoneticPr fontId="2" type="noConversion"/>
  </si>
  <si>
    <r>
      <rPr>
        <sz val="11"/>
        <color indexed="8"/>
        <rFont val="楷体_GB2312"/>
        <charset val="134"/>
      </rPr>
      <t>利润</t>
    </r>
    <phoneticPr fontId="1" type="noConversion"/>
  </si>
  <si>
    <r>
      <rPr>
        <sz val="11"/>
        <color indexed="8"/>
        <rFont val="楷体_GB2312"/>
        <charset val="134"/>
      </rPr>
      <t>分摊土地面积（经营性）</t>
    </r>
    <phoneticPr fontId="1" type="noConversion"/>
  </si>
  <si>
    <r>
      <rPr>
        <sz val="11"/>
        <color indexed="8"/>
        <rFont val="楷体_GB2312"/>
        <charset val="134"/>
      </rPr>
      <t>总建安（分摊非经营）</t>
    </r>
    <phoneticPr fontId="1" type="noConversion"/>
  </si>
  <si>
    <r>
      <rPr>
        <sz val="11"/>
        <color indexed="8"/>
        <rFont val="楷体_GB2312"/>
        <charset val="134"/>
      </rPr>
      <t>租金</t>
    </r>
    <phoneticPr fontId="1" type="noConversion"/>
  </si>
  <si>
    <r>
      <rPr>
        <sz val="11"/>
        <color indexed="8"/>
        <rFont val="楷体_GB2312"/>
        <charset val="134"/>
      </rPr>
      <t>年租金增长率</t>
    </r>
    <phoneticPr fontId="1" type="noConversion"/>
  </si>
  <si>
    <r>
      <rPr>
        <sz val="11"/>
        <color indexed="8"/>
        <rFont val="楷体_GB2312"/>
        <charset val="134"/>
      </rPr>
      <t>空置率</t>
    </r>
    <phoneticPr fontId="1" type="noConversion"/>
  </si>
  <si>
    <r>
      <rPr>
        <sz val="11"/>
        <color indexed="8"/>
        <rFont val="楷体_GB2312"/>
        <charset val="134"/>
      </rPr>
      <t>成新度</t>
    </r>
    <phoneticPr fontId="1" type="noConversion"/>
  </si>
  <si>
    <r>
      <rPr>
        <sz val="11"/>
        <color indexed="8"/>
        <rFont val="楷体_GB2312"/>
        <charset val="134"/>
      </rPr>
      <t>租金</t>
    </r>
    <phoneticPr fontId="1" type="noConversion"/>
  </si>
  <si>
    <r>
      <rPr>
        <sz val="11"/>
        <color indexed="8"/>
        <rFont val="楷体_GB2312"/>
        <charset val="134"/>
      </rPr>
      <t>剩余租赁期</t>
    </r>
    <phoneticPr fontId="1" type="noConversion"/>
  </si>
  <si>
    <r>
      <rPr>
        <sz val="11"/>
        <color indexed="8"/>
        <rFont val="楷体_GB2312"/>
        <charset val="134"/>
      </rPr>
      <t>租赁期外收益期</t>
    </r>
    <phoneticPr fontId="1" type="noConversion"/>
  </si>
  <si>
    <r>
      <rPr>
        <sz val="11"/>
        <color indexed="8"/>
        <rFont val="楷体_GB2312"/>
        <charset val="134"/>
      </rPr>
      <t>房产税</t>
    </r>
    <r>
      <rPr>
        <sz val="11"/>
        <color indexed="8"/>
        <rFont val="Arial"/>
        <family val="2"/>
      </rPr>
      <t>-</t>
    </r>
    <r>
      <rPr>
        <sz val="11"/>
        <color indexed="8"/>
        <rFont val="楷体_GB2312"/>
        <charset val="134"/>
      </rPr>
      <t>按票据</t>
    </r>
    <phoneticPr fontId="1" type="noConversion"/>
  </si>
  <si>
    <r>
      <rPr>
        <sz val="11"/>
        <color indexed="8"/>
        <rFont val="楷体_GB2312"/>
        <charset val="134"/>
      </rPr>
      <t>维修费率</t>
    </r>
    <phoneticPr fontId="1" type="noConversion"/>
  </si>
  <si>
    <r>
      <rPr>
        <sz val="11"/>
        <color indexed="8"/>
        <rFont val="楷体_GB2312"/>
        <charset val="134"/>
      </rPr>
      <t>保险费率</t>
    </r>
    <phoneticPr fontId="1" type="noConversion"/>
  </si>
  <si>
    <r>
      <rPr>
        <sz val="11"/>
        <color indexed="8"/>
        <rFont val="楷体_GB2312"/>
        <charset val="134"/>
      </rPr>
      <t>管理费率</t>
    </r>
    <phoneticPr fontId="1" type="noConversion"/>
  </si>
  <si>
    <r>
      <rPr>
        <b/>
        <sz val="11"/>
        <color indexed="8"/>
        <rFont val="楷体_GB2312"/>
        <charset val="134"/>
      </rPr>
      <t>合计</t>
    </r>
    <phoneticPr fontId="2" type="noConversion"/>
  </si>
  <si>
    <r>
      <rPr>
        <b/>
        <sz val="11"/>
        <color indexed="8"/>
        <rFont val="楷体_GB2312"/>
        <charset val="134"/>
      </rPr>
      <t>开发期</t>
    </r>
    <phoneticPr fontId="1" type="noConversion"/>
  </si>
  <si>
    <r>
      <rPr>
        <sz val="11"/>
        <rFont val="楷体_GB2312"/>
        <charset val="134"/>
      </rPr>
      <t>土地开发期</t>
    </r>
  </si>
  <si>
    <r>
      <rPr>
        <sz val="11"/>
        <rFont val="楷体_GB2312"/>
        <charset val="134"/>
      </rPr>
      <t>建设期</t>
    </r>
    <phoneticPr fontId="2" type="noConversion"/>
  </si>
  <si>
    <r>
      <rPr>
        <sz val="11"/>
        <color indexed="8"/>
        <rFont val="楷体_GB2312"/>
        <charset val="134"/>
      </rPr>
      <t>已建工期</t>
    </r>
    <phoneticPr fontId="2" type="noConversion"/>
  </si>
  <si>
    <r>
      <rPr>
        <sz val="11"/>
        <rFont val="楷体_GB2312"/>
        <charset val="134"/>
      </rPr>
      <t>项目开发期</t>
    </r>
    <phoneticPr fontId="2" type="noConversion"/>
  </si>
  <si>
    <r>
      <rPr>
        <sz val="11"/>
        <color indexed="8"/>
        <rFont val="楷体_GB2312"/>
        <charset val="134"/>
      </rPr>
      <t>项目已运行</t>
    </r>
    <phoneticPr fontId="2" type="noConversion"/>
  </si>
  <si>
    <r>
      <rPr>
        <sz val="11"/>
        <rFont val="楷体_GB2312"/>
        <charset val="134"/>
      </rPr>
      <t>续建工期</t>
    </r>
    <phoneticPr fontId="2" type="noConversion"/>
  </si>
  <si>
    <r>
      <rPr>
        <b/>
        <sz val="11"/>
        <color indexed="8"/>
        <rFont val="楷体_GB2312"/>
        <charset val="134"/>
      </rPr>
      <t>其他取费</t>
    </r>
    <phoneticPr fontId="1" type="noConversion"/>
  </si>
  <si>
    <r>
      <rPr>
        <sz val="11"/>
        <color indexed="8"/>
        <rFont val="楷体_GB2312"/>
        <charset val="134"/>
      </rPr>
      <t>取值</t>
    </r>
    <phoneticPr fontId="1" type="noConversion"/>
  </si>
  <si>
    <r>
      <rPr>
        <sz val="11"/>
        <color indexed="8"/>
        <rFont val="楷体_GB2312"/>
        <charset val="134"/>
      </rPr>
      <t>备注</t>
    </r>
    <phoneticPr fontId="1" type="noConversion"/>
  </si>
  <si>
    <r>
      <rPr>
        <sz val="11"/>
        <color indexed="8"/>
        <rFont val="楷体_GB2312"/>
        <charset val="134"/>
      </rPr>
      <t>红线外市政基础设施（总）</t>
    </r>
    <phoneticPr fontId="1" type="noConversion"/>
  </si>
  <si>
    <r>
      <rPr>
        <sz val="11"/>
        <color indexed="8"/>
        <rFont val="楷体_GB2312"/>
        <charset val="134"/>
      </rPr>
      <t>红线外市政基础设施（现状）</t>
    </r>
    <phoneticPr fontId="1" type="noConversion"/>
  </si>
  <si>
    <r>
      <rPr>
        <sz val="11"/>
        <color indexed="8"/>
        <rFont val="楷体_GB2312"/>
        <charset val="134"/>
      </rPr>
      <t>红线外市政基础设施（待完成）</t>
    </r>
    <phoneticPr fontId="1" type="noConversion"/>
  </si>
  <si>
    <r>
      <rPr>
        <sz val="11"/>
        <color indexed="8"/>
        <rFont val="楷体_GB2312"/>
        <charset val="134"/>
      </rPr>
      <t>红线内市政基础设施</t>
    </r>
    <phoneticPr fontId="1" type="noConversion"/>
  </si>
  <si>
    <r>
      <rPr>
        <sz val="11"/>
        <color indexed="8"/>
        <rFont val="楷体_GB2312"/>
        <charset val="134"/>
      </rPr>
      <t>建造成本中相关税费</t>
    </r>
    <phoneticPr fontId="1" type="noConversion"/>
  </si>
  <si>
    <r>
      <rPr>
        <sz val="11"/>
        <color indexed="8"/>
        <rFont val="楷体_GB2312"/>
        <charset val="134"/>
      </rPr>
      <t>勘察设计和前期工程费</t>
    </r>
    <phoneticPr fontId="1" type="noConversion"/>
  </si>
  <si>
    <r>
      <rPr>
        <sz val="11"/>
        <color indexed="8"/>
        <rFont val="楷体_GB2312"/>
        <charset val="134"/>
      </rPr>
      <t>公共配套设施费用</t>
    </r>
    <phoneticPr fontId="1" type="noConversion"/>
  </si>
  <si>
    <r>
      <rPr>
        <sz val="11"/>
        <color indexed="8"/>
        <rFont val="楷体_GB2312"/>
        <charset val="134"/>
      </rPr>
      <t>管理费用</t>
    </r>
    <phoneticPr fontId="1" type="noConversion"/>
  </si>
  <si>
    <r>
      <rPr>
        <sz val="11"/>
        <color indexed="8"/>
        <rFont val="楷体_GB2312"/>
        <charset val="134"/>
      </rPr>
      <t>销售费用</t>
    </r>
    <phoneticPr fontId="1" type="noConversion"/>
  </si>
  <si>
    <r>
      <rPr>
        <sz val="11"/>
        <color indexed="8"/>
        <rFont val="楷体_GB2312"/>
        <charset val="134"/>
      </rPr>
      <t>销售税费</t>
    </r>
    <r>
      <rPr>
        <sz val="11"/>
        <color indexed="8"/>
        <rFont val="Arial"/>
        <family val="2"/>
      </rPr>
      <t>/</t>
    </r>
    <r>
      <rPr>
        <sz val="11"/>
        <color indexed="8"/>
        <rFont val="楷体_GB2312"/>
        <charset val="134"/>
      </rPr>
      <t>两税两费</t>
    </r>
    <phoneticPr fontId="1" type="noConversion"/>
  </si>
  <si>
    <r>
      <rPr>
        <sz val="11"/>
        <color indexed="8"/>
        <rFont val="楷体_GB2312"/>
        <charset val="134"/>
      </rPr>
      <t>增值税</t>
    </r>
    <phoneticPr fontId="1" type="noConversion"/>
  </si>
  <si>
    <r>
      <rPr>
        <sz val="11"/>
        <color indexed="8"/>
        <rFont val="楷体_GB2312"/>
        <charset val="134"/>
      </rPr>
      <t>附加税合计</t>
    </r>
    <phoneticPr fontId="1" type="noConversion"/>
  </si>
  <si>
    <r>
      <rPr>
        <sz val="11"/>
        <color indexed="8"/>
        <rFont val="楷体_GB2312"/>
        <charset val="134"/>
      </rPr>
      <t>城市维护建设税</t>
    </r>
    <phoneticPr fontId="1" type="noConversion"/>
  </si>
  <si>
    <r>
      <rPr>
        <sz val="11"/>
        <color indexed="8"/>
        <rFont val="楷体_GB2312"/>
        <charset val="134"/>
      </rPr>
      <t>教育费附加</t>
    </r>
    <phoneticPr fontId="1" type="noConversion"/>
  </si>
  <si>
    <r>
      <rPr>
        <sz val="11"/>
        <color indexed="8"/>
        <rFont val="楷体_GB2312"/>
        <charset val="134"/>
      </rPr>
      <t>地方教育费附加</t>
    </r>
    <phoneticPr fontId="1" type="noConversion"/>
  </si>
  <si>
    <r>
      <rPr>
        <sz val="11"/>
        <color indexed="8"/>
        <rFont val="楷体_GB2312"/>
        <charset val="134"/>
      </rPr>
      <t>其他税种</t>
    </r>
    <phoneticPr fontId="1" type="noConversion"/>
  </si>
  <si>
    <r>
      <rPr>
        <sz val="11"/>
        <color indexed="8"/>
        <rFont val="楷体_GB2312"/>
        <charset val="134"/>
      </rPr>
      <t>契税</t>
    </r>
    <phoneticPr fontId="1" type="noConversion"/>
  </si>
  <si>
    <r>
      <rPr>
        <sz val="11"/>
        <color indexed="8"/>
        <rFont val="楷体_GB2312"/>
        <charset val="134"/>
      </rPr>
      <t>印花税</t>
    </r>
    <phoneticPr fontId="1" type="noConversion"/>
  </si>
  <si>
    <r>
      <rPr>
        <sz val="11"/>
        <color indexed="8"/>
        <rFont val="楷体_GB2312"/>
        <charset val="134"/>
      </rPr>
      <t>房产税</t>
    </r>
    <r>
      <rPr>
        <sz val="11"/>
        <color indexed="8"/>
        <rFont val="Arial"/>
        <family val="2"/>
      </rPr>
      <t>-</t>
    </r>
    <r>
      <rPr>
        <sz val="11"/>
        <color indexed="8"/>
        <rFont val="楷体_GB2312"/>
        <charset val="134"/>
      </rPr>
      <t>按原值计税</t>
    </r>
    <phoneticPr fontId="1" type="noConversion"/>
  </si>
  <si>
    <r>
      <rPr>
        <sz val="11"/>
        <color indexed="8"/>
        <rFont val="楷体_GB2312"/>
        <charset val="134"/>
      </rPr>
      <t>房产税</t>
    </r>
    <r>
      <rPr>
        <sz val="11"/>
        <color indexed="8"/>
        <rFont val="Arial"/>
        <family val="2"/>
      </rPr>
      <t>-</t>
    </r>
    <r>
      <rPr>
        <sz val="11"/>
        <color indexed="8"/>
        <rFont val="楷体_GB2312"/>
        <charset val="134"/>
      </rPr>
      <t>按租金计税</t>
    </r>
    <phoneticPr fontId="1" type="noConversion"/>
  </si>
  <si>
    <r>
      <rPr>
        <sz val="11"/>
        <color indexed="8"/>
        <rFont val="楷体_GB2312"/>
        <charset val="134"/>
      </rPr>
      <t>土地使用税</t>
    </r>
    <phoneticPr fontId="1" type="noConversion"/>
  </si>
  <si>
    <r>
      <rPr>
        <sz val="11"/>
        <color indexed="8"/>
        <rFont val="楷体_GB2312"/>
        <charset val="134"/>
      </rPr>
      <t>城镇土地纳税等级分级范围</t>
    </r>
    <phoneticPr fontId="1"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</si>
  <si>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</si>
  <si>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</si>
  <si>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</si>
  <si>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</si>
  <si>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</si>
  <si>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</si>
  <si>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6"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</si>
  <si>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</si>
  <si>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6"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</si>
  <si>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6"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</si>
  <si>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6"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</si>
  <si>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</si>
  <si>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6"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</si>
  <si>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6"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</si>
  <si>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</si>
  <si>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6"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</si>
  <si>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6"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</si>
  <si>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</si>
  <si>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6"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</si>
  <si>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6"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</si>
  <si>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</si>
  <si>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6"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</si>
  <si>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6"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</si>
  <si>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6"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</si>
  <si>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</si>
  <si>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</si>
  <si>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7" type="noConversion"/>
  </si>
  <si>
    <r>
      <rPr>
        <sz val="11"/>
        <color indexed="8"/>
        <rFont val="仿宋_GB2312"/>
        <family val="3"/>
        <charset val="134"/>
      </rPr>
      <t>总价</t>
    </r>
    <phoneticPr fontId="7" type="noConversion"/>
  </si>
  <si>
    <r>
      <rPr>
        <b/>
        <sz val="11"/>
        <color indexed="8"/>
        <rFont val="仿宋_GB2312"/>
        <family val="3"/>
        <charset val="134"/>
      </rPr>
      <t>权重结果</t>
    </r>
    <phoneticPr fontId="7" type="noConversion"/>
  </si>
  <si>
    <r>
      <rPr>
        <sz val="10"/>
        <color indexed="8"/>
        <rFont val="仿宋_GB2312"/>
        <family val="3"/>
        <charset val="134"/>
      </rPr>
      <t>万元</t>
    </r>
    <phoneticPr fontId="6" type="noConversion"/>
  </si>
  <si>
    <r>
      <rPr>
        <sz val="11"/>
        <color indexed="8"/>
        <rFont val="仿宋_GB2312"/>
        <family val="3"/>
        <charset val="134"/>
      </rPr>
      <t>楼面地价</t>
    </r>
    <phoneticPr fontId="7"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</si>
  <si>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7" type="noConversion"/>
  </si>
  <si>
    <r>
      <rPr>
        <sz val="11"/>
        <color indexed="8"/>
        <rFont val="仿宋_GB2312"/>
        <family val="3"/>
        <charset val="134"/>
      </rPr>
      <t>单位面积地价</t>
    </r>
    <phoneticPr fontId="7" type="noConversion"/>
  </si>
  <si>
    <r>
      <rPr>
        <b/>
        <sz val="11"/>
        <color indexed="8"/>
        <rFont val="仿宋_GB2312"/>
        <family val="3"/>
        <charset val="134"/>
      </rPr>
      <t>各方法结果差值</t>
    </r>
    <phoneticPr fontId="6"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</si>
  <si>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6"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</si>
  <si>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6" type="noConversion"/>
  </si>
  <si>
    <r>
      <rPr>
        <sz val="11"/>
        <color indexed="8"/>
        <rFont val="仿宋_GB2312"/>
        <family val="3"/>
        <charset val="134"/>
      </rPr>
      <t>楼面地价</t>
    </r>
  </si>
  <si>
    <r>
      <rPr>
        <sz val="11"/>
        <color indexed="10"/>
        <rFont val="仿宋_GB2312"/>
        <family val="3"/>
        <charset val="134"/>
      </rPr>
      <t>扣减项</t>
    </r>
    <phoneticPr fontId="6" type="noConversion"/>
  </si>
  <si>
    <r>
      <rPr>
        <sz val="11"/>
        <color indexed="10"/>
        <rFont val="仿宋_GB2312"/>
        <family val="3"/>
        <charset val="134"/>
      </rPr>
      <t>面积</t>
    </r>
    <phoneticPr fontId="6" type="noConversion"/>
  </si>
  <si>
    <r>
      <rPr>
        <sz val="11"/>
        <color indexed="10"/>
        <rFont val="仿宋_GB2312"/>
        <family val="3"/>
        <charset val="134"/>
      </rPr>
      <t>单价</t>
    </r>
    <phoneticPr fontId="6" type="noConversion"/>
  </si>
  <si>
    <r>
      <rPr>
        <sz val="11"/>
        <color indexed="10"/>
        <rFont val="仿宋_GB2312"/>
        <family val="3"/>
        <charset val="134"/>
      </rPr>
      <t>总值</t>
    </r>
    <phoneticPr fontId="6" type="noConversion"/>
  </si>
  <si>
    <r>
      <rPr>
        <sz val="11"/>
        <color indexed="10"/>
        <rFont val="仿宋_GB2312"/>
        <family val="3"/>
        <charset val="134"/>
      </rPr>
      <t>合计</t>
    </r>
    <phoneticPr fontId="6" type="noConversion"/>
  </si>
  <si>
    <r>
      <rPr>
        <b/>
        <sz val="11"/>
        <color indexed="8"/>
        <rFont val="仿宋_GB2312"/>
        <family val="3"/>
        <charset val="134"/>
      </rPr>
      <t>土地价格</t>
    </r>
    <phoneticPr fontId="7" type="noConversion"/>
  </si>
  <si>
    <r>
      <rPr>
        <b/>
        <sz val="11"/>
        <color indexed="8"/>
        <rFont val="仿宋_GB2312"/>
        <family val="3"/>
        <charset val="134"/>
      </rPr>
      <t>优先受偿情况</t>
    </r>
    <phoneticPr fontId="6" type="noConversion"/>
  </si>
  <si>
    <r>
      <rPr>
        <sz val="11"/>
        <color indexed="8"/>
        <rFont val="仿宋_GB2312"/>
        <family val="3"/>
        <charset val="134"/>
      </rPr>
      <t>已抵押担保数额</t>
    </r>
    <phoneticPr fontId="6"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</si>
  <si>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7" type="noConversion"/>
  </si>
  <si>
    <r>
      <rPr>
        <sz val="11"/>
        <color indexed="8"/>
        <rFont val="仿宋_GB2312"/>
        <family val="3"/>
        <charset val="134"/>
      </rPr>
      <t>拖欠工程款</t>
    </r>
    <phoneticPr fontId="6" type="noConversion"/>
  </si>
  <si>
    <r>
      <rPr>
        <sz val="11"/>
        <color indexed="8"/>
        <rFont val="仿宋_GB2312"/>
        <family val="3"/>
        <charset val="134"/>
      </rPr>
      <t>其他</t>
    </r>
    <phoneticPr fontId="6" type="noConversion"/>
  </si>
  <si>
    <r>
      <rPr>
        <sz val="11"/>
        <color indexed="8"/>
        <rFont val="仿宋_GB2312"/>
        <family val="3"/>
        <charset val="134"/>
      </rPr>
      <t>补交地价款</t>
    </r>
    <phoneticPr fontId="7" type="noConversion"/>
  </si>
  <si>
    <r>
      <rPr>
        <b/>
        <sz val="11"/>
        <color indexed="8"/>
        <rFont val="仿宋_GB2312"/>
        <family val="3"/>
        <charset val="134"/>
      </rPr>
      <t>补交地价款</t>
    </r>
    <phoneticPr fontId="6" type="noConversion"/>
  </si>
  <si>
    <r>
      <rPr>
        <sz val="11"/>
        <color indexed="10"/>
        <rFont val="仿宋_GB2312"/>
        <family val="3"/>
        <charset val="134"/>
      </rPr>
      <t>单价</t>
    </r>
    <phoneticPr fontId="6" type="noConversion"/>
  </si>
  <si>
    <r>
      <rPr>
        <sz val="11"/>
        <color indexed="10"/>
        <rFont val="仿宋_GB2312"/>
        <family val="3"/>
        <charset val="134"/>
      </rPr>
      <t>税费</t>
    </r>
    <phoneticPr fontId="6" type="noConversion"/>
  </si>
  <si>
    <r>
      <rPr>
        <sz val="11"/>
        <color indexed="10"/>
        <rFont val="仿宋_GB2312"/>
        <family val="3"/>
        <charset val="134"/>
      </rPr>
      <t>总值</t>
    </r>
    <phoneticPr fontId="6" type="noConversion"/>
  </si>
  <si>
    <r>
      <t>(</t>
    </r>
    <r>
      <rPr>
        <sz val="10"/>
        <color indexed="8"/>
        <rFont val="仿宋_GB2312"/>
        <family val="3"/>
        <charset val="134"/>
      </rPr>
      <t>列示计算过程</t>
    </r>
    <r>
      <rPr>
        <sz val="10"/>
        <color indexed="8"/>
        <rFont val="Arial"/>
        <family val="2"/>
      </rPr>
      <t>,</t>
    </r>
    <phoneticPr fontId="7" type="noConversion"/>
  </si>
  <si>
    <r>
      <rPr>
        <sz val="10"/>
        <color indexed="8"/>
        <rFont val="仿宋_GB2312"/>
        <family val="3"/>
        <charset val="134"/>
      </rPr>
      <t>不固定格式</t>
    </r>
    <r>
      <rPr>
        <sz val="10"/>
        <color indexed="8"/>
        <rFont val="Arial"/>
        <family val="2"/>
      </rPr>
      <t>)</t>
    </r>
    <phoneticPr fontId="7"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</si>
  <si>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</si>
  <si>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</si>
  <si>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</si>
  <si>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</si>
  <si>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</si>
  <si>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</si>
  <si>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7" type="noConversion"/>
  </si>
  <si>
    <r>
      <rPr>
        <b/>
        <sz val="12"/>
        <color indexed="8"/>
        <rFont val="仿宋_GB2312"/>
        <family val="3"/>
        <charset val="134"/>
      </rPr>
      <t>总额</t>
    </r>
    <phoneticPr fontId="7" type="noConversion"/>
  </si>
  <si>
    <r>
      <rPr>
        <b/>
        <sz val="12"/>
        <color indexed="8"/>
        <rFont val="仿宋_GB2312"/>
        <family val="3"/>
        <charset val="134"/>
      </rPr>
      <t>楼面地价</t>
    </r>
    <phoneticPr fontId="7" type="noConversion"/>
  </si>
  <si>
    <r>
      <rPr>
        <b/>
        <sz val="12"/>
        <color indexed="8"/>
        <rFont val="仿宋_GB2312"/>
        <family val="3"/>
        <charset val="134"/>
      </rPr>
      <t>单位面积地价</t>
    </r>
    <phoneticPr fontId="7" type="noConversion"/>
  </si>
  <si>
    <r>
      <rPr>
        <b/>
        <sz val="12"/>
        <color indexed="8"/>
        <rFont val="仿宋_GB2312"/>
        <family val="3"/>
        <charset val="134"/>
      </rPr>
      <t>每亩价格</t>
    </r>
    <phoneticPr fontId="7"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</si>
  <si>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</si>
  <si>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</si>
  <si>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</si>
  <si>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</si>
  <si>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</si>
  <si>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6"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</si>
  <si>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</si>
  <si>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1"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</si>
  <si>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6" type="noConversion"/>
  </si>
  <si>
    <r>
      <rPr>
        <b/>
        <sz val="10"/>
        <color indexed="8"/>
        <rFont val="仿宋_GB2312"/>
        <family val="3"/>
        <charset val="134"/>
      </rPr>
      <t>初审意见：</t>
    </r>
    <r>
      <rPr>
        <b/>
        <sz val="10"/>
        <color indexed="8"/>
        <rFont val="Arial"/>
        <family val="2"/>
      </rPr>
      <t xml:space="preserve">      </t>
    </r>
    <phoneticPr fontId="1"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</si>
  <si>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6" type="noConversion"/>
  </si>
  <si>
    <r>
      <rPr>
        <b/>
        <sz val="10"/>
        <color indexed="8"/>
        <rFont val="仿宋_GB2312"/>
        <family val="3"/>
        <charset val="134"/>
      </rPr>
      <t>终审意见：</t>
    </r>
    <r>
      <rPr>
        <b/>
        <sz val="10"/>
        <color indexed="8"/>
        <rFont val="Arial"/>
        <family val="2"/>
      </rPr>
      <t xml:space="preserve">      </t>
    </r>
    <phoneticPr fontId="1" type="noConversion"/>
  </si>
  <si>
    <r>
      <rPr>
        <b/>
        <sz val="14"/>
        <color indexed="10"/>
        <rFont val="仿宋_GB2312"/>
        <family val="3"/>
        <charset val="134"/>
      </rPr>
      <t>抵押净值计算</t>
    </r>
    <phoneticPr fontId="6"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</si>
  <si>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6" type="noConversion"/>
  </si>
  <si>
    <r>
      <rPr>
        <sz val="10"/>
        <color indexed="8"/>
        <rFont val="仿宋_GB2312"/>
        <family val="3"/>
        <charset val="134"/>
      </rPr>
      <t>按评估值的</t>
    </r>
    <phoneticPr fontId="6" type="noConversion"/>
  </si>
  <si>
    <r>
      <rPr>
        <sz val="10"/>
        <color indexed="8"/>
        <rFont val="仿宋_GB2312"/>
        <family val="3"/>
        <charset val="134"/>
      </rPr>
      <t>计算</t>
    </r>
    <phoneticPr fontId="6"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</si>
  <si>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</si>
  <si>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6" type="noConversion"/>
  </si>
  <si>
    <r>
      <rPr>
        <b/>
        <sz val="10"/>
        <color indexed="8"/>
        <rFont val="仿宋_GB2312"/>
        <family val="3"/>
        <charset val="134"/>
      </rPr>
      <t>估价对象基本情况</t>
    </r>
    <phoneticPr fontId="7" type="noConversion"/>
  </si>
  <si>
    <r>
      <rPr>
        <b/>
        <sz val="10"/>
        <color indexed="8"/>
        <rFont val="仿宋_GB2312"/>
        <family val="3"/>
        <charset val="134"/>
      </rPr>
      <t>税（费）种</t>
    </r>
    <phoneticPr fontId="6" type="noConversion"/>
  </si>
  <si>
    <r>
      <rPr>
        <sz val="10"/>
        <color indexed="8"/>
        <rFont val="仿宋_GB2312"/>
        <family val="3"/>
        <charset val="134"/>
      </rPr>
      <t>金额</t>
    </r>
    <phoneticPr fontId="6" type="noConversion"/>
  </si>
  <si>
    <r>
      <rPr>
        <sz val="10"/>
        <color indexed="8"/>
        <rFont val="仿宋_GB2312"/>
        <family val="3"/>
        <charset val="134"/>
      </rPr>
      <t>计算方法</t>
    </r>
    <phoneticPr fontId="6" type="noConversion"/>
  </si>
  <si>
    <r>
      <rPr>
        <b/>
        <sz val="10"/>
        <color indexed="8"/>
        <rFont val="仿宋_GB2312"/>
        <family val="3"/>
        <charset val="134"/>
      </rPr>
      <t>税（费）率</t>
    </r>
    <phoneticPr fontId="6" type="noConversion"/>
  </si>
  <si>
    <r>
      <rPr>
        <sz val="10"/>
        <color indexed="8"/>
        <rFont val="仿宋_GB2312"/>
        <family val="3"/>
        <charset val="134"/>
      </rPr>
      <t>备注</t>
    </r>
    <phoneticPr fontId="6" type="noConversion"/>
  </si>
  <si>
    <r>
      <rPr>
        <b/>
        <sz val="10"/>
        <color indexed="8"/>
        <rFont val="仿宋_GB2312"/>
        <family val="3"/>
        <charset val="134"/>
      </rPr>
      <t>估价对象</t>
    </r>
  </si>
  <si>
    <r>
      <t>1.</t>
    </r>
    <r>
      <rPr>
        <sz val="10"/>
        <color indexed="8"/>
        <rFont val="仿宋_GB2312"/>
        <family val="3"/>
        <charset val="134"/>
      </rPr>
      <t>增值税及附加</t>
    </r>
    <phoneticPr fontId="6" type="noConversion"/>
  </si>
  <si>
    <r>
      <rPr>
        <sz val="10"/>
        <color indexed="10"/>
        <rFont val="仿宋_GB2312"/>
        <family val="3"/>
        <charset val="134"/>
      </rPr>
      <t>属于免缴时请录入面缴类别</t>
    </r>
    <phoneticPr fontId="6"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</si>
  <si>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</si>
  <si>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6"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</si>
  <si>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6" type="noConversion"/>
  </si>
  <si>
    <r>
      <rPr>
        <sz val="10"/>
        <color indexed="8"/>
        <rFont val="仿宋_GB2312"/>
        <family val="3"/>
        <charset val="134"/>
      </rPr>
      <t>免征</t>
    </r>
    <phoneticPr fontId="6" type="noConversion"/>
  </si>
  <si>
    <r>
      <rPr>
        <b/>
        <sz val="10"/>
        <color indexed="8"/>
        <rFont val="仿宋_GB2312"/>
        <family val="3"/>
        <charset val="134"/>
      </rPr>
      <t>评估总值</t>
    </r>
    <phoneticPr fontId="6"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</si>
  <si>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6" type="noConversion"/>
  </si>
  <si>
    <r>
      <rPr>
        <sz val="10"/>
        <color indexed="8"/>
        <rFont val="仿宋_GB2312"/>
        <family val="3"/>
        <charset val="134"/>
      </rPr>
      <t>个体工商户购买的住宅</t>
    </r>
    <phoneticPr fontId="6"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</si>
  <si>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6"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</si>
  <si>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6" type="noConversion"/>
  </si>
  <si>
    <r>
      <rPr>
        <sz val="10"/>
        <color indexed="8"/>
        <rFont val="仿宋_GB2312"/>
        <family val="3"/>
        <charset val="134"/>
      </rPr>
      <t>全额计税</t>
    </r>
    <phoneticPr fontId="6"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</si>
  <si>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</si>
  <si>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</si>
  <si>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</si>
  <si>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</si>
  <si>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</si>
  <si>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6" type="noConversion"/>
  </si>
  <si>
    <r>
      <rPr>
        <sz val="10"/>
        <color indexed="8"/>
        <rFont val="仿宋_GB2312"/>
        <family val="3"/>
        <charset val="134"/>
      </rPr>
      <t>增值税及附加</t>
    </r>
    <phoneticPr fontId="6"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</si>
  <si>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6" type="noConversion"/>
  </si>
  <si>
    <r>
      <rPr>
        <sz val="10"/>
        <color indexed="8"/>
        <rFont val="仿宋_GB2312"/>
        <family val="3"/>
        <charset val="134"/>
      </rPr>
      <t>差额计税</t>
    </r>
    <phoneticPr fontId="6" type="noConversion"/>
  </si>
  <si>
    <r>
      <rPr>
        <sz val="10"/>
        <color indexed="8"/>
        <rFont val="仿宋_GB2312"/>
        <family val="3"/>
        <charset val="134"/>
      </rPr>
      <t>印花税</t>
    </r>
    <phoneticPr fontId="6" type="noConversion"/>
  </si>
  <si>
    <r>
      <t>2.</t>
    </r>
    <r>
      <rPr>
        <sz val="10"/>
        <color indexed="8"/>
        <rFont val="仿宋_GB2312"/>
        <family val="3"/>
        <charset val="134"/>
      </rPr>
      <t>印花税</t>
    </r>
    <phoneticPr fontId="6"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</si>
  <si>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6" type="noConversion"/>
  </si>
  <si>
    <r>
      <rPr>
        <sz val="10"/>
        <color indexed="8"/>
        <rFont val="仿宋_GB2312"/>
        <family val="3"/>
        <charset val="134"/>
      </rPr>
      <t>土地增值税</t>
    </r>
    <phoneticPr fontId="6" type="noConversion"/>
  </si>
  <si>
    <r>
      <t>3.</t>
    </r>
    <r>
      <rPr>
        <sz val="10"/>
        <color indexed="8"/>
        <rFont val="仿宋_GB2312"/>
        <family val="3"/>
        <charset val="134"/>
      </rPr>
      <t>土地增值税</t>
    </r>
    <phoneticPr fontId="6"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</si>
  <si>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6" type="noConversion"/>
  </si>
  <si>
    <r>
      <rPr>
        <sz val="10"/>
        <color indexed="10"/>
        <rFont val="仿宋_GB2312"/>
        <family val="3"/>
        <charset val="134"/>
      </rPr>
      <t>属于免缴时请录入面缴类别</t>
    </r>
    <phoneticPr fontId="6"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</si>
  <si>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6" type="noConversion"/>
  </si>
  <si>
    <r>
      <rPr>
        <sz val="10"/>
        <color indexed="8"/>
        <rFont val="仿宋_GB2312"/>
        <family val="3"/>
        <charset val="134"/>
      </rPr>
      <t>个人住宅</t>
    </r>
    <phoneticPr fontId="6" type="noConversion"/>
  </si>
  <si>
    <r>
      <rPr>
        <sz val="10"/>
        <color indexed="8"/>
        <rFont val="仿宋_GB2312"/>
        <family val="3"/>
        <charset val="134"/>
      </rPr>
      <t>免征</t>
    </r>
    <phoneticPr fontId="6"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</si>
  <si>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</si>
  <si>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6"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</si>
  <si>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6" type="noConversion"/>
  </si>
  <si>
    <r>
      <rPr>
        <sz val="10"/>
        <color indexed="8"/>
        <rFont val="仿宋_GB2312"/>
        <family val="3"/>
        <charset val="134"/>
      </rPr>
      <t>大写</t>
    </r>
  </si>
  <si>
    <r>
      <t>4.</t>
    </r>
    <r>
      <rPr>
        <sz val="10"/>
        <color indexed="8"/>
        <rFont val="仿宋_GB2312"/>
        <family val="3"/>
        <charset val="134"/>
      </rPr>
      <t>个人所得税</t>
    </r>
    <phoneticPr fontId="6" type="noConversion"/>
  </si>
  <si>
    <r>
      <rPr>
        <b/>
        <sz val="10"/>
        <color indexed="8"/>
        <rFont val="仿宋_GB2312"/>
        <family val="3"/>
        <charset val="134"/>
      </rPr>
      <t>销售不动产增值税及附加计算</t>
    </r>
    <phoneticPr fontId="27" type="noConversion"/>
  </si>
  <si>
    <r>
      <rPr>
        <b/>
        <sz val="10"/>
        <rFont val="仿宋_GB2312"/>
        <family val="3"/>
        <charset val="134"/>
      </rPr>
      <t>项目</t>
    </r>
    <phoneticPr fontId="31" type="noConversion"/>
  </si>
  <si>
    <r>
      <rPr>
        <b/>
        <sz val="10"/>
        <rFont val="仿宋_GB2312"/>
        <family val="3"/>
        <charset val="134"/>
      </rPr>
      <t>系数</t>
    </r>
    <phoneticPr fontId="31" type="noConversion"/>
  </si>
  <si>
    <r>
      <rPr>
        <sz val="10"/>
        <color indexed="8"/>
        <rFont val="仿宋_GB2312"/>
        <family val="3"/>
        <charset val="134"/>
      </rPr>
      <t>备注</t>
    </r>
    <phoneticPr fontId="31" type="noConversion"/>
  </si>
  <si>
    <r>
      <rPr>
        <b/>
        <sz val="10"/>
        <rFont val="仿宋_GB2312"/>
        <family val="3"/>
        <charset val="134"/>
      </rPr>
      <t>销售额</t>
    </r>
    <phoneticPr fontId="27" type="noConversion"/>
  </si>
  <si>
    <r>
      <rPr>
        <sz val="10"/>
        <rFont val="仿宋_GB2312"/>
        <family val="3"/>
        <charset val="134"/>
      </rPr>
      <t>全部价款</t>
    </r>
    <phoneticPr fontId="31" type="noConversion"/>
  </si>
  <si>
    <r>
      <rPr>
        <sz val="10"/>
        <rFont val="仿宋_GB2312"/>
        <family val="3"/>
        <charset val="134"/>
      </rPr>
      <t>价外费用</t>
    </r>
    <phoneticPr fontId="27" type="noConversion"/>
  </si>
  <si>
    <r>
      <rPr>
        <b/>
        <sz val="10"/>
        <rFont val="仿宋_GB2312"/>
        <family val="3"/>
        <charset val="134"/>
      </rPr>
      <t>原购房价</t>
    </r>
    <r>
      <rPr>
        <b/>
        <sz val="10"/>
        <rFont val="Arial"/>
        <family val="2"/>
      </rPr>
      <t>/</t>
    </r>
    <r>
      <rPr>
        <b/>
        <sz val="10"/>
        <rFont val="仿宋_GB2312"/>
        <family val="3"/>
        <charset val="134"/>
      </rPr>
      <t>作价</t>
    </r>
    <phoneticPr fontId="31" type="noConversion"/>
  </si>
  <si>
    <r>
      <rPr>
        <b/>
        <sz val="10"/>
        <rFont val="仿宋_GB2312"/>
        <family val="3"/>
        <charset val="134"/>
      </rPr>
      <t>纳税基数</t>
    </r>
    <phoneticPr fontId="31" type="noConversion"/>
  </si>
  <si>
    <r>
      <rPr>
        <b/>
        <sz val="10"/>
        <rFont val="仿宋_GB2312"/>
        <family val="3"/>
        <charset val="134"/>
      </rPr>
      <t>纳税额</t>
    </r>
    <phoneticPr fontId="27" type="noConversion"/>
  </si>
  <si>
    <r>
      <rPr>
        <b/>
        <sz val="10"/>
        <rFont val="仿宋_GB2312"/>
        <family val="3"/>
        <charset val="134"/>
      </rPr>
      <t>土地增值税（转让取得）</t>
    </r>
    <phoneticPr fontId="31" type="noConversion"/>
  </si>
  <si>
    <r>
      <rPr>
        <sz val="10"/>
        <color indexed="8"/>
        <rFont val="仿宋_GB2312"/>
        <family val="3"/>
        <charset val="134"/>
      </rPr>
      <t>备注</t>
    </r>
    <phoneticPr fontId="31" type="noConversion"/>
  </si>
  <si>
    <r>
      <rPr>
        <b/>
        <sz val="10"/>
        <rFont val="仿宋_GB2312"/>
        <family val="3"/>
        <charset val="134"/>
      </rPr>
      <t>转让收入</t>
    </r>
    <phoneticPr fontId="31" type="noConversion"/>
  </si>
  <si>
    <r>
      <rPr>
        <b/>
        <sz val="10"/>
        <color indexed="8"/>
        <rFont val="仿宋_GB2312"/>
        <family val="3"/>
        <charset val="134"/>
      </rPr>
      <t>扣除项合计</t>
    </r>
    <phoneticPr fontId="31" type="noConversion"/>
  </si>
  <si>
    <r>
      <rPr>
        <sz val="10"/>
        <rFont val="仿宋_GB2312"/>
        <family val="3"/>
        <charset val="134"/>
      </rPr>
      <t>原购房价及相关税费</t>
    </r>
    <phoneticPr fontId="31" type="noConversion"/>
  </si>
  <si>
    <r>
      <rPr>
        <sz val="10"/>
        <rFont val="仿宋_GB2312"/>
        <family val="3"/>
        <charset val="134"/>
      </rPr>
      <t>原购房价</t>
    </r>
    <phoneticPr fontId="31" type="noConversion"/>
  </si>
  <si>
    <r>
      <rPr>
        <sz val="11"/>
        <color indexed="8"/>
        <rFont val="仿宋_GB2312"/>
        <family val="3"/>
        <charset val="134"/>
      </rPr>
      <t>原购房价依据</t>
    </r>
    <phoneticPr fontId="27" type="noConversion"/>
  </si>
  <si>
    <r>
      <rPr>
        <sz val="11"/>
        <color indexed="8"/>
        <rFont val="仿宋_GB2312"/>
        <family val="3"/>
        <charset val="134"/>
      </rPr>
      <t>已购年限</t>
    </r>
    <phoneticPr fontId="27" type="noConversion"/>
  </si>
  <si>
    <r>
      <rPr>
        <sz val="10"/>
        <rFont val="仿宋_GB2312"/>
        <family val="3"/>
        <charset val="134"/>
      </rPr>
      <t>加计扣减项</t>
    </r>
    <phoneticPr fontId="27"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</si>
  <si>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1" type="noConversion"/>
  </si>
  <si>
    <r>
      <rPr>
        <sz val="10"/>
        <rFont val="仿宋_GB2312"/>
        <family val="3"/>
        <charset val="134"/>
      </rPr>
      <t>相关税费</t>
    </r>
    <phoneticPr fontId="31" type="noConversion"/>
  </si>
  <si>
    <r>
      <rPr>
        <sz val="10"/>
        <color indexed="8"/>
        <rFont val="仿宋_GB2312"/>
        <family val="3"/>
        <charset val="134"/>
      </rPr>
      <t>含契税及印花税</t>
    </r>
    <phoneticPr fontId="31" type="noConversion"/>
  </si>
  <si>
    <r>
      <rPr>
        <sz val="10"/>
        <rFont val="仿宋_GB2312"/>
        <family val="3"/>
        <charset val="134"/>
      </rPr>
      <t>转让税金支出</t>
    </r>
    <phoneticPr fontId="31" type="noConversion"/>
  </si>
  <si>
    <r>
      <rPr>
        <b/>
        <sz val="10"/>
        <rFont val="仿宋_GB2312"/>
        <family val="3"/>
        <charset val="134"/>
      </rPr>
      <t>增值额</t>
    </r>
    <phoneticPr fontId="31" type="noConversion"/>
  </si>
  <si>
    <r>
      <rPr>
        <b/>
        <sz val="10"/>
        <rFont val="仿宋_GB2312"/>
        <family val="3"/>
        <charset val="134"/>
      </rPr>
      <t>增值额与扣除项比率</t>
    </r>
    <phoneticPr fontId="31" type="noConversion"/>
  </si>
  <si>
    <r>
      <rPr>
        <b/>
        <sz val="10"/>
        <rFont val="仿宋_GB2312"/>
        <family val="3"/>
        <charset val="134"/>
      </rPr>
      <t>应纳增值税税额</t>
    </r>
    <phoneticPr fontId="31" type="noConversion"/>
  </si>
  <si>
    <r>
      <rPr>
        <b/>
        <sz val="10"/>
        <rFont val="仿宋_GB2312"/>
        <family val="3"/>
        <charset val="134"/>
      </rPr>
      <t>土地增值税（自行开发建设）</t>
    </r>
    <phoneticPr fontId="31" type="noConversion"/>
  </si>
  <si>
    <r>
      <rPr>
        <sz val="10"/>
        <rFont val="仿宋_GB2312"/>
        <family val="3"/>
        <charset val="134"/>
      </rPr>
      <t>土地取得成本</t>
    </r>
    <phoneticPr fontId="31" type="noConversion"/>
  </si>
  <si>
    <r>
      <rPr>
        <sz val="10"/>
        <rFont val="仿宋_GB2312"/>
        <family val="3"/>
        <charset val="134"/>
      </rPr>
      <t>土地取得费用</t>
    </r>
    <phoneticPr fontId="31" type="noConversion"/>
  </si>
  <si>
    <r>
      <rPr>
        <sz val="10"/>
        <color indexed="8"/>
        <rFont val="仿宋_GB2312"/>
        <family val="3"/>
        <charset val="134"/>
      </rPr>
      <t>依据出让合同</t>
    </r>
    <phoneticPr fontId="27" type="noConversion"/>
  </si>
  <si>
    <r>
      <rPr>
        <sz val="9"/>
        <color indexed="8"/>
        <rFont val="仿宋_GB2312"/>
        <family val="3"/>
        <charset val="134"/>
      </rPr>
      <t>出让价款内涵：</t>
    </r>
    <phoneticPr fontId="27" type="noConversion"/>
  </si>
  <si>
    <r>
      <rPr>
        <sz val="10"/>
        <color indexed="8"/>
        <rFont val="仿宋_GB2312"/>
        <family val="3"/>
        <charset val="134"/>
      </rPr>
      <t>契税及印花税</t>
    </r>
    <phoneticPr fontId="27" type="noConversion"/>
  </si>
  <si>
    <r>
      <rPr>
        <sz val="10"/>
        <rFont val="仿宋_GB2312"/>
        <family val="3"/>
        <charset val="134"/>
      </rPr>
      <t>土地开发费</t>
    </r>
    <phoneticPr fontId="31" type="noConversion"/>
  </si>
  <si>
    <r>
      <rPr>
        <sz val="10"/>
        <rFont val="仿宋_GB2312"/>
        <family val="3"/>
        <charset val="134"/>
      </rPr>
      <t>建造成本</t>
    </r>
    <phoneticPr fontId="31" type="noConversion"/>
  </si>
  <si>
    <r>
      <rPr>
        <sz val="10"/>
        <color indexed="8"/>
        <rFont val="仿宋_GB2312"/>
        <family val="3"/>
        <charset val="134"/>
      </rPr>
      <t>包括前期工程费、建筑安装工程费、基础设施费和公共配套费等</t>
    </r>
    <phoneticPr fontId="27" type="noConversion"/>
  </si>
  <si>
    <r>
      <rPr>
        <sz val="10"/>
        <rFont val="仿宋_GB2312"/>
        <family val="3"/>
        <charset val="134"/>
      </rPr>
      <t>开发费用扣除</t>
    </r>
    <phoneticPr fontId="31"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</si>
  <si>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7" type="noConversion"/>
  </si>
  <si>
    <r>
      <rPr>
        <sz val="10"/>
        <rFont val="仿宋_GB2312"/>
        <family val="3"/>
        <charset val="134"/>
      </rPr>
      <t>加计扣除金额</t>
    </r>
    <phoneticPr fontId="31" type="noConversion"/>
  </si>
  <si>
    <r>
      <rPr>
        <b/>
        <sz val="16"/>
        <color indexed="10"/>
        <rFont val="仿宋_GB2312"/>
        <family val="3"/>
        <charset val="134"/>
      </rPr>
      <t>剩余法</t>
    </r>
    <phoneticPr fontId="12" type="noConversion"/>
  </si>
  <si>
    <r>
      <rPr>
        <b/>
        <sz val="12"/>
        <rFont val="仿宋_GB2312"/>
        <family val="3"/>
        <charset val="134"/>
      </rPr>
      <t>总价</t>
    </r>
    <phoneticPr fontId="13" type="noConversion"/>
  </si>
  <si>
    <r>
      <rPr>
        <b/>
        <sz val="11"/>
        <rFont val="仿宋_GB2312"/>
        <family val="3"/>
        <charset val="134"/>
      </rPr>
      <t>单位面积地价</t>
    </r>
    <phoneticPr fontId="24"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</si>
  <si>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4" type="noConversion"/>
  </si>
  <si>
    <r>
      <rPr>
        <b/>
        <sz val="11"/>
        <color indexed="8"/>
        <rFont val="仿宋_GB2312"/>
        <family val="3"/>
        <charset val="134"/>
      </rPr>
      <t>序号</t>
    </r>
    <phoneticPr fontId="12" type="noConversion"/>
  </si>
  <si>
    <r>
      <rPr>
        <b/>
        <sz val="11"/>
        <color indexed="8"/>
        <rFont val="仿宋_GB2312"/>
        <family val="3"/>
        <charset val="134"/>
      </rPr>
      <t>项目名称</t>
    </r>
    <phoneticPr fontId="12" type="noConversion"/>
  </si>
  <si>
    <r>
      <rPr>
        <sz val="10"/>
        <color indexed="8"/>
        <rFont val="仿宋_GB2312"/>
        <family val="3"/>
        <charset val="134"/>
      </rPr>
      <t>楼面单价</t>
    </r>
    <phoneticPr fontId="12" type="noConversion"/>
  </si>
  <si>
    <r>
      <rPr>
        <sz val="10"/>
        <color indexed="8"/>
        <rFont val="仿宋_GB2312"/>
        <family val="3"/>
        <charset val="134"/>
      </rPr>
      <t>建筑面积</t>
    </r>
    <phoneticPr fontId="12" type="noConversion"/>
  </si>
  <si>
    <r>
      <rPr>
        <sz val="10"/>
        <color indexed="8"/>
        <rFont val="仿宋_GB2312"/>
        <family val="3"/>
        <charset val="134"/>
      </rPr>
      <t>总额</t>
    </r>
    <phoneticPr fontId="12" type="noConversion"/>
  </si>
  <si>
    <r>
      <rPr>
        <b/>
        <sz val="11"/>
        <color indexed="8"/>
        <rFont val="仿宋_GB2312"/>
        <family val="3"/>
        <charset val="134"/>
      </rPr>
      <t>总额</t>
    </r>
    <phoneticPr fontId="12" type="noConversion"/>
  </si>
  <si>
    <r>
      <rPr>
        <b/>
        <sz val="11"/>
        <color indexed="8"/>
        <rFont val="仿宋_GB2312"/>
        <family val="3"/>
        <charset val="134"/>
      </rPr>
      <t>面积</t>
    </r>
    <phoneticPr fontId="12" type="noConversion"/>
  </si>
  <si>
    <r>
      <rPr>
        <b/>
        <sz val="11"/>
        <color indexed="8"/>
        <rFont val="仿宋_GB2312"/>
        <family val="3"/>
        <charset val="134"/>
      </rPr>
      <t>单价</t>
    </r>
    <phoneticPr fontId="12" type="noConversion"/>
  </si>
  <si>
    <r>
      <rPr>
        <b/>
        <sz val="11"/>
        <color indexed="8"/>
        <rFont val="仿宋_GB2312"/>
        <family val="3"/>
        <charset val="134"/>
      </rPr>
      <t>相关系数</t>
    </r>
    <phoneticPr fontId="12" type="noConversion"/>
  </si>
  <si>
    <r>
      <rPr>
        <sz val="10"/>
        <color indexed="8"/>
        <rFont val="仿宋_GB2312"/>
        <family val="3"/>
        <charset val="134"/>
      </rPr>
      <t>建安费用</t>
    </r>
    <phoneticPr fontId="12" type="noConversion"/>
  </si>
  <si>
    <r>
      <rPr>
        <sz val="10"/>
        <color indexed="8"/>
        <rFont val="仿宋_GB2312"/>
        <family val="3"/>
        <charset val="134"/>
      </rPr>
      <t>勘察设计和前期工程费</t>
    </r>
    <phoneticPr fontId="12" type="noConversion"/>
  </si>
  <si>
    <r>
      <rPr>
        <b/>
        <sz val="11"/>
        <color indexed="8"/>
        <rFont val="仿宋_GB2312"/>
        <family val="3"/>
        <charset val="134"/>
      </rPr>
      <t>以建安费用为基数计取</t>
    </r>
    <phoneticPr fontId="12" type="noConversion"/>
  </si>
  <si>
    <r>
      <rPr>
        <sz val="10"/>
        <color indexed="8"/>
        <rFont val="仿宋_GB2312"/>
        <family val="3"/>
        <charset val="134"/>
      </rPr>
      <t>公共配套设施费用</t>
    </r>
    <phoneticPr fontId="12" type="noConversion"/>
  </si>
  <si>
    <r>
      <rPr>
        <b/>
        <sz val="11"/>
        <color indexed="8"/>
        <rFont val="仿宋_GB2312"/>
        <family val="3"/>
        <charset val="134"/>
      </rPr>
      <t>以住宅用房建安费用为基数计取</t>
    </r>
    <phoneticPr fontId="12" type="noConversion"/>
  </si>
  <si>
    <r>
      <rPr>
        <sz val="10"/>
        <color indexed="8"/>
        <rFont val="仿宋_GB2312"/>
        <family val="3"/>
        <charset val="134"/>
      </rPr>
      <t>红线内市政费用</t>
    </r>
    <phoneticPr fontId="12" type="noConversion"/>
  </si>
  <si>
    <r>
      <rPr>
        <sz val="10"/>
        <color indexed="8"/>
        <rFont val="仿宋_GB2312"/>
        <family val="3"/>
        <charset val="134"/>
      </rPr>
      <t>相关税费</t>
    </r>
    <phoneticPr fontId="12" type="noConversion"/>
  </si>
  <si>
    <r>
      <rPr>
        <sz val="10"/>
        <color indexed="8"/>
        <rFont val="仿宋_GB2312"/>
        <family val="3"/>
        <charset val="134"/>
      </rPr>
      <t>以建安费用为基数计取</t>
    </r>
    <phoneticPr fontId="12" type="noConversion"/>
  </si>
  <si>
    <r>
      <rPr>
        <b/>
        <sz val="11"/>
        <color indexed="8"/>
        <rFont val="仿宋_GB2312"/>
        <family val="3"/>
        <charset val="134"/>
      </rPr>
      <t>房屋建造成本</t>
    </r>
    <phoneticPr fontId="12" type="noConversion"/>
  </si>
  <si>
    <r>
      <rPr>
        <b/>
        <sz val="11"/>
        <color indexed="8"/>
        <rFont val="仿宋_GB2312"/>
        <family val="3"/>
        <charset val="134"/>
      </rPr>
      <t>红线外市政费用（土地开发费用）</t>
    </r>
    <phoneticPr fontId="12" type="noConversion"/>
  </si>
  <si>
    <r>
      <rPr>
        <b/>
        <sz val="11"/>
        <color indexed="8"/>
        <rFont val="仿宋_GB2312"/>
        <family val="3"/>
        <charset val="134"/>
      </rPr>
      <t>按实际情况计取</t>
    </r>
    <phoneticPr fontId="12" type="noConversion"/>
  </si>
  <si>
    <r>
      <rPr>
        <b/>
        <sz val="11"/>
        <color indexed="8"/>
        <rFont val="仿宋_GB2312"/>
        <family val="3"/>
        <charset val="134"/>
      </rPr>
      <t>城市基础设施建设费（行政收费）</t>
    </r>
    <phoneticPr fontId="12" type="noConversion"/>
  </si>
  <si>
    <r>
      <rPr>
        <sz val="10"/>
        <color indexed="8"/>
        <rFont val="仿宋_GB2312"/>
        <family val="3"/>
        <charset val="134"/>
      </rPr>
      <t>住宅</t>
    </r>
    <phoneticPr fontId="12" type="noConversion"/>
  </si>
  <si>
    <r>
      <rPr>
        <sz val="10"/>
        <color indexed="8"/>
        <rFont val="仿宋_GB2312"/>
        <family val="3"/>
        <charset val="134"/>
      </rPr>
      <t>非住宅</t>
    </r>
    <phoneticPr fontId="12" type="noConversion"/>
  </si>
  <si>
    <r>
      <rPr>
        <b/>
        <sz val="11"/>
        <color indexed="8"/>
        <rFont val="仿宋_GB2312"/>
        <family val="3"/>
        <charset val="134"/>
      </rPr>
      <t>管理费用</t>
    </r>
    <phoneticPr fontId="12" type="noConversion"/>
  </si>
  <si>
    <r>
      <rPr>
        <b/>
        <sz val="11"/>
        <color indexed="8"/>
        <rFont val="仿宋_GB2312"/>
        <family val="3"/>
        <charset val="134"/>
      </rPr>
      <t>投资利息</t>
    </r>
    <phoneticPr fontId="12" type="noConversion"/>
  </si>
  <si>
    <r>
      <t>P</t>
    </r>
    <r>
      <rPr>
        <b/>
        <vertAlign val="subscript"/>
        <sz val="11"/>
        <color indexed="8"/>
        <rFont val="仿宋_GB2312"/>
        <family val="3"/>
        <charset val="134"/>
      </rPr>
      <t>土</t>
    </r>
    <phoneticPr fontId="12" type="noConversion"/>
  </si>
  <si>
    <r>
      <rPr>
        <sz val="10"/>
        <color indexed="8"/>
        <rFont val="仿宋_GB2312"/>
        <family val="3"/>
        <charset val="134"/>
      </rPr>
      <t>土地购买价格及购地税费产生的利息</t>
    </r>
    <phoneticPr fontId="12" type="noConversion"/>
  </si>
  <si>
    <r>
      <rPr>
        <b/>
        <sz val="11"/>
        <color indexed="8"/>
        <rFont val="仿宋_GB2312"/>
        <family val="3"/>
        <charset val="134"/>
      </rPr>
      <t>销售税费</t>
    </r>
    <phoneticPr fontId="12"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</si>
  <si>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2"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</si>
  <si>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2" type="noConversion"/>
  </si>
  <si>
    <r>
      <rPr>
        <b/>
        <sz val="11"/>
        <color indexed="8"/>
        <rFont val="仿宋_GB2312"/>
        <family val="3"/>
        <charset val="134"/>
      </rPr>
      <t>开发成本</t>
    </r>
    <phoneticPr fontId="13" type="noConversion"/>
  </si>
  <si>
    <r>
      <rPr>
        <sz val="10"/>
        <color indexed="8"/>
        <rFont val="仿宋_GB2312"/>
        <family val="3"/>
        <charset val="134"/>
      </rPr>
      <t>土地购买价格及购地税费应计的利润</t>
    </r>
    <phoneticPr fontId="12" type="noConversion"/>
  </si>
  <si>
    <r>
      <rPr>
        <b/>
        <sz val="11"/>
        <color indexed="8"/>
        <rFont val="仿宋_GB2312"/>
        <family val="3"/>
        <charset val="134"/>
      </rPr>
      <t>以建安费用为基数计取</t>
    </r>
    <phoneticPr fontId="39" type="noConversion"/>
  </si>
  <si>
    <r>
      <rPr>
        <b/>
        <sz val="11"/>
        <color indexed="8"/>
        <rFont val="仿宋_GB2312"/>
        <family val="3"/>
        <charset val="134"/>
      </rPr>
      <t>以建造成本为基数计取</t>
    </r>
    <phoneticPr fontId="39" type="noConversion"/>
  </si>
  <si>
    <r>
      <rPr>
        <b/>
        <sz val="11"/>
        <color indexed="8"/>
        <rFont val="仿宋_GB2312"/>
        <family val="3"/>
        <charset val="134"/>
      </rPr>
      <t>销售费用</t>
    </r>
    <phoneticPr fontId="12" type="noConversion"/>
  </si>
  <si>
    <r>
      <t>P</t>
    </r>
    <r>
      <rPr>
        <b/>
        <vertAlign val="subscript"/>
        <sz val="10"/>
        <color indexed="8"/>
        <rFont val="仿宋_GB2312"/>
        <family val="3"/>
        <charset val="134"/>
      </rPr>
      <t>建</t>
    </r>
    <phoneticPr fontId="12"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</si>
  <si>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39" type="noConversion"/>
  </si>
  <si>
    <r>
      <t>P</t>
    </r>
    <r>
      <rPr>
        <b/>
        <vertAlign val="subscript"/>
        <sz val="11"/>
        <color indexed="8"/>
        <rFont val="仿宋_GB2312"/>
        <family val="3"/>
        <charset val="134"/>
      </rPr>
      <t>建</t>
    </r>
    <phoneticPr fontId="12"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</si>
  <si>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</si>
  <si>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</si>
  <si>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</si>
  <si>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2" type="noConversion"/>
  </si>
  <si>
    <r>
      <rPr>
        <b/>
        <sz val="11"/>
        <color indexed="8"/>
        <rFont val="仿宋_GB2312"/>
        <family val="3"/>
        <charset val="134"/>
      </rPr>
      <t>建筑物重置价格</t>
    </r>
    <phoneticPr fontId="13" type="noConversion"/>
  </si>
  <si>
    <r>
      <rPr>
        <b/>
        <sz val="11"/>
        <color indexed="8"/>
        <rFont val="仿宋_GB2312"/>
        <family val="3"/>
        <charset val="134"/>
      </rPr>
      <t>成新率</t>
    </r>
    <phoneticPr fontId="13"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</si>
  <si>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3"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</si>
  <si>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1" type="noConversion"/>
  </si>
  <si>
    <r>
      <rPr>
        <b/>
        <sz val="16"/>
        <color indexed="10"/>
        <rFont val="仿宋_GB2312"/>
        <family val="3"/>
        <charset val="134"/>
      </rPr>
      <t>套用比较法</t>
    </r>
    <phoneticPr fontId="1" type="noConversion"/>
  </si>
  <si>
    <r>
      <rPr>
        <b/>
        <sz val="16"/>
        <rFont val="仿宋_GB2312"/>
        <family val="3"/>
        <charset val="134"/>
      </rPr>
      <t>住宅、综合</t>
    </r>
    <phoneticPr fontId="24"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</si>
  <si>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19" type="noConversion"/>
  </si>
  <si>
    <r>
      <rPr>
        <b/>
        <sz val="12"/>
        <rFont val="仿宋_GB2312"/>
        <family val="3"/>
        <charset val="134"/>
      </rPr>
      <t>楼面单价</t>
    </r>
    <phoneticPr fontId="13" type="noConversion"/>
  </si>
  <si>
    <r>
      <rPr>
        <b/>
        <sz val="12"/>
        <rFont val="仿宋_GB2312"/>
        <family val="3"/>
        <charset val="134"/>
      </rPr>
      <t>单位面积地价</t>
    </r>
    <phoneticPr fontId="24" type="noConversion"/>
  </si>
  <si>
    <r>
      <rPr>
        <b/>
        <sz val="11"/>
        <rFont val="仿宋_GB2312"/>
        <family val="3"/>
        <charset val="134"/>
      </rPr>
      <t>比较因素</t>
    </r>
    <phoneticPr fontId="1" type="noConversion"/>
  </si>
  <si>
    <r>
      <rPr>
        <sz val="11"/>
        <rFont val="仿宋_GB2312"/>
        <family val="3"/>
        <charset val="134"/>
      </rPr>
      <t>估价对象</t>
    </r>
    <phoneticPr fontId="1" type="noConversion"/>
  </si>
  <si>
    <r>
      <rPr>
        <sz val="11"/>
        <rFont val="仿宋_GB2312"/>
        <family val="3"/>
        <charset val="134"/>
      </rPr>
      <t>案例</t>
    </r>
    <r>
      <rPr>
        <sz val="11"/>
        <rFont val="Arial"/>
        <family val="2"/>
      </rPr>
      <t>A</t>
    </r>
    <phoneticPr fontId="1" type="noConversion"/>
  </si>
  <si>
    <r>
      <rPr>
        <sz val="11"/>
        <rFont val="仿宋_GB2312"/>
        <family val="3"/>
        <charset val="134"/>
      </rPr>
      <t>案例</t>
    </r>
    <r>
      <rPr>
        <sz val="11"/>
        <rFont val="Arial"/>
        <family val="2"/>
      </rPr>
      <t>B</t>
    </r>
    <phoneticPr fontId="1" type="noConversion"/>
  </si>
  <si>
    <r>
      <rPr>
        <sz val="11"/>
        <rFont val="仿宋_GB2312"/>
        <family val="3"/>
        <charset val="134"/>
      </rPr>
      <t>案例</t>
    </r>
    <r>
      <rPr>
        <sz val="11"/>
        <rFont val="Arial"/>
        <family val="2"/>
      </rPr>
      <t>C</t>
    </r>
    <phoneticPr fontId="1" type="noConversion"/>
  </si>
  <si>
    <r>
      <rPr>
        <sz val="11"/>
        <color indexed="8"/>
        <rFont val="仿宋_GB2312"/>
        <family val="3"/>
        <charset val="134"/>
      </rPr>
      <t>修正幅度</t>
    </r>
    <phoneticPr fontId="1" type="noConversion"/>
  </si>
  <si>
    <r>
      <rPr>
        <sz val="11"/>
        <rFont val="仿宋_GB2312"/>
        <family val="3"/>
        <charset val="134"/>
      </rPr>
      <t>比较因素</t>
    </r>
    <phoneticPr fontId="1" type="noConversion"/>
  </si>
  <si>
    <r>
      <rPr>
        <sz val="11"/>
        <color indexed="8"/>
        <rFont val="仿宋_GB2312"/>
        <family val="3"/>
        <charset val="134"/>
      </rPr>
      <t>系数</t>
    </r>
    <r>
      <rPr>
        <sz val="11"/>
        <color indexed="8"/>
        <rFont val="Arial"/>
        <family val="2"/>
      </rPr>
      <t>%</t>
    </r>
    <phoneticPr fontId="1" type="noConversion"/>
  </si>
  <si>
    <r>
      <rPr>
        <b/>
        <sz val="11"/>
        <color indexed="8"/>
        <rFont val="仿宋_GB2312"/>
        <family val="3"/>
        <charset val="134"/>
      </rPr>
      <t>交易时间</t>
    </r>
    <phoneticPr fontId="1" type="noConversion"/>
  </si>
  <si>
    <r>
      <rPr>
        <sz val="11"/>
        <color indexed="8"/>
        <rFont val="仿宋_GB2312"/>
        <family val="3"/>
        <charset val="134"/>
      </rPr>
      <t>交易时间</t>
    </r>
    <phoneticPr fontId="1" type="noConversion"/>
  </si>
  <si>
    <r>
      <rPr>
        <b/>
        <sz val="11"/>
        <color indexed="8"/>
        <rFont val="仿宋_GB2312"/>
        <family val="3"/>
        <charset val="134"/>
      </rPr>
      <t>交易情况</t>
    </r>
    <phoneticPr fontId="1" type="noConversion"/>
  </si>
  <si>
    <r>
      <rPr>
        <sz val="11"/>
        <color indexed="8"/>
        <rFont val="仿宋_GB2312"/>
        <family val="3"/>
        <charset val="134"/>
      </rPr>
      <t>正常</t>
    </r>
  </si>
  <si>
    <r>
      <rPr>
        <sz val="11"/>
        <color indexed="8"/>
        <rFont val="仿宋_GB2312"/>
        <family val="3"/>
        <charset val="134"/>
      </rPr>
      <t>交易情况</t>
    </r>
    <phoneticPr fontId="1" type="noConversion"/>
  </si>
  <si>
    <r>
      <rPr>
        <sz val="11"/>
        <color indexed="8"/>
        <rFont val="仿宋_GB2312"/>
        <family val="3"/>
        <charset val="134"/>
      </rPr>
      <t>用途</t>
    </r>
    <phoneticPr fontId="1" type="noConversion"/>
  </si>
  <si>
    <r>
      <rPr>
        <sz val="11"/>
        <rFont val="仿宋_GB2312"/>
        <family val="3"/>
        <charset val="134"/>
      </rPr>
      <t>权益状况</t>
    </r>
    <phoneticPr fontId="1" type="noConversion"/>
  </si>
  <si>
    <r>
      <rPr>
        <sz val="11"/>
        <color indexed="8"/>
        <rFont val="仿宋_GB2312"/>
        <family val="3"/>
        <charset val="134"/>
      </rPr>
      <t>权益状况</t>
    </r>
    <phoneticPr fontId="1" type="noConversion"/>
  </si>
  <si>
    <r>
      <rPr>
        <sz val="11"/>
        <color indexed="8"/>
        <rFont val="仿宋_GB2312"/>
        <family val="3"/>
        <charset val="134"/>
      </rPr>
      <t>土地使用年限（年）</t>
    </r>
    <phoneticPr fontId="1" type="noConversion"/>
  </si>
  <si>
    <r>
      <rPr>
        <sz val="11"/>
        <color indexed="8"/>
        <rFont val="仿宋_GB2312"/>
        <family val="3"/>
        <charset val="134"/>
      </rPr>
      <t>容积率</t>
    </r>
    <phoneticPr fontId="1" type="noConversion"/>
  </si>
  <si>
    <r>
      <rPr>
        <b/>
        <sz val="11"/>
        <rFont val="仿宋_GB2312"/>
        <family val="3"/>
        <charset val="134"/>
      </rPr>
      <t>区位状况</t>
    </r>
    <phoneticPr fontId="1" type="noConversion"/>
  </si>
  <si>
    <r>
      <rPr>
        <sz val="11"/>
        <rFont val="仿宋_GB2312"/>
        <family val="3"/>
        <charset val="134"/>
      </rPr>
      <t>区位状况</t>
    </r>
    <phoneticPr fontId="1" type="noConversion"/>
  </si>
  <si>
    <r>
      <rPr>
        <sz val="11"/>
        <color indexed="8"/>
        <rFont val="仿宋_GB2312"/>
        <family val="3"/>
        <charset val="134"/>
      </rPr>
      <t>商业繁华度</t>
    </r>
    <phoneticPr fontId="24" type="noConversion"/>
  </si>
  <si>
    <r>
      <rPr>
        <sz val="11"/>
        <color indexed="8"/>
        <rFont val="仿宋_GB2312"/>
        <family val="3"/>
        <charset val="134"/>
      </rPr>
      <t>办公集聚程度</t>
    </r>
    <phoneticPr fontId="24" type="noConversion"/>
  </si>
  <si>
    <r>
      <rPr>
        <sz val="11"/>
        <color indexed="8"/>
        <rFont val="仿宋_GB2312"/>
        <family val="3"/>
        <charset val="134"/>
      </rPr>
      <t>交通便捷度</t>
    </r>
    <phoneticPr fontId="24" type="noConversion"/>
  </si>
  <si>
    <r>
      <rPr>
        <sz val="11"/>
        <color indexed="8"/>
        <rFont val="仿宋_GB2312"/>
        <family val="3"/>
        <charset val="134"/>
      </rPr>
      <t>区域土地利用方向</t>
    </r>
    <phoneticPr fontId="24" type="noConversion"/>
  </si>
  <si>
    <r>
      <rPr>
        <sz val="11"/>
        <color indexed="8"/>
        <rFont val="仿宋_GB2312"/>
        <family val="3"/>
        <charset val="134"/>
      </rPr>
      <t>自然及人文环境状况</t>
    </r>
    <phoneticPr fontId="24" type="noConversion"/>
  </si>
  <si>
    <r>
      <rPr>
        <sz val="11"/>
        <color indexed="8"/>
        <rFont val="仿宋_GB2312"/>
        <family val="3"/>
        <charset val="134"/>
      </rPr>
      <t>较差</t>
    </r>
  </si>
  <si>
    <r>
      <rPr>
        <sz val="11"/>
        <color indexed="8"/>
        <rFont val="仿宋_GB2312"/>
        <family val="3"/>
        <charset val="134"/>
      </rPr>
      <t>临街状况</t>
    </r>
    <phoneticPr fontId="24" type="noConversion"/>
  </si>
  <si>
    <r>
      <rPr>
        <sz val="11"/>
        <color indexed="8"/>
        <rFont val="仿宋_GB2312"/>
        <family val="3"/>
        <charset val="134"/>
      </rPr>
      <t>毗邻道路的类型与等级</t>
    </r>
    <phoneticPr fontId="24" type="noConversion"/>
  </si>
  <si>
    <r>
      <rPr>
        <sz val="11"/>
        <color indexed="8"/>
        <rFont val="仿宋_GB2312"/>
        <family val="3"/>
        <charset val="134"/>
      </rPr>
      <t>土地级别</t>
    </r>
    <phoneticPr fontId="24" type="noConversion"/>
  </si>
  <si>
    <r>
      <rPr>
        <sz val="11"/>
        <rFont val="仿宋_GB2312"/>
        <family val="3"/>
        <charset val="134"/>
      </rPr>
      <t>实物状况</t>
    </r>
    <phoneticPr fontId="1" type="noConversion"/>
  </si>
  <si>
    <r>
      <rPr>
        <b/>
        <sz val="11"/>
        <rFont val="仿宋_GB2312"/>
        <family val="3"/>
        <charset val="134"/>
      </rPr>
      <t>实物状况</t>
    </r>
    <phoneticPr fontId="1" type="noConversion"/>
  </si>
  <si>
    <r>
      <rPr>
        <sz val="11"/>
        <color indexed="8"/>
        <rFont val="仿宋_GB2312"/>
        <family val="3"/>
        <charset val="134"/>
      </rPr>
      <t>宗地面积</t>
    </r>
    <phoneticPr fontId="24" type="noConversion"/>
  </si>
  <si>
    <r>
      <rPr>
        <sz val="11"/>
        <color indexed="8"/>
        <rFont val="仿宋_GB2312"/>
        <family val="3"/>
        <charset val="134"/>
      </rPr>
      <t>宗地形状</t>
    </r>
    <phoneticPr fontId="24" type="noConversion"/>
  </si>
  <si>
    <r>
      <rPr>
        <sz val="11"/>
        <color indexed="8"/>
        <rFont val="仿宋_GB2312"/>
        <family val="3"/>
        <charset val="134"/>
      </rPr>
      <t>临街宽度及深度</t>
    </r>
    <phoneticPr fontId="24" type="noConversion"/>
  </si>
  <si>
    <r>
      <rPr>
        <sz val="11"/>
        <color indexed="8"/>
        <rFont val="仿宋_GB2312"/>
        <family val="3"/>
        <charset val="134"/>
      </rPr>
      <t>工程地质条件</t>
    </r>
    <phoneticPr fontId="24" type="noConversion"/>
  </si>
  <si>
    <r>
      <rPr>
        <b/>
        <sz val="11"/>
        <rFont val="仿宋_GB2312"/>
        <family val="3"/>
        <charset val="134"/>
      </rPr>
      <t>成交单价</t>
    </r>
    <phoneticPr fontId="1" type="noConversion"/>
  </si>
  <si>
    <r>
      <rPr>
        <b/>
        <sz val="11"/>
        <rFont val="仿宋_GB2312"/>
        <family val="3"/>
        <charset val="134"/>
      </rPr>
      <t>总修正幅度不超过</t>
    </r>
    <r>
      <rPr>
        <b/>
        <sz val="11"/>
        <color indexed="10"/>
        <rFont val="Arial"/>
        <family val="2"/>
      </rPr>
      <t>30%</t>
    </r>
    <phoneticPr fontId="1" type="noConversion"/>
  </si>
  <si>
    <r>
      <rPr>
        <b/>
        <sz val="11"/>
        <rFont val="仿宋_GB2312"/>
        <family val="3"/>
        <charset val="134"/>
      </rPr>
      <t>各修正结果之间不超过</t>
    </r>
    <r>
      <rPr>
        <b/>
        <sz val="11"/>
        <color indexed="10"/>
        <rFont val="Arial"/>
        <family val="2"/>
      </rPr>
      <t>20%</t>
    </r>
    <phoneticPr fontId="1" type="noConversion"/>
  </si>
  <si>
    <r>
      <rPr>
        <b/>
        <sz val="11"/>
        <rFont val="仿宋_GB2312"/>
        <family val="3"/>
        <charset val="134"/>
      </rPr>
      <t>各案例间不超过</t>
    </r>
    <r>
      <rPr>
        <b/>
        <sz val="11"/>
        <color indexed="10"/>
        <rFont val="Arial"/>
        <family val="2"/>
      </rPr>
      <t>30%</t>
    </r>
    <phoneticPr fontId="1" type="noConversion"/>
  </si>
  <si>
    <r>
      <rPr>
        <sz val="11"/>
        <rFont val="仿宋_GB2312"/>
        <family val="3"/>
        <charset val="134"/>
      </rPr>
      <t>用途</t>
    </r>
    <r>
      <rPr>
        <sz val="11"/>
        <rFont val="Arial"/>
        <family val="2"/>
      </rPr>
      <t>/</t>
    </r>
    <r>
      <rPr>
        <sz val="11"/>
        <rFont val="仿宋_GB2312"/>
        <family val="3"/>
        <charset val="134"/>
      </rPr>
      <t>位置</t>
    </r>
    <phoneticPr fontId="24" type="noConversion"/>
  </si>
  <si>
    <r>
      <rPr>
        <sz val="11"/>
        <rFont val="仿宋_GB2312"/>
        <family val="3"/>
        <charset val="134"/>
      </rPr>
      <t>修正单价</t>
    </r>
    <phoneticPr fontId="24" type="noConversion"/>
  </si>
  <si>
    <r>
      <rPr>
        <sz val="11"/>
        <rFont val="仿宋_GB2312"/>
        <family val="3"/>
        <charset val="134"/>
      </rPr>
      <t>建筑面积</t>
    </r>
    <phoneticPr fontId="24" type="noConversion"/>
  </si>
  <si>
    <r>
      <rPr>
        <sz val="11"/>
        <rFont val="仿宋_GB2312"/>
        <family val="3"/>
        <charset val="134"/>
      </rPr>
      <t>总价</t>
    </r>
    <phoneticPr fontId="24" type="noConversion"/>
  </si>
  <si>
    <r>
      <rPr>
        <sz val="10"/>
        <rFont val="仿宋_GB2312"/>
        <family val="3"/>
        <charset val="134"/>
      </rPr>
      <t>地上</t>
    </r>
    <phoneticPr fontId="13" type="noConversion"/>
  </si>
  <si>
    <r>
      <rPr>
        <sz val="10"/>
        <rFont val="仿宋_GB2312"/>
        <family val="3"/>
        <charset val="134"/>
      </rPr>
      <t>地下商业（</t>
    </r>
    <r>
      <rPr>
        <sz val="10"/>
        <rFont val="Arial"/>
        <family val="2"/>
      </rPr>
      <t>-1</t>
    </r>
    <r>
      <rPr>
        <sz val="10"/>
        <rFont val="仿宋_GB2312"/>
        <family val="3"/>
        <charset val="134"/>
      </rPr>
      <t>）</t>
    </r>
    <phoneticPr fontId="12" type="noConversion"/>
  </si>
  <si>
    <r>
      <rPr>
        <sz val="10"/>
        <rFont val="仿宋_GB2312"/>
        <family val="3"/>
        <charset val="134"/>
      </rPr>
      <t>地下商业（</t>
    </r>
    <r>
      <rPr>
        <sz val="10"/>
        <rFont val="Arial"/>
        <family val="2"/>
      </rPr>
      <t>-2</t>
    </r>
    <r>
      <rPr>
        <sz val="10"/>
        <rFont val="仿宋_GB2312"/>
        <family val="3"/>
        <charset val="134"/>
      </rPr>
      <t>）</t>
    </r>
    <phoneticPr fontId="12" type="noConversion"/>
  </si>
  <si>
    <r>
      <rPr>
        <sz val="10"/>
        <rFont val="仿宋_GB2312"/>
        <family val="3"/>
        <charset val="134"/>
      </rPr>
      <t>地下商业（</t>
    </r>
    <r>
      <rPr>
        <sz val="10"/>
        <rFont val="Arial"/>
        <family val="2"/>
      </rPr>
      <t>-3</t>
    </r>
    <r>
      <rPr>
        <sz val="10"/>
        <rFont val="仿宋_GB2312"/>
        <family val="3"/>
        <charset val="134"/>
      </rPr>
      <t>）</t>
    </r>
    <phoneticPr fontId="12" type="noConversion"/>
  </si>
  <si>
    <r>
      <rPr>
        <sz val="10"/>
        <rFont val="仿宋_GB2312"/>
        <family val="3"/>
        <charset val="134"/>
      </rPr>
      <t>地下商业（</t>
    </r>
    <r>
      <rPr>
        <sz val="10"/>
        <rFont val="Arial"/>
        <family val="2"/>
      </rPr>
      <t>-4</t>
    </r>
    <r>
      <rPr>
        <sz val="10"/>
        <rFont val="仿宋_GB2312"/>
        <family val="3"/>
        <charset val="134"/>
      </rPr>
      <t>）</t>
    </r>
    <phoneticPr fontId="12" type="noConversion"/>
  </si>
  <si>
    <r>
      <rPr>
        <sz val="10"/>
        <rFont val="仿宋_GB2312"/>
        <family val="3"/>
        <charset val="134"/>
      </rPr>
      <t>地下仓储</t>
    </r>
    <phoneticPr fontId="12" type="noConversion"/>
  </si>
  <si>
    <r>
      <rPr>
        <sz val="10"/>
        <rFont val="仿宋_GB2312"/>
        <family val="3"/>
        <charset val="134"/>
      </rPr>
      <t>地下车库</t>
    </r>
    <phoneticPr fontId="12" type="noConversion"/>
  </si>
  <si>
    <r>
      <rPr>
        <sz val="10"/>
        <rFont val="仿宋_GB2312"/>
        <family val="3"/>
        <charset val="134"/>
      </rPr>
      <t>地下车库</t>
    </r>
    <r>
      <rPr>
        <sz val="10"/>
        <rFont val="Arial"/>
        <family val="2"/>
      </rPr>
      <t>-</t>
    </r>
    <r>
      <rPr>
        <sz val="10"/>
        <rFont val="仿宋_GB2312"/>
        <family val="3"/>
        <charset val="134"/>
      </rPr>
      <t>商业</t>
    </r>
    <phoneticPr fontId="12" type="noConversion"/>
  </si>
  <si>
    <r>
      <rPr>
        <sz val="10"/>
        <rFont val="仿宋_GB2312"/>
        <family val="3"/>
        <charset val="134"/>
      </rPr>
      <t>地下车库</t>
    </r>
    <r>
      <rPr>
        <sz val="10"/>
        <rFont val="Arial"/>
        <family val="2"/>
      </rPr>
      <t>-</t>
    </r>
    <r>
      <rPr>
        <sz val="10"/>
        <rFont val="仿宋_GB2312"/>
        <family val="3"/>
        <charset val="134"/>
      </rPr>
      <t>办公</t>
    </r>
    <phoneticPr fontId="12" type="noConversion"/>
  </si>
  <si>
    <r>
      <rPr>
        <b/>
        <sz val="10"/>
        <rFont val="仿宋_GB2312"/>
        <family val="3"/>
        <charset val="134"/>
      </rPr>
      <t>土地购买价格</t>
    </r>
    <phoneticPr fontId="12"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</si>
  <si>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1"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</si>
  <si>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19" type="noConversion"/>
  </si>
  <si>
    <r>
      <rPr>
        <sz val="11"/>
        <color indexed="8"/>
        <rFont val="仿宋_GB2312"/>
        <family val="3"/>
        <charset val="134"/>
      </rPr>
      <t>正常</t>
    </r>
    <phoneticPr fontId="19" type="noConversion"/>
  </si>
  <si>
    <r>
      <rPr>
        <b/>
        <sz val="11"/>
        <rFont val="仿宋_GB2312"/>
        <family val="3"/>
        <charset val="134"/>
      </rPr>
      <t>权益状况</t>
    </r>
    <phoneticPr fontId="1" type="noConversion"/>
  </si>
  <si>
    <r>
      <rPr>
        <sz val="11"/>
        <color indexed="8"/>
        <rFont val="仿宋_GB2312"/>
        <family val="3"/>
        <charset val="134"/>
      </rPr>
      <t>居住社区成熟度</t>
    </r>
    <phoneticPr fontId="1" type="noConversion"/>
  </si>
  <si>
    <r>
      <rPr>
        <sz val="11"/>
        <color indexed="8"/>
        <rFont val="仿宋_GB2312"/>
        <family val="3"/>
        <charset val="134"/>
      </rPr>
      <t>好</t>
    </r>
    <phoneticPr fontId="1" type="noConversion"/>
  </si>
  <si>
    <r>
      <rPr>
        <sz val="11"/>
        <color indexed="8"/>
        <rFont val="仿宋_GB2312"/>
        <family val="3"/>
        <charset val="134"/>
      </rPr>
      <t>较好</t>
    </r>
    <phoneticPr fontId="1" type="noConversion"/>
  </si>
  <si>
    <r>
      <rPr>
        <sz val="11"/>
        <color indexed="8"/>
        <rFont val="仿宋_GB2312"/>
        <family val="3"/>
        <charset val="134"/>
      </rPr>
      <t>一般</t>
    </r>
    <phoneticPr fontId="1" type="noConversion"/>
  </si>
  <si>
    <r>
      <rPr>
        <sz val="11"/>
        <color indexed="8"/>
        <rFont val="仿宋_GB2312"/>
        <family val="3"/>
        <charset val="134"/>
      </rPr>
      <t>较差</t>
    </r>
    <phoneticPr fontId="1" type="noConversion"/>
  </si>
  <si>
    <r>
      <rPr>
        <sz val="11"/>
        <color indexed="8"/>
        <rFont val="仿宋_GB2312"/>
        <family val="3"/>
        <charset val="134"/>
      </rPr>
      <t>差</t>
    </r>
    <phoneticPr fontId="1" type="noConversion"/>
  </si>
  <si>
    <r>
      <rPr>
        <sz val="11"/>
        <color indexed="8"/>
        <rFont val="仿宋_GB2312"/>
        <family val="3"/>
        <charset val="134"/>
      </rPr>
      <t>商业繁华度</t>
    </r>
    <phoneticPr fontId="1" type="noConversion"/>
  </si>
  <si>
    <r>
      <rPr>
        <sz val="11"/>
        <color indexed="8"/>
        <rFont val="仿宋_GB2312"/>
        <family val="3"/>
        <charset val="134"/>
      </rPr>
      <t>办公集聚程度</t>
    </r>
    <phoneticPr fontId="1" type="noConversion"/>
  </si>
  <si>
    <r>
      <rPr>
        <sz val="11"/>
        <color indexed="8"/>
        <rFont val="仿宋_GB2312"/>
        <family val="3"/>
        <charset val="134"/>
      </rPr>
      <t>交通便捷度</t>
    </r>
    <phoneticPr fontId="1" type="noConversion"/>
  </si>
  <si>
    <r>
      <rPr>
        <sz val="11"/>
        <color indexed="8"/>
        <rFont val="仿宋_GB2312"/>
        <family val="3"/>
        <charset val="134"/>
      </rPr>
      <t>区域土地利用方向</t>
    </r>
    <phoneticPr fontId="1" type="noConversion"/>
  </si>
  <si>
    <r>
      <rPr>
        <sz val="11"/>
        <color indexed="8"/>
        <rFont val="仿宋_GB2312"/>
        <family val="3"/>
        <charset val="134"/>
      </rPr>
      <t>自然及人文环境状况</t>
    </r>
    <phoneticPr fontId="1" type="noConversion"/>
  </si>
  <si>
    <r>
      <rPr>
        <sz val="11"/>
        <rFont val="仿宋_GB2312"/>
        <family val="3"/>
        <charset val="134"/>
      </rPr>
      <t>多面临街</t>
    </r>
    <phoneticPr fontId="24" type="noConversion"/>
  </si>
  <si>
    <r>
      <rPr>
        <sz val="11"/>
        <rFont val="仿宋_GB2312"/>
        <family val="3"/>
        <charset val="134"/>
      </rPr>
      <t>双面临街</t>
    </r>
    <phoneticPr fontId="24" type="noConversion"/>
  </si>
  <si>
    <r>
      <rPr>
        <sz val="11"/>
        <rFont val="仿宋_GB2312"/>
        <family val="3"/>
        <charset val="134"/>
      </rPr>
      <t>单面临街</t>
    </r>
    <phoneticPr fontId="24" type="noConversion"/>
  </si>
  <si>
    <r>
      <rPr>
        <sz val="11"/>
        <rFont val="仿宋_GB2312"/>
        <family val="3"/>
        <charset val="134"/>
      </rPr>
      <t>不临街</t>
    </r>
    <phoneticPr fontId="24" type="noConversion"/>
  </si>
  <si>
    <r>
      <rPr>
        <sz val="11"/>
        <color indexed="8"/>
        <rFont val="仿宋_GB2312"/>
        <family val="3"/>
        <charset val="134"/>
      </rPr>
      <t>宗地面积</t>
    </r>
    <phoneticPr fontId="1" type="noConversion"/>
  </si>
  <si>
    <r>
      <rPr>
        <sz val="11"/>
        <color indexed="8"/>
        <rFont val="仿宋_GB2312"/>
        <family val="3"/>
        <charset val="134"/>
      </rPr>
      <t>宗地形状</t>
    </r>
    <phoneticPr fontId="1" type="noConversion"/>
  </si>
  <si>
    <r>
      <rPr>
        <sz val="11"/>
        <color indexed="8"/>
        <rFont val="仿宋_GB2312"/>
        <family val="3"/>
        <charset val="134"/>
      </rPr>
      <t>临街宽度及深度</t>
    </r>
    <phoneticPr fontId="1" type="noConversion"/>
  </si>
  <si>
    <r>
      <rPr>
        <sz val="11"/>
        <color indexed="8"/>
        <rFont val="仿宋_GB2312"/>
        <family val="3"/>
        <charset val="134"/>
      </rPr>
      <t>工程地质条件</t>
    </r>
    <phoneticPr fontId="1" type="noConversion"/>
  </si>
  <si>
    <r>
      <rPr>
        <b/>
        <sz val="16"/>
        <rFont val="仿宋_GB2312"/>
        <family val="3"/>
        <charset val="134"/>
      </rPr>
      <t>工业</t>
    </r>
    <phoneticPr fontId="24" type="noConversion"/>
  </si>
  <si>
    <r>
      <rPr>
        <sz val="11"/>
        <color indexed="8"/>
        <rFont val="仿宋_GB2312"/>
        <family val="3"/>
        <charset val="134"/>
      </rPr>
      <t>产业集聚程度</t>
    </r>
    <phoneticPr fontId="26" type="noConversion"/>
  </si>
  <si>
    <r>
      <rPr>
        <sz val="11"/>
        <color indexed="8"/>
        <rFont val="仿宋_GB2312"/>
        <family val="3"/>
        <charset val="134"/>
      </rPr>
      <t>环境状况</t>
    </r>
    <phoneticPr fontId="24" type="noConversion"/>
  </si>
  <si>
    <r>
      <rPr>
        <sz val="11"/>
        <color indexed="8"/>
        <rFont val="仿宋_GB2312"/>
        <family val="3"/>
        <charset val="134"/>
      </rPr>
      <t>较好</t>
    </r>
  </si>
  <si>
    <r>
      <rPr>
        <sz val="11"/>
        <rFont val="仿宋_GB2312"/>
        <family val="3"/>
        <charset val="134"/>
      </rPr>
      <t>实物状况</t>
    </r>
    <phoneticPr fontId="1" type="noConversion"/>
  </si>
  <si>
    <r>
      <rPr>
        <sz val="11"/>
        <color indexed="8"/>
        <rFont val="仿宋_GB2312"/>
        <family val="3"/>
        <charset val="134"/>
      </rPr>
      <t>产业集聚程度</t>
    </r>
    <phoneticPr fontId="1" type="noConversion"/>
  </si>
  <si>
    <r>
      <rPr>
        <b/>
        <sz val="16"/>
        <color indexed="10"/>
        <rFont val="仿宋_GB2312"/>
        <family val="3"/>
        <charset val="134"/>
      </rPr>
      <t>成本逼近法</t>
    </r>
    <phoneticPr fontId="12" type="noConversion"/>
  </si>
  <si>
    <r>
      <rPr>
        <b/>
        <sz val="10"/>
        <rFont val="仿宋_GB2312"/>
        <family val="3"/>
        <charset val="134"/>
      </rPr>
      <t>项目</t>
    </r>
    <phoneticPr fontId="13" type="noConversion"/>
  </si>
  <si>
    <r>
      <rPr>
        <b/>
        <sz val="10"/>
        <rFont val="仿宋_GB2312"/>
        <family val="3"/>
        <charset val="134"/>
      </rPr>
      <t>总额</t>
    </r>
    <phoneticPr fontId="13" type="noConversion"/>
  </si>
  <si>
    <r>
      <rPr>
        <b/>
        <sz val="10"/>
        <rFont val="仿宋_GB2312"/>
        <family val="3"/>
        <charset val="134"/>
      </rPr>
      <t>面积</t>
    </r>
    <phoneticPr fontId="12" type="noConversion"/>
  </si>
  <si>
    <r>
      <rPr>
        <b/>
        <sz val="10"/>
        <rFont val="仿宋_GB2312"/>
        <family val="3"/>
        <charset val="134"/>
      </rPr>
      <t>单价</t>
    </r>
    <phoneticPr fontId="12" type="noConversion"/>
  </si>
  <si>
    <r>
      <rPr>
        <b/>
        <sz val="10"/>
        <rFont val="仿宋_GB2312"/>
        <family val="3"/>
        <charset val="134"/>
      </rPr>
      <t>系数</t>
    </r>
    <phoneticPr fontId="12" type="noConversion"/>
  </si>
  <si>
    <r>
      <rPr>
        <b/>
        <sz val="10"/>
        <rFont val="仿宋_GB2312"/>
        <family val="3"/>
        <charset val="134"/>
      </rPr>
      <t>土地取得费</t>
    </r>
    <phoneticPr fontId="12" type="noConversion"/>
  </si>
  <si>
    <r>
      <rPr>
        <sz val="10"/>
        <rFont val="仿宋_GB2312"/>
        <family val="3"/>
        <charset val="134"/>
      </rPr>
      <t>城市基础设施建设费（行政收费）</t>
    </r>
    <phoneticPr fontId="12" type="noConversion"/>
  </si>
  <si>
    <r>
      <rPr>
        <i/>
        <sz val="10"/>
        <rFont val="仿宋_GB2312"/>
        <family val="3"/>
        <charset val="134"/>
      </rPr>
      <t>住宅</t>
    </r>
    <phoneticPr fontId="12" type="noConversion"/>
  </si>
  <si>
    <r>
      <rPr>
        <i/>
        <sz val="10"/>
        <rFont val="仿宋_GB2312"/>
        <family val="3"/>
        <charset val="134"/>
      </rPr>
      <t>非住宅</t>
    </r>
    <phoneticPr fontId="12" type="noConversion"/>
  </si>
  <si>
    <r>
      <rPr>
        <b/>
        <sz val="10"/>
        <rFont val="仿宋_GB2312"/>
        <family val="3"/>
        <charset val="134"/>
      </rPr>
      <t>土地开发费</t>
    </r>
    <phoneticPr fontId="12" type="noConversion"/>
  </si>
  <si>
    <r>
      <rPr>
        <sz val="10"/>
        <rFont val="仿宋_GB2312"/>
        <family val="3"/>
        <charset val="134"/>
      </rPr>
      <t>即宗地红线外市政费用及宗地红线内土地平整费用，根据待估宗地区域对土地开发成本来估算。</t>
    </r>
    <phoneticPr fontId="13" type="noConversion"/>
  </si>
  <si>
    <r>
      <rPr>
        <b/>
        <sz val="10"/>
        <rFont val="仿宋_GB2312"/>
        <family val="3"/>
        <charset val="134"/>
      </rPr>
      <t>税费</t>
    </r>
    <phoneticPr fontId="13" type="noConversion"/>
  </si>
  <si>
    <r>
      <rPr>
        <b/>
        <sz val="10"/>
        <rFont val="仿宋_GB2312"/>
        <family val="3"/>
        <charset val="134"/>
      </rPr>
      <t>贷款利息</t>
    </r>
    <phoneticPr fontId="12" type="noConversion"/>
  </si>
  <si>
    <r>
      <rPr>
        <b/>
        <sz val="10"/>
        <rFont val="仿宋_GB2312"/>
        <family val="3"/>
        <charset val="134"/>
      </rPr>
      <t>利润</t>
    </r>
    <phoneticPr fontId="12" type="noConversion"/>
  </si>
  <si>
    <r>
      <rPr>
        <b/>
        <sz val="10"/>
        <rFont val="仿宋_GB2312"/>
        <family val="3"/>
        <charset val="134"/>
      </rPr>
      <t>（１＋２＋３）</t>
    </r>
    <r>
      <rPr>
        <b/>
        <sz val="10"/>
        <rFont val="Arial"/>
        <family val="2"/>
      </rPr>
      <t>×</t>
    </r>
    <r>
      <rPr>
        <b/>
        <sz val="10"/>
        <rFont val="仿宋_GB2312"/>
        <family val="3"/>
        <charset val="134"/>
      </rPr>
      <t>利润率</t>
    </r>
    <phoneticPr fontId="12" type="noConversion"/>
  </si>
  <si>
    <r>
      <rPr>
        <b/>
        <sz val="10"/>
        <rFont val="仿宋_GB2312"/>
        <family val="3"/>
        <charset val="134"/>
      </rPr>
      <t>土地成本价格</t>
    </r>
    <phoneticPr fontId="13" type="noConversion"/>
  </si>
  <si>
    <r>
      <t>1-</t>
    </r>
    <r>
      <rPr>
        <b/>
        <sz val="10"/>
        <rFont val="仿宋_GB2312"/>
        <family val="3"/>
        <charset val="134"/>
      </rPr>
      <t>５项之和</t>
    </r>
    <phoneticPr fontId="13" type="noConversion"/>
  </si>
  <si>
    <r>
      <rPr>
        <b/>
        <sz val="10"/>
        <rFont val="仿宋_GB2312"/>
        <family val="3"/>
        <charset val="134"/>
      </rPr>
      <t>土地增值</t>
    </r>
    <phoneticPr fontId="13"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</si>
  <si>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3" type="noConversion"/>
  </si>
  <si>
    <r>
      <rPr>
        <b/>
        <sz val="10"/>
        <rFont val="仿宋_GB2312"/>
        <family val="3"/>
        <charset val="134"/>
      </rPr>
      <t>无线年期土地价格</t>
    </r>
    <phoneticPr fontId="13" type="noConversion"/>
  </si>
  <si>
    <r>
      <rPr>
        <b/>
        <sz val="10"/>
        <rFont val="仿宋_GB2312"/>
        <family val="3"/>
        <charset val="134"/>
      </rPr>
      <t>６＋７</t>
    </r>
    <phoneticPr fontId="13" type="noConversion"/>
  </si>
  <si>
    <r>
      <rPr>
        <b/>
        <sz val="10"/>
        <rFont val="仿宋_GB2312"/>
        <family val="3"/>
        <charset val="134"/>
      </rPr>
      <t>有限年期土地价格</t>
    </r>
    <phoneticPr fontId="13" type="noConversion"/>
  </si>
  <si>
    <r>
      <rPr>
        <b/>
        <sz val="10"/>
        <rFont val="仿宋_GB2312"/>
        <family val="3"/>
        <charset val="134"/>
      </rPr>
      <t>８</t>
    </r>
    <r>
      <rPr>
        <b/>
        <sz val="10"/>
        <rFont val="Arial"/>
        <family val="2"/>
      </rPr>
      <t>×</t>
    </r>
    <r>
      <rPr>
        <b/>
        <sz val="10"/>
        <rFont val="仿宋_GB2312"/>
        <family val="3"/>
        <charset val="134"/>
      </rPr>
      <t>年期修正系数</t>
    </r>
    <phoneticPr fontId="13" type="noConversion"/>
  </si>
  <si>
    <r>
      <rPr>
        <b/>
        <sz val="10"/>
        <rFont val="仿宋_GB2312"/>
        <family val="3"/>
        <charset val="134"/>
      </rPr>
      <t>土地价格</t>
    </r>
    <r>
      <rPr>
        <b/>
        <sz val="10"/>
        <rFont val="Arial"/>
        <family val="2"/>
      </rPr>
      <t>-</t>
    </r>
    <r>
      <rPr>
        <b/>
        <sz val="10"/>
        <rFont val="仿宋_GB2312"/>
        <family val="3"/>
        <charset val="134"/>
      </rPr>
      <t>总价</t>
    </r>
    <phoneticPr fontId="13" type="noConversion"/>
  </si>
  <si>
    <r>
      <rPr>
        <b/>
        <sz val="16"/>
        <color indexed="10"/>
        <rFont val="仿宋_GB2312"/>
        <family val="3"/>
        <charset val="134"/>
      </rPr>
      <t>收益还原法</t>
    </r>
    <phoneticPr fontId="1" type="noConversion"/>
  </si>
  <si>
    <r>
      <rPr>
        <b/>
        <sz val="12"/>
        <rFont val="仿宋_GB2312"/>
        <family val="3"/>
        <charset val="134"/>
      </rPr>
      <t>总价</t>
    </r>
    <phoneticPr fontId="13" type="noConversion"/>
  </si>
  <si>
    <r>
      <rPr>
        <sz val="10"/>
        <color indexed="8"/>
        <rFont val="仿宋_GB2312"/>
        <family val="3"/>
        <charset val="134"/>
      </rPr>
      <t>序号</t>
    </r>
    <phoneticPr fontId="1" type="noConversion"/>
  </si>
  <si>
    <r>
      <rPr>
        <sz val="10"/>
        <color indexed="8"/>
        <rFont val="仿宋_GB2312"/>
        <family val="3"/>
        <charset val="134"/>
      </rPr>
      <t>项目</t>
    </r>
    <phoneticPr fontId="1" type="noConversion"/>
  </si>
  <si>
    <r>
      <rPr>
        <sz val="10"/>
        <color indexed="8"/>
        <rFont val="仿宋_GB2312"/>
        <family val="3"/>
        <charset val="134"/>
      </rPr>
      <t>数额</t>
    </r>
    <phoneticPr fontId="1" type="noConversion"/>
  </si>
  <si>
    <r>
      <rPr>
        <sz val="10"/>
        <color indexed="8"/>
        <rFont val="仿宋_GB2312"/>
        <family val="3"/>
        <charset val="134"/>
      </rPr>
      <t>计算公式</t>
    </r>
    <phoneticPr fontId="1" type="noConversion"/>
  </si>
  <si>
    <r>
      <rPr>
        <sz val="10"/>
        <color indexed="8"/>
        <rFont val="仿宋_GB2312"/>
        <family val="3"/>
        <charset val="134"/>
      </rPr>
      <t>取费标准</t>
    </r>
    <phoneticPr fontId="1" type="noConversion"/>
  </si>
  <si>
    <r>
      <rPr>
        <b/>
        <sz val="10"/>
        <color indexed="8"/>
        <rFont val="仿宋_GB2312"/>
        <family val="3"/>
        <charset val="134"/>
      </rPr>
      <t>未来第一年年总收益</t>
    </r>
    <phoneticPr fontId="1"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</si>
  <si>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1" type="noConversion"/>
  </si>
  <si>
    <r>
      <rPr>
        <sz val="10"/>
        <color indexed="8"/>
        <rFont val="仿宋_GB2312"/>
        <family val="3"/>
        <charset val="134"/>
      </rPr>
      <t>租金</t>
    </r>
    <phoneticPr fontId="1"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</si>
  <si>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1"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</si>
  <si>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1"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</si>
  <si>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1" type="noConversion"/>
  </si>
  <si>
    <r>
      <rPr>
        <b/>
        <sz val="10"/>
        <color indexed="8"/>
        <rFont val="仿宋_GB2312"/>
        <family val="3"/>
        <charset val="134"/>
      </rPr>
      <t>建筑物价格</t>
    </r>
    <phoneticPr fontId="1"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</si>
  <si>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1"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</si>
  <si>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1" type="noConversion"/>
  </si>
  <si>
    <r>
      <rPr>
        <b/>
        <sz val="10"/>
        <color indexed="8"/>
        <rFont val="仿宋_GB2312"/>
        <family val="3"/>
        <charset val="134"/>
      </rPr>
      <t>建筑物现值</t>
    </r>
    <phoneticPr fontId="1"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</si>
  <si>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</si>
  <si>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1"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</si>
  <si>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</si>
  <si>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1"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</si>
  <si>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</si>
  <si>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公共配套设施费用</t>
    </r>
  </si>
  <si>
    <r>
      <rPr>
        <b/>
        <sz val="10"/>
        <color indexed="8"/>
        <rFont val="仿宋_GB2312"/>
        <family val="3"/>
        <charset val="134"/>
      </rPr>
      <t>年经营费用</t>
    </r>
    <phoneticPr fontId="1"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</si>
  <si>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1"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</si>
  <si>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</si>
  <si>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1"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</si>
  <si>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</si>
  <si>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</si>
  <si>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1" type="noConversion"/>
  </si>
  <si>
    <r>
      <rPr>
        <sz val="10"/>
        <color indexed="8"/>
        <rFont val="仿宋_GB2312"/>
        <family val="3"/>
        <charset val="134"/>
      </rPr>
      <t>综合税率</t>
    </r>
    <phoneticPr fontId="1" type="noConversion"/>
  </si>
  <si>
    <r>
      <rPr>
        <sz val="10"/>
        <color indexed="8"/>
        <rFont val="仿宋_GB2312"/>
        <family val="3"/>
        <charset val="134"/>
      </rPr>
      <t>相关税费</t>
    </r>
  </si>
  <si>
    <r>
      <rPr>
        <sz val="10"/>
        <color indexed="8"/>
        <rFont val="仿宋_GB2312"/>
        <family val="3"/>
        <charset val="134"/>
      </rPr>
      <t>两税两费</t>
    </r>
    <phoneticPr fontId="1"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</si>
  <si>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1"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</si>
  <si>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</si>
  <si>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1" type="noConversion"/>
  </si>
  <si>
    <r>
      <rPr>
        <sz val="10"/>
        <color indexed="8"/>
        <rFont val="仿宋_GB2312"/>
        <family val="3"/>
        <charset val="134"/>
      </rPr>
      <t>房产税</t>
    </r>
    <phoneticPr fontId="1"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</si>
  <si>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</si>
  <si>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</si>
  <si>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1" type="noConversion"/>
  </si>
  <si>
    <r>
      <rPr>
        <sz val="10"/>
        <color indexed="8"/>
        <rFont val="仿宋_GB2312"/>
        <family val="3"/>
        <charset val="134"/>
      </rPr>
      <t>城镇土地使用税</t>
    </r>
    <phoneticPr fontId="1"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</si>
  <si>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1"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</si>
  <si>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</si>
  <si>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销售费用</t>
    </r>
    <phoneticPr fontId="1"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</si>
  <si>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1"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</si>
  <si>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</si>
  <si>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土地面积（㎡）</t>
    </r>
    <phoneticPr fontId="1" type="noConversion"/>
  </si>
  <si>
    <r>
      <rPr>
        <sz val="10"/>
        <color indexed="8"/>
        <rFont val="仿宋_GB2312"/>
        <family val="3"/>
        <charset val="134"/>
      </rPr>
      <t>贷款利息</t>
    </r>
    <phoneticPr fontId="1" type="noConversion"/>
  </si>
  <si>
    <r>
      <rPr>
        <sz val="10"/>
        <color indexed="8"/>
        <rFont val="仿宋_GB2312"/>
        <family val="3"/>
        <charset val="134"/>
      </rPr>
      <t>维修费</t>
    </r>
    <phoneticPr fontId="1"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</si>
  <si>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1" type="noConversion"/>
  </si>
  <si>
    <r>
      <rPr>
        <sz val="10"/>
        <color indexed="8"/>
        <rFont val="仿宋_GB2312"/>
        <family val="3"/>
        <charset val="134"/>
      </rPr>
      <t>建设周期（年）</t>
    </r>
    <phoneticPr fontId="1"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</si>
  <si>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</si>
  <si>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1" type="noConversion"/>
  </si>
  <si>
    <r>
      <rPr>
        <sz val="10"/>
        <color indexed="8"/>
        <rFont val="仿宋_GB2312"/>
        <family val="3"/>
        <charset val="134"/>
      </rPr>
      <t>销售费用产生的利息</t>
    </r>
    <phoneticPr fontId="1"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</si>
  <si>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</si>
  <si>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1"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</si>
  <si>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</si>
  <si>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1"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</si>
  <si>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</si>
  <si>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</si>
  <si>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1" type="noConversion"/>
  </si>
  <si>
    <r>
      <rPr>
        <b/>
        <sz val="10"/>
        <color indexed="8"/>
        <rFont val="仿宋_GB2312"/>
        <family val="3"/>
        <charset val="134"/>
      </rPr>
      <t>年总费用</t>
    </r>
    <phoneticPr fontId="1" type="noConversion"/>
  </si>
  <si>
    <r>
      <rPr>
        <sz val="10"/>
        <color indexed="8"/>
        <rFont val="仿宋_GB2312"/>
        <family val="3"/>
        <charset val="134"/>
      </rPr>
      <t>综合税率</t>
    </r>
    <phoneticPr fontId="1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</si>
  <si>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1" type="noConversion"/>
  </si>
  <si>
    <r>
      <rPr>
        <b/>
        <sz val="10"/>
        <color indexed="8"/>
        <rFont val="仿宋_GB2312"/>
        <family val="3"/>
        <charset val="134"/>
      </rPr>
      <t>土地价格</t>
    </r>
    <phoneticPr fontId="1" type="noConversion"/>
  </si>
  <si>
    <r>
      <rPr>
        <sz val="11"/>
        <color indexed="8"/>
        <rFont val="仿宋_GB2312"/>
        <family val="3"/>
        <charset val="134"/>
      </rPr>
      <t>房地年纯收益</t>
    </r>
    <phoneticPr fontId="59"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</si>
  <si>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1" type="noConversion"/>
  </si>
  <si>
    <r>
      <rPr>
        <b/>
        <sz val="16"/>
        <rFont val="仿宋_GB2312"/>
        <family val="3"/>
        <charset val="134"/>
      </rPr>
      <t>租约外</t>
    </r>
    <phoneticPr fontId="1" type="noConversion"/>
  </si>
  <si>
    <r>
      <rPr>
        <b/>
        <sz val="11"/>
        <rFont val="仿宋_GB2312"/>
        <family val="3"/>
        <charset val="134"/>
      </rPr>
      <t>单位面积地价</t>
    </r>
    <phoneticPr fontId="24"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</si>
  <si>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4" type="noConversion"/>
  </si>
  <si>
    <r>
      <rPr>
        <sz val="10"/>
        <color indexed="8"/>
        <rFont val="仿宋_GB2312"/>
        <family val="3"/>
        <charset val="134"/>
      </rPr>
      <t>序号</t>
    </r>
    <phoneticPr fontId="1" type="noConversion"/>
  </si>
  <si>
    <r>
      <rPr>
        <sz val="10"/>
        <color indexed="8"/>
        <rFont val="仿宋_GB2312"/>
        <family val="3"/>
        <charset val="134"/>
      </rPr>
      <t>项目</t>
    </r>
    <phoneticPr fontId="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</si>
  <si>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1"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</si>
  <si>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1"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</si>
  <si>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1" type="noConversion"/>
  </si>
  <si>
    <r>
      <rPr>
        <b/>
        <sz val="10"/>
        <color indexed="8"/>
        <rFont val="仿宋_GB2312"/>
        <family val="3"/>
        <charset val="134"/>
      </rPr>
      <t>租约外房地产收益价值</t>
    </r>
    <phoneticPr fontId="1" type="noConversion"/>
  </si>
  <si>
    <r>
      <rPr>
        <sz val="10"/>
        <color indexed="8"/>
        <rFont val="仿宋_GB2312"/>
        <family val="3"/>
        <charset val="134"/>
      </rPr>
      <t>房地产未来第一年净收益</t>
    </r>
    <r>
      <rPr>
        <sz val="10"/>
        <color indexed="8"/>
        <rFont val="Arial"/>
        <family val="2"/>
      </rPr>
      <t>×</t>
    </r>
    <phoneticPr fontId="1"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</si>
  <si>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1"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</si>
  <si>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1"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</si>
  <si>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 type="noConversion"/>
  </si>
  <si>
    <r>
      <rPr>
        <sz val="10"/>
        <color indexed="8"/>
        <rFont val="仿宋_GB2312"/>
        <family val="3"/>
        <charset val="134"/>
      </rPr>
      <t>收益年期</t>
    </r>
    <r>
      <rPr>
        <sz val="10"/>
        <color indexed="8"/>
        <rFont val="Arial"/>
        <family val="2"/>
      </rPr>
      <t>(n)</t>
    </r>
    <phoneticPr fontId="1"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</si>
  <si>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1" type="noConversion"/>
  </si>
  <si>
    <r>
      <rPr>
        <sz val="10"/>
        <color indexed="8"/>
        <rFont val="仿宋_GB2312"/>
        <family val="3"/>
        <charset val="134"/>
      </rPr>
      <t>年增长比率</t>
    </r>
    <r>
      <rPr>
        <sz val="10"/>
        <color indexed="8"/>
        <rFont val="Arial"/>
        <family val="2"/>
      </rPr>
      <t>(g)</t>
    </r>
    <phoneticPr fontId="1" type="noConversion"/>
  </si>
  <si>
    <r>
      <rPr>
        <sz val="11"/>
        <color indexed="8"/>
        <rFont val="仿宋_GB2312"/>
        <family val="3"/>
        <charset val="134"/>
      </rPr>
      <t>房屋年纯收益</t>
    </r>
    <phoneticPr fontId="59"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</si>
  <si>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9" type="noConversion"/>
  </si>
  <si>
    <r>
      <rPr>
        <sz val="11"/>
        <color indexed="8"/>
        <rFont val="仿宋_GB2312"/>
        <family val="3"/>
        <charset val="134"/>
      </rPr>
      <t>土地年纯收益</t>
    </r>
    <phoneticPr fontId="59"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</si>
  <si>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9" type="noConversion"/>
  </si>
  <si>
    <r>
      <rPr>
        <sz val="11"/>
        <color indexed="8"/>
        <rFont val="仿宋_GB2312"/>
        <family val="3"/>
        <charset val="134"/>
      </rPr>
      <t>土地价格</t>
    </r>
    <phoneticPr fontId="59"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</si>
  <si>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1"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</si>
  <si>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1" type="noConversion"/>
  </si>
  <si>
    <r>
      <rPr>
        <b/>
        <sz val="16"/>
        <color indexed="10"/>
        <rFont val="仿宋_GB2312"/>
        <family val="3"/>
        <charset val="134"/>
      </rPr>
      <t>比较法</t>
    </r>
    <phoneticPr fontId="1" type="noConversion"/>
  </si>
  <si>
    <r>
      <rPr>
        <b/>
        <sz val="16"/>
        <rFont val="仿宋_GB2312"/>
        <family val="3"/>
        <charset val="134"/>
      </rPr>
      <t>住宅</t>
    </r>
    <phoneticPr fontId="1" type="noConversion"/>
  </si>
  <si>
    <r>
      <rPr>
        <b/>
        <sz val="16"/>
        <rFont val="仿宋_GB2312"/>
        <family val="3"/>
        <charset val="134"/>
      </rPr>
      <t>─</t>
    </r>
    <phoneticPr fontId="19"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</si>
  <si>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19" type="noConversion"/>
  </si>
  <si>
    <r>
      <rPr>
        <b/>
        <sz val="12"/>
        <rFont val="仿宋_GB2312"/>
        <family val="3"/>
        <charset val="134"/>
      </rPr>
      <t>建筑面积</t>
    </r>
    <phoneticPr fontId="19" type="noConversion"/>
  </si>
  <si>
    <r>
      <rPr>
        <sz val="11"/>
        <color indexed="8"/>
        <rFont val="仿宋_GB2312"/>
        <family val="3"/>
        <charset val="134"/>
      </rPr>
      <t>朝向</t>
    </r>
  </si>
  <si>
    <r>
      <rPr>
        <sz val="11"/>
        <color indexed="8"/>
        <rFont val="仿宋_GB2312"/>
        <family val="3"/>
        <charset val="134"/>
      </rPr>
      <t>道路级别</t>
    </r>
    <phoneticPr fontId="19"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</si>
  <si>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</si>
  <si>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</si>
  <si>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</si>
  <si>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</si>
  <si>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</si>
  <si>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</si>
  <si>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</si>
  <si>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</si>
  <si>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1"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</si>
  <si>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</si>
  <si>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</si>
  <si>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1" type="noConversion"/>
  </si>
  <si>
    <r>
      <t>60-70</t>
    </r>
    <r>
      <rPr>
        <sz val="11"/>
        <rFont val="仿宋_GB2312"/>
        <family val="3"/>
        <charset val="134"/>
      </rPr>
      <t>（含）</t>
    </r>
    <phoneticPr fontId="19" type="noConversion"/>
  </si>
  <si>
    <r>
      <t>50-60</t>
    </r>
    <r>
      <rPr>
        <sz val="11"/>
        <rFont val="仿宋_GB2312"/>
        <family val="3"/>
        <charset val="134"/>
      </rPr>
      <t>（含）</t>
    </r>
    <phoneticPr fontId="19" type="noConversion"/>
  </si>
  <si>
    <r>
      <t>40-50</t>
    </r>
    <r>
      <rPr>
        <sz val="11"/>
        <rFont val="仿宋_GB2312"/>
        <family val="3"/>
        <charset val="134"/>
      </rPr>
      <t>（含）</t>
    </r>
    <phoneticPr fontId="19" type="noConversion"/>
  </si>
  <si>
    <r>
      <t>30-40</t>
    </r>
    <r>
      <rPr>
        <sz val="11"/>
        <rFont val="仿宋_GB2312"/>
        <family val="3"/>
        <charset val="134"/>
      </rPr>
      <t>（含）</t>
    </r>
    <phoneticPr fontId="19" type="noConversion"/>
  </si>
  <si>
    <r>
      <t>20-30</t>
    </r>
    <r>
      <rPr>
        <sz val="11"/>
        <rFont val="仿宋_GB2312"/>
        <family val="3"/>
        <charset val="134"/>
      </rPr>
      <t>（含）</t>
    </r>
    <phoneticPr fontId="19" type="noConversion"/>
  </si>
  <si>
    <r>
      <t>10-20</t>
    </r>
    <r>
      <rPr>
        <sz val="11"/>
        <rFont val="仿宋_GB2312"/>
        <family val="3"/>
        <charset val="134"/>
      </rPr>
      <t>（含）</t>
    </r>
    <phoneticPr fontId="19" type="noConversion"/>
  </si>
  <si>
    <r>
      <t>0-10</t>
    </r>
    <r>
      <rPr>
        <sz val="11"/>
        <rFont val="仿宋_GB2312"/>
        <family val="3"/>
        <charset val="134"/>
      </rPr>
      <t>（含）</t>
    </r>
    <phoneticPr fontId="19" type="noConversion"/>
  </si>
  <si>
    <r>
      <rPr>
        <sz val="11"/>
        <color indexed="8"/>
        <rFont val="仿宋_GB2312"/>
        <family val="3"/>
        <charset val="134"/>
      </rPr>
      <t>自然及人文环境</t>
    </r>
    <phoneticPr fontId="1" type="noConversion"/>
  </si>
  <si>
    <r>
      <rPr>
        <sz val="11"/>
        <color indexed="8"/>
        <rFont val="仿宋_GB2312"/>
        <family val="3"/>
        <charset val="134"/>
      </rPr>
      <t>楼层</t>
    </r>
    <phoneticPr fontId="1" type="noConversion"/>
  </si>
  <si>
    <r>
      <rPr>
        <sz val="11"/>
        <color indexed="8"/>
        <rFont val="仿宋_GB2312"/>
        <family val="3"/>
        <charset val="134"/>
      </rPr>
      <t>朝向</t>
    </r>
    <phoneticPr fontId="1" type="noConversion"/>
  </si>
  <si>
    <r>
      <rPr>
        <sz val="11"/>
        <color indexed="8"/>
        <rFont val="仿宋_GB2312"/>
        <family val="3"/>
        <charset val="134"/>
      </rPr>
      <t>建筑类型</t>
    </r>
    <phoneticPr fontId="1" type="noConversion"/>
  </si>
  <si>
    <r>
      <rPr>
        <sz val="11"/>
        <color indexed="8"/>
        <rFont val="仿宋_GB2312"/>
        <family val="3"/>
        <charset val="134"/>
      </rPr>
      <t>项目建筑规模</t>
    </r>
    <phoneticPr fontId="1" type="noConversion"/>
  </si>
  <si>
    <r>
      <rPr>
        <sz val="11"/>
        <color indexed="8"/>
        <rFont val="仿宋_GB2312"/>
        <family val="3"/>
        <charset val="134"/>
      </rPr>
      <t>建筑结构</t>
    </r>
    <phoneticPr fontId="1" type="noConversion"/>
  </si>
  <si>
    <r>
      <rPr>
        <sz val="11"/>
        <color indexed="8"/>
        <rFont val="仿宋_GB2312"/>
        <family val="3"/>
        <charset val="134"/>
      </rPr>
      <t>建筑品质</t>
    </r>
    <phoneticPr fontId="1" type="noConversion"/>
  </si>
  <si>
    <r>
      <rPr>
        <sz val="11"/>
        <color indexed="8"/>
        <rFont val="仿宋_GB2312"/>
        <family val="3"/>
        <charset val="134"/>
      </rPr>
      <t>公共部分装修</t>
    </r>
    <phoneticPr fontId="1" type="noConversion"/>
  </si>
  <si>
    <r>
      <rPr>
        <sz val="11"/>
        <color indexed="8"/>
        <rFont val="仿宋_GB2312"/>
        <family val="3"/>
        <charset val="134"/>
      </rPr>
      <t>成新度</t>
    </r>
    <phoneticPr fontId="1" type="noConversion"/>
  </si>
  <si>
    <r>
      <rPr>
        <sz val="11"/>
        <color indexed="8"/>
        <rFont val="仿宋_GB2312"/>
        <family val="3"/>
        <charset val="134"/>
      </rPr>
      <t>物业管理</t>
    </r>
    <phoneticPr fontId="1" type="noConversion"/>
  </si>
  <si>
    <r>
      <rPr>
        <sz val="11"/>
        <color indexed="8"/>
        <rFont val="仿宋_GB2312"/>
        <family val="3"/>
        <charset val="134"/>
      </rPr>
      <t>房型</t>
    </r>
    <phoneticPr fontId="1" type="noConversion"/>
  </si>
  <si>
    <r>
      <rPr>
        <sz val="11"/>
        <color indexed="8"/>
        <rFont val="仿宋_GB2312"/>
        <family val="3"/>
        <charset val="134"/>
      </rPr>
      <t>内部装修</t>
    </r>
    <phoneticPr fontId="1" type="noConversion"/>
  </si>
  <si>
    <r>
      <rPr>
        <sz val="11"/>
        <color indexed="8"/>
        <rFont val="仿宋_GB2312"/>
        <family val="3"/>
        <charset val="134"/>
      </rPr>
      <t>内部装修维护情况</t>
    </r>
    <phoneticPr fontId="1" type="noConversion"/>
  </si>
  <si>
    <r>
      <rPr>
        <b/>
        <sz val="16"/>
        <rFont val="仿宋_GB2312"/>
        <family val="3"/>
        <charset val="134"/>
      </rPr>
      <t>商业</t>
    </r>
    <phoneticPr fontId="1"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</si>
  <si>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4" type="noConversion"/>
  </si>
  <si>
    <r>
      <rPr>
        <sz val="11"/>
        <color indexed="8"/>
        <rFont val="仿宋_GB2312"/>
        <family val="3"/>
        <charset val="134"/>
      </rPr>
      <t>人流量</t>
    </r>
    <phoneticPr fontId="24" type="noConversion"/>
  </si>
  <si>
    <r>
      <rPr>
        <sz val="11"/>
        <color indexed="8"/>
        <rFont val="仿宋_GB2312"/>
        <family val="3"/>
        <charset val="134"/>
      </rPr>
      <t>一般</t>
    </r>
  </si>
  <si>
    <r>
      <rPr>
        <sz val="11"/>
        <color indexed="8"/>
        <rFont val="仿宋_GB2312"/>
        <family val="3"/>
        <charset val="134"/>
      </rPr>
      <t>楼层</t>
    </r>
    <phoneticPr fontId="24" type="noConversion"/>
  </si>
  <si>
    <r>
      <rPr>
        <sz val="11"/>
        <color indexed="8"/>
        <rFont val="仿宋_GB2312"/>
        <family val="3"/>
        <charset val="134"/>
      </rPr>
      <t>商业类型</t>
    </r>
    <phoneticPr fontId="24" type="noConversion"/>
  </si>
  <si>
    <r>
      <rPr>
        <sz val="11"/>
        <color indexed="8"/>
        <rFont val="仿宋_GB2312"/>
        <family val="3"/>
        <charset val="134"/>
      </rPr>
      <t>公共部分装修</t>
    </r>
    <phoneticPr fontId="24" type="noConversion"/>
  </si>
  <si>
    <r>
      <rPr>
        <sz val="11"/>
        <color indexed="8"/>
        <rFont val="仿宋_GB2312"/>
        <family val="3"/>
        <charset val="134"/>
      </rPr>
      <t>成新度</t>
    </r>
    <phoneticPr fontId="24" type="noConversion"/>
  </si>
  <si>
    <r>
      <rPr>
        <sz val="11"/>
        <color indexed="8"/>
        <rFont val="仿宋_GB2312"/>
        <family val="3"/>
        <charset val="134"/>
      </rPr>
      <t>业态</t>
    </r>
    <phoneticPr fontId="24" type="noConversion"/>
  </si>
  <si>
    <r>
      <rPr>
        <sz val="11"/>
        <rFont val="仿宋_GB2312"/>
        <family val="3"/>
        <charset val="134"/>
      </rPr>
      <t>实物状况</t>
    </r>
    <phoneticPr fontId="1" type="noConversion"/>
  </si>
  <si>
    <r>
      <rPr>
        <sz val="11"/>
        <color indexed="8"/>
        <rFont val="仿宋_GB2312"/>
        <family val="3"/>
        <charset val="134"/>
      </rPr>
      <t>层高</t>
    </r>
    <phoneticPr fontId="24" type="noConversion"/>
  </si>
  <si>
    <r>
      <rPr>
        <sz val="11"/>
        <color indexed="8"/>
        <rFont val="仿宋_GB2312"/>
        <family val="3"/>
        <charset val="134"/>
      </rPr>
      <t>单套建筑面积</t>
    </r>
    <phoneticPr fontId="24" type="noConversion"/>
  </si>
  <si>
    <r>
      <rPr>
        <sz val="11"/>
        <rFont val="仿宋_GB2312"/>
        <family val="3"/>
        <charset val="134"/>
      </rPr>
      <t>进深比</t>
    </r>
    <phoneticPr fontId="1" type="noConversion"/>
  </si>
  <si>
    <r>
      <rPr>
        <sz val="11"/>
        <color indexed="8"/>
        <rFont val="仿宋_GB2312"/>
        <family val="3"/>
        <charset val="134"/>
      </rPr>
      <t>内部装修</t>
    </r>
    <phoneticPr fontId="24" type="noConversion"/>
  </si>
  <si>
    <r>
      <rPr>
        <sz val="11"/>
        <color indexed="8"/>
        <rFont val="仿宋_GB2312"/>
        <family val="3"/>
        <charset val="134"/>
      </rPr>
      <t>临街状况</t>
    </r>
    <phoneticPr fontId="1" type="noConversion"/>
  </si>
  <si>
    <r>
      <rPr>
        <sz val="11"/>
        <color indexed="8"/>
        <rFont val="仿宋_GB2312"/>
        <family val="3"/>
        <charset val="134"/>
      </rPr>
      <t>商业类型</t>
    </r>
    <phoneticPr fontId="1" type="noConversion"/>
  </si>
  <si>
    <r>
      <rPr>
        <sz val="11"/>
        <color indexed="8"/>
        <rFont val="仿宋_GB2312"/>
        <family val="3"/>
        <charset val="134"/>
      </rPr>
      <t>业态</t>
    </r>
    <phoneticPr fontId="1" type="noConversion"/>
  </si>
  <si>
    <r>
      <rPr>
        <sz val="11"/>
        <color indexed="8"/>
        <rFont val="仿宋_GB2312"/>
        <family val="3"/>
        <charset val="134"/>
      </rPr>
      <t>层高</t>
    </r>
    <phoneticPr fontId="1" type="noConversion"/>
  </si>
  <si>
    <r>
      <rPr>
        <sz val="11"/>
        <color indexed="8"/>
        <rFont val="仿宋_GB2312"/>
        <family val="3"/>
        <charset val="134"/>
      </rPr>
      <t>单套建筑面积</t>
    </r>
    <phoneticPr fontId="1" type="noConversion"/>
  </si>
  <si>
    <r>
      <rPr>
        <sz val="11"/>
        <color indexed="8"/>
        <rFont val="仿宋_GB2312"/>
        <family val="3"/>
        <charset val="134"/>
      </rPr>
      <t>进深比</t>
    </r>
    <phoneticPr fontId="1" type="noConversion"/>
  </si>
  <si>
    <r>
      <rPr>
        <b/>
        <sz val="16"/>
        <rFont val="仿宋_GB2312"/>
        <family val="3"/>
        <charset val="134"/>
      </rPr>
      <t>办公</t>
    </r>
    <phoneticPr fontId="24" type="noConversion"/>
  </si>
  <si>
    <r>
      <rPr>
        <sz val="11"/>
        <color indexed="8"/>
        <rFont val="仿宋_GB2312"/>
        <family val="3"/>
        <charset val="134"/>
      </rPr>
      <t>环境质量</t>
    </r>
    <phoneticPr fontId="25" type="noConversion"/>
  </si>
  <si>
    <r>
      <rPr>
        <sz val="11"/>
        <color indexed="8"/>
        <rFont val="仿宋_GB2312"/>
        <family val="3"/>
        <charset val="134"/>
      </rPr>
      <t>朝向</t>
    </r>
    <phoneticPr fontId="24" type="noConversion"/>
  </si>
  <si>
    <r>
      <rPr>
        <sz val="11"/>
        <color indexed="8"/>
        <rFont val="仿宋_GB2312"/>
        <family val="3"/>
        <charset val="134"/>
      </rPr>
      <t>建筑类型</t>
    </r>
    <phoneticPr fontId="24" type="noConversion"/>
  </si>
  <si>
    <r>
      <rPr>
        <sz val="11"/>
        <color indexed="8"/>
        <rFont val="仿宋_GB2312"/>
        <family val="3"/>
        <charset val="134"/>
      </rPr>
      <t>写字楼等级</t>
    </r>
    <phoneticPr fontId="24" type="noConversion"/>
  </si>
  <si>
    <r>
      <rPr>
        <sz val="11"/>
        <color indexed="8"/>
        <rFont val="仿宋_GB2312"/>
        <family val="3"/>
        <charset val="134"/>
      </rPr>
      <t>物业管理</t>
    </r>
    <phoneticPr fontId="24" type="noConversion"/>
  </si>
  <si>
    <r>
      <rPr>
        <sz val="11"/>
        <rFont val="仿宋_GB2312"/>
        <family val="3"/>
        <charset val="134"/>
      </rPr>
      <t>单套建筑面积</t>
    </r>
    <phoneticPr fontId="1" type="noConversion"/>
  </si>
  <si>
    <r>
      <rPr>
        <sz val="11"/>
        <color indexed="8"/>
        <rFont val="仿宋_GB2312"/>
        <family val="3"/>
        <charset val="134"/>
      </rPr>
      <t>环境质量</t>
    </r>
    <phoneticPr fontId="1" type="noConversion"/>
  </si>
  <si>
    <r>
      <rPr>
        <sz val="11"/>
        <color indexed="8"/>
        <rFont val="仿宋_GB2312"/>
        <family val="3"/>
        <charset val="134"/>
      </rPr>
      <t>毗邻道路的类型与等级</t>
    </r>
    <phoneticPr fontId="1" type="noConversion"/>
  </si>
  <si>
    <r>
      <rPr>
        <sz val="11"/>
        <color indexed="8"/>
        <rFont val="仿宋_GB2312"/>
        <family val="3"/>
        <charset val="134"/>
      </rPr>
      <t>写字楼等级</t>
    </r>
    <phoneticPr fontId="1" type="noConversion"/>
  </si>
  <si>
    <r>
      <rPr>
        <sz val="11"/>
        <rFont val="仿宋_GB2312"/>
        <family val="3"/>
        <charset val="134"/>
      </rPr>
      <t>层高</t>
    </r>
    <phoneticPr fontId="1" type="noConversion"/>
  </si>
  <si>
    <r>
      <rPr>
        <b/>
        <sz val="16"/>
        <rFont val="仿宋_GB2312"/>
        <family val="3"/>
        <charset val="134"/>
      </rPr>
      <t>工业</t>
    </r>
    <phoneticPr fontId="1" type="noConversion"/>
  </si>
  <si>
    <r>
      <rPr>
        <sz val="11"/>
        <color indexed="8"/>
        <rFont val="仿宋_GB2312"/>
        <family val="3"/>
        <charset val="134"/>
      </rPr>
      <t>产业集聚程度</t>
    </r>
    <phoneticPr fontId="24" type="noConversion"/>
  </si>
  <si>
    <r>
      <rPr>
        <sz val="11"/>
        <color indexed="8"/>
        <rFont val="仿宋_GB2312"/>
        <family val="3"/>
        <charset val="134"/>
      </rPr>
      <t>内部装修状况</t>
    </r>
    <phoneticPr fontId="24" type="noConversion"/>
  </si>
  <si>
    <r>
      <rPr>
        <sz val="11"/>
        <rFont val="仿宋_GB2312"/>
        <family val="3"/>
        <charset val="134"/>
      </rPr>
      <t>内部装修维护状况</t>
    </r>
    <phoneticPr fontId="1" type="noConversion"/>
  </si>
  <si>
    <r>
      <rPr>
        <b/>
        <sz val="16"/>
        <rFont val="仿宋_GB2312"/>
        <family val="3"/>
        <charset val="134"/>
      </rPr>
      <t>─</t>
    </r>
    <phoneticPr fontId="19"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</si>
  <si>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19" type="noConversion"/>
  </si>
  <si>
    <r>
      <rPr>
        <b/>
        <sz val="12"/>
        <rFont val="仿宋_GB2312"/>
        <family val="3"/>
        <charset val="134"/>
      </rPr>
      <t>总价</t>
    </r>
    <phoneticPr fontId="13" type="noConversion"/>
  </si>
  <si>
    <r>
      <rPr>
        <b/>
        <sz val="12"/>
        <rFont val="仿宋_GB2312"/>
        <family val="3"/>
        <charset val="134"/>
      </rPr>
      <t>楼面单价</t>
    </r>
    <phoneticPr fontId="13" type="noConversion"/>
  </si>
  <si>
    <r>
      <rPr>
        <b/>
        <sz val="12"/>
        <rFont val="仿宋_GB2312"/>
        <family val="3"/>
        <charset val="134"/>
      </rPr>
      <t>建筑面积</t>
    </r>
    <phoneticPr fontId="19" type="noConversion"/>
  </si>
  <si>
    <r>
      <rPr>
        <b/>
        <sz val="11"/>
        <rFont val="仿宋_GB2312"/>
        <family val="3"/>
        <charset val="134"/>
      </rPr>
      <t>比较因素</t>
    </r>
    <phoneticPr fontId="1" type="noConversion"/>
  </si>
  <si>
    <r>
      <rPr>
        <sz val="11"/>
        <rFont val="仿宋_GB2312"/>
        <family val="3"/>
        <charset val="134"/>
      </rPr>
      <t>估价对象</t>
    </r>
    <phoneticPr fontId="1" type="noConversion"/>
  </si>
  <si>
    <r>
      <rPr>
        <sz val="11"/>
        <rFont val="仿宋_GB2312"/>
        <family val="3"/>
        <charset val="134"/>
      </rPr>
      <t>案例</t>
    </r>
    <r>
      <rPr>
        <sz val="11"/>
        <rFont val="Arial"/>
        <family val="2"/>
      </rPr>
      <t>A</t>
    </r>
    <phoneticPr fontId="1" type="noConversion"/>
  </si>
  <si>
    <r>
      <rPr>
        <sz val="11"/>
        <rFont val="仿宋_GB2312"/>
        <family val="3"/>
        <charset val="134"/>
      </rPr>
      <t>案例</t>
    </r>
    <r>
      <rPr>
        <sz val="11"/>
        <rFont val="Arial"/>
        <family val="2"/>
      </rPr>
      <t>B</t>
    </r>
    <phoneticPr fontId="1" type="noConversion"/>
  </si>
  <si>
    <r>
      <rPr>
        <sz val="11"/>
        <rFont val="仿宋_GB2312"/>
        <family val="3"/>
        <charset val="134"/>
      </rPr>
      <t>案例</t>
    </r>
    <r>
      <rPr>
        <sz val="11"/>
        <rFont val="Arial"/>
        <family val="2"/>
      </rPr>
      <t>C</t>
    </r>
    <phoneticPr fontId="1" type="noConversion"/>
  </si>
  <si>
    <r>
      <rPr>
        <sz val="11"/>
        <color indexed="8"/>
        <rFont val="仿宋_GB2312"/>
        <family val="3"/>
        <charset val="134"/>
      </rPr>
      <t>修正幅度</t>
    </r>
    <phoneticPr fontId="1" type="noConversion"/>
  </si>
  <si>
    <r>
      <rPr>
        <sz val="11"/>
        <rFont val="仿宋_GB2312"/>
        <family val="3"/>
        <charset val="134"/>
      </rPr>
      <t>比较因素</t>
    </r>
    <phoneticPr fontId="1" type="noConversion"/>
  </si>
  <si>
    <r>
      <rPr>
        <sz val="11"/>
        <color indexed="8"/>
        <rFont val="仿宋_GB2312"/>
        <family val="3"/>
        <charset val="134"/>
      </rPr>
      <t>自然及人文环境</t>
    </r>
    <phoneticPr fontId="25" type="noConversion"/>
  </si>
  <si>
    <r>
      <rPr>
        <sz val="11"/>
        <color indexed="8"/>
        <rFont val="仿宋_GB2312"/>
        <family val="3"/>
        <charset val="134"/>
      </rPr>
      <t>楼层</t>
    </r>
    <phoneticPr fontId="25" type="noConversion"/>
  </si>
  <si>
    <r>
      <rPr>
        <sz val="11"/>
        <color indexed="8"/>
        <rFont val="仿宋_GB2312"/>
        <family val="3"/>
        <charset val="134"/>
      </rPr>
      <t>配套类型</t>
    </r>
    <phoneticPr fontId="24" type="noConversion"/>
  </si>
  <si>
    <r>
      <rPr>
        <sz val="11"/>
        <color indexed="8"/>
        <rFont val="仿宋_GB2312"/>
        <family val="3"/>
        <charset val="134"/>
      </rPr>
      <t>项目停车位配比</t>
    </r>
    <phoneticPr fontId="25" type="noConversion"/>
  </si>
  <si>
    <r>
      <rPr>
        <sz val="11"/>
        <color indexed="8"/>
        <rFont val="仿宋_GB2312"/>
        <family val="3"/>
        <charset val="134"/>
      </rPr>
      <t>公共部分装修</t>
    </r>
    <phoneticPr fontId="25" type="noConversion"/>
  </si>
  <si>
    <r>
      <rPr>
        <sz val="11"/>
        <color indexed="8"/>
        <rFont val="仿宋_GB2312"/>
        <family val="3"/>
        <charset val="134"/>
      </rPr>
      <t>成新率</t>
    </r>
    <phoneticPr fontId="24" type="noConversion"/>
  </si>
  <si>
    <r>
      <rPr>
        <sz val="11"/>
        <color indexed="8"/>
        <rFont val="仿宋_GB2312"/>
        <family val="3"/>
        <charset val="134"/>
      </rPr>
      <t>物业等级</t>
    </r>
    <phoneticPr fontId="24" type="noConversion"/>
  </si>
  <si>
    <r>
      <rPr>
        <sz val="11"/>
        <color indexed="8"/>
        <rFont val="仿宋_GB2312"/>
        <family val="3"/>
        <charset val="134"/>
      </rPr>
      <t>停车位面积</t>
    </r>
    <phoneticPr fontId="24" type="noConversion"/>
  </si>
  <si>
    <r>
      <rPr>
        <sz val="11"/>
        <color indexed="8"/>
        <rFont val="仿宋_GB2312"/>
        <family val="3"/>
        <charset val="134"/>
      </rPr>
      <t>车位类型</t>
    </r>
    <phoneticPr fontId="24" type="noConversion"/>
  </si>
  <si>
    <r>
      <rPr>
        <sz val="11"/>
        <color indexed="8"/>
        <rFont val="仿宋_GB2312"/>
        <family val="3"/>
        <charset val="134"/>
      </rPr>
      <t>是否直接入户</t>
    </r>
    <phoneticPr fontId="24" type="noConversion"/>
  </si>
  <si>
    <r>
      <rPr>
        <sz val="11"/>
        <color indexed="8"/>
        <rFont val="仿宋_GB2312"/>
        <family val="3"/>
        <charset val="134"/>
      </rPr>
      <t>配套类型（地上主用途）</t>
    </r>
    <phoneticPr fontId="1" type="noConversion"/>
  </si>
  <si>
    <r>
      <rPr>
        <sz val="11"/>
        <color indexed="8"/>
        <rFont val="仿宋_GB2312"/>
        <family val="3"/>
        <charset val="134"/>
      </rPr>
      <t>项目停车位配比</t>
    </r>
    <phoneticPr fontId="1" type="noConversion"/>
  </si>
  <si>
    <r>
      <rPr>
        <sz val="11"/>
        <color indexed="8"/>
        <rFont val="仿宋_GB2312"/>
        <family val="3"/>
        <charset val="134"/>
      </rPr>
      <t>成新率</t>
    </r>
    <phoneticPr fontId="1" type="noConversion"/>
  </si>
  <si>
    <r>
      <rPr>
        <sz val="11"/>
        <color indexed="8"/>
        <rFont val="仿宋_GB2312"/>
        <family val="3"/>
        <charset val="134"/>
      </rPr>
      <t>物业等级</t>
    </r>
    <phoneticPr fontId="25" type="noConversion"/>
  </si>
  <si>
    <r>
      <rPr>
        <sz val="11"/>
        <color indexed="8"/>
        <rFont val="仿宋_GB2312"/>
        <family val="3"/>
        <charset val="134"/>
      </rPr>
      <t>停车位面积</t>
    </r>
    <phoneticPr fontId="1" type="noConversion"/>
  </si>
  <si>
    <r>
      <rPr>
        <sz val="11"/>
        <color indexed="8"/>
        <rFont val="仿宋_GB2312"/>
        <family val="3"/>
        <charset val="134"/>
      </rPr>
      <t>车位类型</t>
    </r>
    <phoneticPr fontId="1" type="noConversion"/>
  </si>
  <si>
    <r>
      <rPr>
        <sz val="11"/>
        <color indexed="8"/>
        <rFont val="仿宋_GB2312"/>
        <family val="3"/>
        <charset val="134"/>
      </rPr>
      <t>是否直接入户</t>
    </r>
    <phoneticPr fontId="1" type="noConversion"/>
  </si>
  <si>
    <r>
      <rPr>
        <sz val="11"/>
        <rFont val="仿宋_GB2312"/>
        <family val="3"/>
        <charset val="134"/>
      </rPr>
      <t>实物状况</t>
    </r>
    <phoneticPr fontId="1" type="noConversion"/>
  </si>
  <si>
    <r>
      <rPr>
        <sz val="11"/>
        <color indexed="8"/>
        <rFont val="仿宋_GB2312"/>
        <family val="3"/>
        <charset val="134"/>
      </rPr>
      <t>有无电梯</t>
    </r>
    <phoneticPr fontId="24" type="noConversion"/>
  </si>
  <si>
    <r>
      <rPr>
        <sz val="11"/>
        <color indexed="8"/>
        <rFont val="仿宋_GB2312"/>
        <family val="3"/>
        <charset val="134"/>
      </rPr>
      <t>建筑面积</t>
    </r>
    <phoneticPr fontId="24" type="noConversion"/>
  </si>
  <si>
    <r>
      <rPr>
        <sz val="11"/>
        <color indexed="8"/>
        <rFont val="仿宋_GB2312"/>
        <family val="3"/>
        <charset val="134"/>
      </rPr>
      <t>是否封闭</t>
    </r>
    <phoneticPr fontId="24" type="noConversion"/>
  </si>
  <si>
    <r>
      <rPr>
        <sz val="11"/>
        <color indexed="8"/>
        <rFont val="仿宋_GB2312"/>
        <family val="3"/>
        <charset val="134"/>
      </rPr>
      <t>有无电梯</t>
    </r>
    <phoneticPr fontId="1" type="noConversion"/>
  </si>
  <si>
    <r>
      <rPr>
        <sz val="11"/>
        <color indexed="8"/>
        <rFont val="仿宋_GB2312"/>
        <family val="3"/>
        <charset val="134"/>
      </rPr>
      <t>建筑面积</t>
    </r>
    <phoneticPr fontId="25" type="noConversion"/>
  </si>
  <si>
    <r>
      <rPr>
        <sz val="11"/>
        <color indexed="8"/>
        <rFont val="仿宋_GB2312"/>
        <family val="3"/>
        <charset val="134"/>
      </rPr>
      <t>是否封闭</t>
    </r>
    <phoneticPr fontId="1" type="noConversion"/>
  </si>
  <si>
    <r>
      <rPr>
        <b/>
        <sz val="12"/>
        <color indexed="8"/>
        <rFont val="仿宋_GB2312"/>
        <family val="3"/>
        <charset val="134"/>
      </rPr>
      <t>总价</t>
    </r>
    <phoneticPr fontId="19" type="noConversion"/>
  </si>
  <si>
    <r>
      <rPr>
        <b/>
        <sz val="10"/>
        <color indexed="8"/>
        <rFont val="仿宋_GB2312"/>
        <family val="3"/>
        <charset val="134"/>
      </rPr>
      <t>合计</t>
    </r>
    <phoneticPr fontId="19"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</si>
  <si>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19" type="noConversion"/>
  </si>
  <si>
    <r>
      <rPr>
        <sz val="10"/>
        <color indexed="8"/>
        <rFont val="仿宋_GB2312"/>
        <family val="3"/>
        <charset val="134"/>
      </rPr>
      <t>修正系数</t>
    </r>
    <phoneticPr fontId="19" type="noConversion"/>
  </si>
  <si>
    <r>
      <rPr>
        <sz val="10"/>
        <color indexed="8"/>
        <rFont val="仿宋_GB2312"/>
        <family val="3"/>
        <charset val="134"/>
      </rPr>
      <t>修正单价</t>
    </r>
    <phoneticPr fontId="19" type="noConversion"/>
  </si>
  <si>
    <r>
      <rPr>
        <sz val="10"/>
        <color indexed="8"/>
        <rFont val="仿宋_GB2312"/>
        <family val="3"/>
        <charset val="134"/>
      </rPr>
      <t>总价</t>
    </r>
    <phoneticPr fontId="19" type="noConversion"/>
  </si>
  <si>
    <r>
      <rPr>
        <b/>
        <sz val="10"/>
        <color indexed="10"/>
        <rFont val="仿宋_GB2312"/>
        <family val="3"/>
        <charset val="134"/>
      </rPr>
      <t>基准户型</t>
    </r>
    <phoneticPr fontId="19" type="noConversion"/>
  </si>
  <si>
    <t>住宅\综合</t>
    <phoneticPr fontId="1" type="noConversion"/>
  </si>
  <si>
    <t>工业</t>
    <phoneticPr fontId="1" type="noConversion"/>
  </si>
  <si>
    <t>不动产-住宅</t>
    <phoneticPr fontId="1" type="noConversion"/>
  </si>
  <si>
    <t>不动产-商业</t>
    <phoneticPr fontId="1" type="noConversion"/>
  </si>
  <si>
    <t>不动产-办公</t>
    <phoneticPr fontId="1" type="noConversion"/>
  </si>
  <si>
    <t>不动产-工业</t>
    <phoneticPr fontId="27" type="noConversion"/>
  </si>
  <si>
    <t>不动产-车位</t>
    <phoneticPr fontId="27" type="noConversion"/>
  </si>
  <si>
    <t>不动产-仓储</t>
    <phoneticPr fontId="27"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</si>
  <si>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7" type="noConversion"/>
  </si>
  <si>
    <t>项目基本情况</t>
    <phoneticPr fontId="1" type="noConversion"/>
  </si>
  <si>
    <t>宗地现状</t>
    <phoneticPr fontId="4" type="noConversion"/>
  </si>
  <si>
    <t>闲置情况</t>
    <phoneticPr fontId="4" type="noConversion"/>
  </si>
  <si>
    <t>约定的动工日期</t>
    <phoneticPr fontId="4" type="noConversion"/>
  </si>
  <si>
    <t>超过约定</t>
    <phoneticPr fontId="4" type="noConversion"/>
  </si>
  <si>
    <t>年</t>
    <phoneticPr fontId="4"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</si>
  <si>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1"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</si>
  <si>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1"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</si>
  <si>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1" type="noConversion"/>
  </si>
  <si>
    <t>人防</t>
    <phoneticPr fontId="121" type="noConversion"/>
  </si>
  <si>
    <t>用途类型</t>
    <phoneticPr fontId="12" type="noConversion"/>
  </si>
  <si>
    <r>
      <rPr>
        <b/>
        <sz val="11"/>
        <color indexed="8"/>
        <rFont val="楷体_GB2312"/>
        <charset val="134"/>
      </rPr>
      <t>容积率</t>
    </r>
    <phoneticPr fontId="121" type="noConversion"/>
  </si>
  <si>
    <r>
      <rPr>
        <sz val="11"/>
        <color indexed="8"/>
        <rFont val="楷体_GB2312"/>
        <charset val="134"/>
      </rPr>
      <t>项目</t>
    </r>
    <phoneticPr fontId="121" type="noConversion"/>
  </si>
  <si>
    <r>
      <rPr>
        <sz val="11"/>
        <color indexed="8"/>
        <rFont val="楷体_GB2312"/>
        <charset val="134"/>
      </rPr>
      <t>总</t>
    </r>
    <phoneticPr fontId="121" type="noConversion"/>
  </si>
  <si>
    <r>
      <rPr>
        <sz val="11"/>
        <color indexed="8"/>
        <rFont val="楷体_GB2312"/>
        <charset val="134"/>
      </rPr>
      <t>地上</t>
    </r>
    <phoneticPr fontId="121" type="noConversion"/>
  </si>
  <si>
    <r>
      <rPr>
        <sz val="11"/>
        <color indexed="8"/>
        <rFont val="楷体_GB2312"/>
        <charset val="134"/>
      </rPr>
      <t>估价对象</t>
    </r>
    <phoneticPr fontId="121" type="noConversion"/>
  </si>
  <si>
    <r>
      <rPr>
        <sz val="11"/>
        <color indexed="8"/>
        <rFont val="楷体_GB2312"/>
        <charset val="134"/>
      </rPr>
      <t>还原率</t>
    </r>
    <r>
      <rPr>
        <sz val="11"/>
        <color indexed="8"/>
        <rFont val="Arial"/>
        <family val="2"/>
      </rPr>
      <t>-</t>
    </r>
    <r>
      <rPr>
        <sz val="11"/>
        <color indexed="8"/>
        <rFont val="楷体_GB2312"/>
        <charset val="134"/>
      </rPr>
      <t>土地</t>
    </r>
    <phoneticPr fontId="1" type="noConversion"/>
  </si>
  <si>
    <r>
      <rPr>
        <sz val="11"/>
        <color indexed="8"/>
        <rFont val="楷体_GB2312"/>
        <charset val="134"/>
      </rPr>
      <t>还原率</t>
    </r>
    <r>
      <rPr>
        <sz val="11"/>
        <color indexed="8"/>
        <rFont val="Arial"/>
        <family val="2"/>
      </rPr>
      <t>-</t>
    </r>
    <r>
      <rPr>
        <sz val="11"/>
        <color indexed="8"/>
        <rFont val="楷体_GB2312"/>
        <charset val="134"/>
      </rPr>
      <t>综合</t>
    </r>
    <phoneticPr fontId="1" type="noConversion"/>
  </si>
  <si>
    <r>
      <rPr>
        <b/>
        <sz val="11"/>
        <color indexed="8"/>
        <rFont val="楷体_GB2312"/>
        <charset val="134"/>
      </rPr>
      <t>综合取费</t>
    </r>
    <phoneticPr fontId="121" type="noConversion"/>
  </si>
  <si>
    <t>土地使用年期</t>
    <phoneticPr fontId="121" type="noConversion"/>
  </si>
  <si>
    <t>建安费用</t>
    <phoneticPr fontId="121" type="noConversion"/>
  </si>
  <si>
    <r>
      <rPr>
        <sz val="11"/>
        <color indexed="8"/>
        <rFont val="楷体_GB2312"/>
        <charset val="134"/>
      </rPr>
      <t>无租约</t>
    </r>
    <r>
      <rPr>
        <sz val="11"/>
        <color indexed="8"/>
        <rFont val="Arial"/>
        <family val="2"/>
      </rPr>
      <t>/</t>
    </r>
    <r>
      <rPr>
        <sz val="11"/>
        <color indexed="8"/>
        <rFont val="楷体_GB2312"/>
        <charset val="134"/>
      </rPr>
      <t>租期内</t>
    </r>
    <phoneticPr fontId="121" type="noConversion"/>
  </si>
  <si>
    <r>
      <rPr>
        <sz val="11"/>
        <color indexed="8"/>
        <rFont val="楷体_GB2312"/>
        <charset val="134"/>
      </rPr>
      <t>租期外</t>
    </r>
    <phoneticPr fontId="121" type="noConversion"/>
  </si>
  <si>
    <r>
      <rPr>
        <sz val="11"/>
        <color indexed="8"/>
        <rFont val="楷体_GB2312"/>
        <charset val="134"/>
      </rPr>
      <t>收益期</t>
    </r>
    <phoneticPr fontId="121" type="noConversion"/>
  </si>
  <si>
    <t>收益年期(总)</t>
    <phoneticPr fontId="1" type="noConversion"/>
  </si>
  <si>
    <t>红色字体</t>
    <phoneticPr fontId="27" type="noConversion"/>
  </si>
  <si>
    <r>
      <rPr>
        <b/>
        <sz val="14"/>
        <color indexed="10"/>
        <rFont val="仿宋_GB2312"/>
        <family val="3"/>
        <charset val="134"/>
      </rPr>
      <t>最终结果</t>
    </r>
    <phoneticPr fontId="7" type="noConversion"/>
  </si>
  <si>
    <t>五等判定</t>
    <phoneticPr fontId="1" type="noConversion"/>
  </si>
  <si>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</si>
  <si>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</si>
  <si>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</si>
  <si>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</si>
  <si>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</si>
  <si>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</si>
  <si>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</si>
  <si>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3" type="noConversion"/>
  </si>
  <si>
    <t>容积率</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</si>
  <si>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</si>
  <si>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</si>
  <si>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</si>
  <si>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</si>
  <si>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</si>
  <si>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</si>
  <si>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</si>
  <si>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</si>
  <si>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</si>
  <si>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</si>
  <si>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</si>
  <si>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</si>
  <si>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r>
      <rPr>
        <sz val="10"/>
        <rFont val="楷体_GB2312"/>
        <charset val="134"/>
      </rPr>
      <t>宗地容积率</t>
    </r>
    <r>
      <rPr>
        <sz val="10"/>
        <rFont val="Arial"/>
        <family val="2"/>
      </rPr>
      <t>R</t>
    </r>
    <phoneticPr fontId="123" type="noConversion"/>
  </si>
  <si>
    <r>
      <rPr>
        <sz val="10"/>
        <rFont val="楷体_GB2312"/>
        <charset val="134"/>
      </rPr>
      <t>修正系数</t>
    </r>
    <phoneticPr fontId="123" type="noConversion"/>
  </si>
  <si>
    <t>用途</t>
    <phoneticPr fontId="123" type="noConversion"/>
  </si>
  <si>
    <t>土地级别</t>
    <phoneticPr fontId="123" type="noConversion"/>
  </si>
  <si>
    <r>
      <rPr>
        <sz val="10"/>
        <rFont val="楷体_GB2312"/>
        <charset val="134"/>
      </rPr>
      <t>商业</t>
    </r>
    <phoneticPr fontId="123" type="noConversion"/>
  </si>
  <si>
    <r>
      <rPr>
        <sz val="10"/>
        <rFont val="楷体_GB2312"/>
        <charset val="134"/>
      </rPr>
      <t>办公</t>
    </r>
    <phoneticPr fontId="123" type="noConversion"/>
  </si>
  <si>
    <t>住宅</t>
    <phoneticPr fontId="123" type="noConversion"/>
  </si>
  <si>
    <r>
      <rPr>
        <sz val="10"/>
        <rFont val="楷体_GB2312"/>
        <charset val="134"/>
      </rPr>
      <t>工业</t>
    </r>
    <phoneticPr fontId="123" type="noConversion"/>
  </si>
  <si>
    <t>北京市基准地价容积率修正系数表（办公）</t>
    <phoneticPr fontId="123" type="noConversion"/>
  </si>
  <si>
    <t>北京市基准地价容积率修正系数表（居住）</t>
    <phoneticPr fontId="123" type="noConversion"/>
  </si>
  <si>
    <t>容积率</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</si>
  <si>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</si>
  <si>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</si>
  <si>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</si>
  <si>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</si>
  <si>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</si>
  <si>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</si>
  <si>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</si>
  <si>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</si>
  <si>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</si>
  <si>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</si>
  <si>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</si>
  <si>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</si>
  <si>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北京市基准地价容积率修正系数表（工业）</t>
    <phoneticPr fontId="123" type="noConversion"/>
  </si>
  <si>
    <t>总价</t>
    <phoneticPr fontId="123" type="noConversion"/>
  </si>
  <si>
    <t>万元</t>
    <phoneticPr fontId="123" type="noConversion"/>
  </si>
  <si>
    <t>用途</t>
    <phoneticPr fontId="123" type="noConversion"/>
  </si>
  <si>
    <t>住宅</t>
  </si>
  <si>
    <t>土地级别</t>
    <phoneticPr fontId="123" type="noConversion"/>
  </si>
  <si>
    <t>四级</t>
  </si>
  <si>
    <t>区片编号</t>
    <phoneticPr fontId="123" type="noConversion"/>
  </si>
  <si>
    <t>元/平方米</t>
    <phoneticPr fontId="123" type="noConversion"/>
  </si>
  <si>
    <t>用途类别</t>
    <phoneticPr fontId="123" type="noConversion"/>
  </si>
  <si>
    <t>楼层</t>
    <phoneticPr fontId="123" type="noConversion"/>
  </si>
  <si>
    <t>（地上）</t>
    <phoneticPr fontId="123" type="noConversion"/>
  </si>
  <si>
    <t>适用的楼面熟地价</t>
    <phoneticPr fontId="123" type="noConversion"/>
  </si>
  <si>
    <t>商业路线价修正（商业用途）</t>
    <phoneticPr fontId="123" type="noConversion"/>
  </si>
  <si>
    <t>宗地深度（米）</t>
    <phoneticPr fontId="123" type="noConversion"/>
  </si>
  <si>
    <t>所在商业街</t>
    <phoneticPr fontId="123" type="noConversion"/>
  </si>
  <si>
    <t>A1</t>
    <phoneticPr fontId="123" type="noConversion"/>
  </si>
  <si>
    <t>临商业街红线1/4标准深度占地面积／宗地总面积</t>
    <phoneticPr fontId="123" type="noConversion"/>
  </si>
  <si>
    <t>加价幅度</t>
    <phoneticPr fontId="123" type="noConversion"/>
  </si>
  <si>
    <t>A2</t>
  </si>
  <si>
    <t>临商业街红线1/4至2/4标准深度占地面积／宗地总面积</t>
    <phoneticPr fontId="123" type="noConversion"/>
  </si>
  <si>
    <t>标准深度（米）</t>
    <phoneticPr fontId="123" type="noConversion"/>
  </si>
  <si>
    <t>A3</t>
  </si>
  <si>
    <t>临商业街红线2/4至3/4标准深度占地面积／宗地总面积</t>
    <phoneticPr fontId="123" type="noConversion"/>
  </si>
  <si>
    <t>1/4标准深度</t>
    <phoneticPr fontId="123" type="noConversion"/>
  </si>
  <si>
    <t>A4</t>
  </si>
  <si>
    <t>临商业街红线3/4至4/4标准深度占地面积／宗地总面积</t>
    <phoneticPr fontId="123" type="noConversion"/>
  </si>
  <si>
    <t>特殊情况修正（居住用途）</t>
    <phoneticPr fontId="123" type="noConversion"/>
  </si>
  <si>
    <t>需根据项目情况调整公式修正项</t>
    <phoneticPr fontId="123" type="noConversion"/>
  </si>
  <si>
    <t>轨道交通站点周边</t>
    <phoneticPr fontId="123" type="noConversion"/>
  </si>
  <si>
    <t>其他（垃圾填埋场/污水处理厂等），自定义，修正幅度不超过±10%</t>
    <phoneticPr fontId="123" type="noConversion"/>
  </si>
  <si>
    <t>开发程度差异修正</t>
    <phoneticPr fontId="123" type="noConversion"/>
  </si>
  <si>
    <t>估价对象开发程度</t>
    <phoneticPr fontId="123" type="noConversion"/>
  </si>
  <si>
    <t>——</t>
  </si>
  <si>
    <t>级别平均容积率</t>
    <phoneticPr fontId="123" type="noConversion"/>
  </si>
  <si>
    <t>级别开发程度</t>
    <phoneticPr fontId="123" type="noConversion"/>
  </si>
  <si>
    <t>用途修正系数</t>
    <phoneticPr fontId="123" type="noConversion"/>
  </si>
  <si>
    <t>期日修正指数</t>
    <phoneticPr fontId="123" type="noConversion"/>
  </si>
  <si>
    <t>基准期日</t>
    <phoneticPr fontId="123" type="noConversion"/>
  </si>
  <si>
    <t>估价期日</t>
    <phoneticPr fontId="123" type="noConversion"/>
  </si>
  <si>
    <t>2016-2</t>
  </si>
  <si>
    <t>2014-1</t>
  </si>
  <si>
    <t>2014-2</t>
  </si>
  <si>
    <t>2014-3</t>
  </si>
  <si>
    <t>2014-4</t>
  </si>
  <si>
    <t>2015-1</t>
  </si>
  <si>
    <t>2015-2</t>
  </si>
  <si>
    <t>2015-3</t>
  </si>
  <si>
    <t>2015-4</t>
  </si>
  <si>
    <t>2016-1</t>
  </si>
  <si>
    <t>2016-3</t>
  </si>
  <si>
    <t>2016-4</t>
  </si>
  <si>
    <t>年期修正系数</t>
    <phoneticPr fontId="123" type="noConversion"/>
  </si>
  <si>
    <t>现行一年期贷款利率</t>
    <phoneticPr fontId="123" type="noConversion"/>
  </si>
  <si>
    <t>土地还原率</t>
    <phoneticPr fontId="123" type="noConversion"/>
  </si>
  <si>
    <t>剩余使用年限</t>
    <phoneticPr fontId="123" type="noConversion"/>
  </si>
  <si>
    <t>商业</t>
    <phoneticPr fontId="123" type="noConversion"/>
  </si>
  <si>
    <t>容积率修正系数</t>
    <phoneticPr fontId="123" type="noConversion"/>
  </si>
  <si>
    <t>R&gt;10</t>
    <phoneticPr fontId="123" type="noConversion"/>
  </si>
  <si>
    <t>办公</t>
    <phoneticPr fontId="123" type="noConversion"/>
  </si>
  <si>
    <t>楼层修正系数（商业）</t>
    <phoneticPr fontId="123" type="noConversion"/>
  </si>
  <si>
    <t>因素修正系数</t>
    <phoneticPr fontId="123" type="noConversion"/>
  </si>
  <si>
    <t>工业</t>
  </si>
  <si>
    <t>估算结果</t>
    <phoneticPr fontId="123" type="noConversion"/>
  </si>
  <si>
    <t>商业</t>
    <phoneticPr fontId="123" type="noConversion"/>
  </si>
  <si>
    <t>办公</t>
    <phoneticPr fontId="123" type="noConversion"/>
  </si>
  <si>
    <t>工业</t>
    <phoneticPr fontId="123" type="noConversion"/>
  </si>
  <si>
    <t>熟地价</t>
    <phoneticPr fontId="123" type="noConversion"/>
  </si>
  <si>
    <t>上浮比率</t>
    <phoneticPr fontId="123" type="noConversion"/>
  </si>
  <si>
    <t>政府土地出让收益</t>
    <phoneticPr fontId="123" type="noConversion"/>
  </si>
  <si>
    <t>地上部分</t>
    <phoneticPr fontId="123" type="noConversion"/>
  </si>
  <si>
    <t>单价</t>
    <phoneticPr fontId="123" type="noConversion"/>
  </si>
  <si>
    <t>建筑面积</t>
    <phoneticPr fontId="123" type="noConversion"/>
  </si>
  <si>
    <t>总额</t>
    <phoneticPr fontId="123" type="noConversion"/>
  </si>
  <si>
    <t>地上部分——楼面熟地价</t>
    <phoneticPr fontId="123" type="noConversion"/>
  </si>
  <si>
    <t>地上部分——政府土地出让收益</t>
    <phoneticPr fontId="123" type="noConversion"/>
  </si>
  <si>
    <t>政府土地出让收益=楼面熟地价×政府土地出让收益比例</t>
    <phoneticPr fontId="123" type="noConversion"/>
  </si>
  <si>
    <t>地下部分</t>
    <phoneticPr fontId="123" type="noConversion"/>
  </si>
  <si>
    <t>楼面熟地价=适用的基准地价×期日修正系数×年期修正系数×因素修正系数×相应用途地下空间修正系数</t>
    <phoneticPr fontId="123" type="noConversion"/>
  </si>
  <si>
    <t>相应用途地下空间修正系数</t>
  </si>
  <si>
    <t>地下第1层商业</t>
    <phoneticPr fontId="123" type="noConversion"/>
  </si>
  <si>
    <t>地下第2层商业</t>
    <phoneticPr fontId="123" type="noConversion"/>
  </si>
  <si>
    <t>地下第3层商业</t>
    <phoneticPr fontId="123" type="noConversion"/>
  </si>
  <si>
    <t>地下第4层商业</t>
    <phoneticPr fontId="123" type="noConversion"/>
  </si>
  <si>
    <t>地下办公</t>
    <phoneticPr fontId="123" type="noConversion"/>
  </si>
  <si>
    <t>地下仓储</t>
    <phoneticPr fontId="123" type="noConversion"/>
  </si>
  <si>
    <t>地下车库</t>
    <phoneticPr fontId="123" type="noConversion"/>
  </si>
  <si>
    <t>结果不可超过《北京市区片基准地价因素总修正幅度表》所列修正幅度；依据估价对象用途调整链接</t>
    <phoneticPr fontId="123" type="noConversion"/>
  </si>
  <si>
    <t>商业</t>
    <phoneticPr fontId="123" type="noConversion"/>
  </si>
  <si>
    <t>影响因素</t>
    <phoneticPr fontId="123" type="noConversion"/>
  </si>
  <si>
    <t>情况说明</t>
    <phoneticPr fontId="123" type="noConversion"/>
  </si>
  <si>
    <t>等级</t>
    <phoneticPr fontId="123" type="noConversion"/>
  </si>
  <si>
    <r>
      <rPr>
        <sz val="10"/>
        <color indexed="8"/>
        <rFont val="楷体_GB2312"/>
        <charset val="134"/>
      </rPr>
      <t>修正幅度</t>
    </r>
    <phoneticPr fontId="123" type="noConversion"/>
  </si>
  <si>
    <r>
      <rPr>
        <sz val="10"/>
        <color indexed="8"/>
        <rFont val="楷体_GB2312"/>
        <charset val="134"/>
      </rPr>
      <t>权重</t>
    </r>
    <phoneticPr fontId="123" type="noConversion"/>
  </si>
  <si>
    <r>
      <rPr>
        <sz val="10"/>
        <rFont val="楷体_GB2312"/>
        <charset val="134"/>
      </rPr>
      <t>合计</t>
    </r>
    <phoneticPr fontId="123" type="noConversion"/>
  </si>
  <si>
    <r>
      <rPr>
        <sz val="10"/>
        <color indexed="8"/>
        <rFont val="宋体"/>
        <family val="3"/>
        <charset val="134"/>
      </rPr>
      <t>修正系数</t>
    </r>
    <phoneticPr fontId="123" type="noConversion"/>
  </si>
  <si>
    <r>
      <rPr>
        <sz val="11"/>
        <color indexed="8"/>
        <rFont val="楷体_GB2312"/>
        <charset val="134"/>
      </rPr>
      <t>好</t>
    </r>
    <phoneticPr fontId="123" type="noConversion"/>
  </si>
  <si>
    <r>
      <rPr>
        <sz val="11"/>
        <color indexed="8"/>
        <rFont val="楷体_GB2312"/>
        <charset val="134"/>
      </rPr>
      <t>较好</t>
    </r>
    <phoneticPr fontId="123" type="noConversion"/>
  </si>
  <si>
    <r>
      <rPr>
        <sz val="11"/>
        <color indexed="8"/>
        <rFont val="楷体_GB2312"/>
        <charset val="134"/>
      </rPr>
      <t>一般</t>
    </r>
    <phoneticPr fontId="123" type="noConversion"/>
  </si>
  <si>
    <r>
      <rPr>
        <sz val="11"/>
        <color indexed="8"/>
        <rFont val="楷体_GB2312"/>
        <charset val="134"/>
      </rPr>
      <t>较差</t>
    </r>
    <phoneticPr fontId="123" type="noConversion"/>
  </si>
  <si>
    <r>
      <rPr>
        <sz val="11"/>
        <color indexed="8"/>
        <rFont val="楷体_GB2312"/>
        <charset val="134"/>
      </rPr>
      <t>差</t>
    </r>
    <phoneticPr fontId="123" type="noConversion"/>
  </si>
  <si>
    <t xml:space="preserve"> 商业繁华程度</t>
    <phoneticPr fontId="123" type="noConversion"/>
  </si>
  <si>
    <t>交通便捷度</t>
    <phoneticPr fontId="123" type="noConversion"/>
  </si>
  <si>
    <t>区域土地利用方向</t>
    <phoneticPr fontId="123" type="noConversion"/>
  </si>
  <si>
    <t>临街宽度和深度</t>
    <phoneticPr fontId="123" type="noConversion"/>
  </si>
  <si>
    <t>临街道路状况</t>
    <phoneticPr fontId="123" type="noConversion"/>
  </si>
  <si>
    <t>宗地形状及可利用程度</t>
    <phoneticPr fontId="123" type="noConversion"/>
  </si>
  <si>
    <t>公共服务设施状况</t>
    <phoneticPr fontId="123" type="noConversion"/>
  </si>
  <si>
    <t>基础设施完备状况</t>
    <phoneticPr fontId="123" type="noConversion"/>
  </si>
  <si>
    <t>自然和人文环境状况</t>
    <phoneticPr fontId="123" type="noConversion"/>
  </si>
  <si>
    <t>办公</t>
    <phoneticPr fontId="123" type="noConversion"/>
  </si>
  <si>
    <t>办公集聚程度</t>
    <phoneticPr fontId="123" type="noConversion"/>
  </si>
  <si>
    <t>住宅</t>
    <phoneticPr fontId="123" type="noConversion"/>
  </si>
  <si>
    <t>居住社区成熟度</t>
    <phoneticPr fontId="123" type="noConversion"/>
  </si>
  <si>
    <t>交通便捷度</t>
    <phoneticPr fontId="123" type="noConversion"/>
  </si>
  <si>
    <t>临路状况</t>
    <phoneticPr fontId="123" type="noConversion"/>
  </si>
  <si>
    <t>与区域中心的接近程度</t>
    <phoneticPr fontId="123" type="noConversion"/>
  </si>
  <si>
    <t>工业</t>
    <phoneticPr fontId="123" type="noConversion"/>
  </si>
  <si>
    <t>产业集聚程度</t>
    <phoneticPr fontId="123" type="noConversion"/>
  </si>
  <si>
    <t>环境状况</t>
    <phoneticPr fontId="123" type="noConversion"/>
  </si>
  <si>
    <t>北京市区片基准地价表</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</si>
  <si>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</si>
  <si>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</si>
  <si>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</si>
  <si>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</si>
  <si>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</si>
  <si>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</si>
  <si>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</si>
  <si>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</si>
  <si>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</si>
  <si>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</si>
  <si>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</si>
  <si>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</si>
  <si>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基准日期：2014年1月1日                                                    单位：元/建筑平方米</t>
    <phoneticPr fontId="123" type="noConversion"/>
  </si>
  <si>
    <t>Ⅰ—01</t>
    <phoneticPr fontId="123" type="noConversion"/>
  </si>
  <si>
    <t>Ⅱ—01</t>
    <phoneticPr fontId="123" type="noConversion"/>
  </si>
  <si>
    <t>Ⅲ—01</t>
    <phoneticPr fontId="123" type="noConversion"/>
  </si>
  <si>
    <t>Ⅳ-01</t>
    <phoneticPr fontId="123" type="noConversion"/>
  </si>
  <si>
    <t>Ⅴ-01</t>
    <phoneticPr fontId="123" type="noConversion"/>
  </si>
  <si>
    <t>Ⅵ-01</t>
    <phoneticPr fontId="123" type="noConversion"/>
  </si>
  <si>
    <t>Ⅶ-01</t>
    <phoneticPr fontId="123" type="noConversion"/>
  </si>
  <si>
    <t>Ⅷ-01</t>
    <phoneticPr fontId="123" type="noConversion"/>
  </si>
  <si>
    <t>Ⅸ-01</t>
    <phoneticPr fontId="123" type="noConversion"/>
  </si>
  <si>
    <t>Ⅹ-01</t>
    <phoneticPr fontId="123" type="noConversion"/>
  </si>
  <si>
    <t>Ⅺ-门1</t>
    <phoneticPr fontId="123" type="noConversion"/>
  </si>
  <si>
    <t>Ⅻ-门1</t>
    <phoneticPr fontId="123" type="noConversion"/>
  </si>
  <si>
    <t>级别</t>
    <phoneticPr fontId="123" type="noConversion"/>
  </si>
  <si>
    <t>商业</t>
    <phoneticPr fontId="123" type="noConversion"/>
  </si>
  <si>
    <t>办公</t>
    <phoneticPr fontId="123" type="noConversion"/>
  </si>
  <si>
    <t>住宅</t>
    <phoneticPr fontId="123" type="noConversion"/>
  </si>
  <si>
    <t>工业</t>
    <phoneticPr fontId="123" type="noConversion"/>
  </si>
  <si>
    <t>Ⅰ—02</t>
    <phoneticPr fontId="123" type="noConversion"/>
  </si>
  <si>
    <t>Ⅱ—02</t>
  </si>
  <si>
    <t>Ⅲ—02</t>
  </si>
  <si>
    <t>Ⅳ-02</t>
  </si>
  <si>
    <t>Ⅴ-02</t>
  </si>
  <si>
    <t>Ⅵ-02</t>
  </si>
  <si>
    <t>Ⅶ-02</t>
  </si>
  <si>
    <t>Ⅷ-02</t>
  </si>
  <si>
    <t>Ⅸ-02</t>
  </si>
  <si>
    <t>Ⅹ-02</t>
  </si>
  <si>
    <t>Ⅺ-门斋</t>
    <phoneticPr fontId="123" type="noConversion"/>
  </si>
  <si>
    <t>Ⅻ-房1</t>
    <phoneticPr fontId="123" type="noConversion"/>
  </si>
  <si>
    <t>区片编号</t>
    <phoneticPr fontId="123" type="noConversion"/>
  </si>
  <si>
    <t>区片价格</t>
    <phoneticPr fontId="123" type="noConversion"/>
  </si>
  <si>
    <t>Ⅰ—03</t>
  </si>
  <si>
    <t>Ⅱ—03</t>
  </si>
  <si>
    <t>Ⅲ—03</t>
  </si>
  <si>
    <t>Ⅳ-03</t>
  </si>
  <si>
    <t>Ⅴ-03</t>
  </si>
  <si>
    <t>Ⅵ-03</t>
  </si>
  <si>
    <t>Ⅶ-03</t>
  </si>
  <si>
    <t>Ⅷ-03</t>
  </si>
  <si>
    <t>Ⅸ-门1</t>
    <phoneticPr fontId="123" type="noConversion"/>
  </si>
  <si>
    <t>Ⅹ-门1</t>
    <phoneticPr fontId="123" type="noConversion"/>
  </si>
  <si>
    <t>Ⅺ-房1</t>
    <phoneticPr fontId="123" type="noConversion"/>
  </si>
  <si>
    <t>Ⅻ-昌1</t>
    <phoneticPr fontId="123" type="noConversion"/>
  </si>
  <si>
    <t>一级</t>
  </si>
  <si>
    <t>Ⅰ—04</t>
  </si>
  <si>
    <t>Ⅱ—04</t>
  </si>
  <si>
    <t>Ⅲ—04</t>
  </si>
  <si>
    <t>Ⅳ-04</t>
  </si>
  <si>
    <t>Ⅴ-04</t>
  </si>
  <si>
    <t>Ⅵ-04</t>
  </si>
  <si>
    <t>Ⅶ-04</t>
  </si>
  <si>
    <t>Ⅷ-04</t>
  </si>
  <si>
    <t>Ⅸ-门2</t>
    <phoneticPr fontId="123" type="noConversion"/>
  </si>
  <si>
    <t>Ⅹ-房1</t>
    <phoneticPr fontId="123" type="noConversion"/>
  </si>
  <si>
    <t>Ⅺ-房2</t>
  </si>
  <si>
    <t>Ⅻ-平1</t>
    <phoneticPr fontId="123" type="noConversion"/>
  </si>
  <si>
    <t>Ⅰ—02</t>
    <phoneticPr fontId="123" type="noConversion"/>
  </si>
  <si>
    <t>二级</t>
    <phoneticPr fontId="123" type="noConversion"/>
  </si>
  <si>
    <t>Ⅰ—05</t>
  </si>
  <si>
    <t>Ⅱ—05</t>
  </si>
  <si>
    <t>Ⅲ—05</t>
  </si>
  <si>
    <t>Ⅳ-05</t>
  </si>
  <si>
    <t>Ⅴ-05</t>
  </si>
  <si>
    <t>Ⅵ-05</t>
  </si>
  <si>
    <t>Ⅶ-05</t>
  </si>
  <si>
    <t>Ⅷ-门1</t>
    <phoneticPr fontId="123" type="noConversion"/>
  </si>
  <si>
    <t>Ⅸ-门潭</t>
    <phoneticPr fontId="123" type="noConversion"/>
  </si>
  <si>
    <t>Ⅹ-房2</t>
  </si>
  <si>
    <t>Ⅺ-通1</t>
    <phoneticPr fontId="123" type="noConversion"/>
  </si>
  <si>
    <t>Ⅻ-怀1</t>
    <phoneticPr fontId="123" type="noConversion"/>
  </si>
  <si>
    <t>Ⅱ—06</t>
  </si>
  <si>
    <t>Ⅲ—06</t>
  </si>
  <si>
    <t>Ⅳ-06</t>
  </si>
  <si>
    <t>Ⅴ-06</t>
  </si>
  <si>
    <t>Ⅵ-06</t>
  </si>
  <si>
    <t>Ⅶ-06</t>
  </si>
  <si>
    <t>Ⅷ-门军</t>
    <phoneticPr fontId="123" type="noConversion"/>
  </si>
  <si>
    <t>Ⅸ-房1</t>
    <phoneticPr fontId="123" type="noConversion"/>
  </si>
  <si>
    <t>Ⅹ-通1</t>
    <phoneticPr fontId="123" type="noConversion"/>
  </si>
  <si>
    <t>Ⅺ-顺1</t>
    <phoneticPr fontId="123" type="noConversion"/>
  </si>
  <si>
    <t>Ⅻ-密1</t>
    <phoneticPr fontId="123" type="noConversion"/>
  </si>
  <si>
    <t>Ⅱ—07</t>
  </si>
  <si>
    <t>Ⅲ—07</t>
  </si>
  <si>
    <t>Ⅳ-07</t>
  </si>
  <si>
    <t>Ⅴ-07</t>
  </si>
  <si>
    <t>Ⅵ-07</t>
  </si>
  <si>
    <t>Ⅶ-07</t>
  </si>
  <si>
    <t>Ⅷ-房1</t>
    <phoneticPr fontId="123" type="noConversion"/>
  </si>
  <si>
    <t>Ⅸ-房2</t>
  </si>
  <si>
    <t>Ⅹ-顺1</t>
    <phoneticPr fontId="123" type="noConversion"/>
  </si>
  <si>
    <t>Ⅺ-兴1</t>
    <phoneticPr fontId="123" type="noConversion"/>
  </si>
  <si>
    <t>Ⅻ-延1</t>
    <phoneticPr fontId="123" type="noConversion"/>
  </si>
  <si>
    <t>Ⅱ—08</t>
  </si>
  <si>
    <t>Ⅲ—08</t>
  </si>
  <si>
    <t>Ⅳ-08</t>
  </si>
  <si>
    <t>Ⅴ-08</t>
  </si>
  <si>
    <t>Ⅵ-08</t>
  </si>
  <si>
    <t>Ⅶ-08</t>
  </si>
  <si>
    <t>Ⅷ-房2</t>
  </si>
  <si>
    <t>Ⅸ-房3</t>
  </si>
  <si>
    <t>Ⅹ-顺2</t>
  </si>
  <si>
    <t>Ⅺ-兴2</t>
    <phoneticPr fontId="123" type="noConversion"/>
  </si>
  <si>
    <t>二级</t>
  </si>
  <si>
    <t>Ⅱ—01</t>
    <phoneticPr fontId="123" type="noConversion"/>
  </si>
  <si>
    <t>Ⅱ—09</t>
  </si>
  <si>
    <t>Ⅲ—09</t>
  </si>
  <si>
    <t>Ⅳ-09</t>
  </si>
  <si>
    <t>Ⅴ-09</t>
  </si>
  <si>
    <t>Ⅵ-09</t>
  </si>
  <si>
    <t>Ⅶ-09</t>
  </si>
  <si>
    <t>Ⅷ-房3</t>
  </si>
  <si>
    <t>Ⅸ-房4</t>
  </si>
  <si>
    <t>Ⅹ-顺3</t>
  </si>
  <si>
    <t>Ⅺ-昌1</t>
    <phoneticPr fontId="123" type="noConversion"/>
  </si>
  <si>
    <t>Ⅱ—10</t>
  </si>
  <si>
    <t>Ⅲ—10</t>
  </si>
  <si>
    <t>Ⅳ-10</t>
  </si>
  <si>
    <t>Ⅴ-10</t>
  </si>
  <si>
    <t>Ⅵ-10</t>
  </si>
  <si>
    <t>Ⅶ-10</t>
  </si>
  <si>
    <t>Ⅷ-通1</t>
    <phoneticPr fontId="123" type="noConversion"/>
  </si>
  <si>
    <t>Ⅸ-房5</t>
  </si>
  <si>
    <t>Ⅹ-兴1</t>
    <phoneticPr fontId="123" type="noConversion"/>
  </si>
  <si>
    <t>Ⅺ-昌2</t>
  </si>
  <si>
    <t>Ⅱ—11</t>
  </si>
  <si>
    <t>Ⅲ—11</t>
  </si>
  <si>
    <t>Ⅳ-11</t>
  </si>
  <si>
    <t>Ⅴ-11</t>
  </si>
  <si>
    <t>Ⅵ-11</t>
  </si>
  <si>
    <t>Ⅶ-11</t>
  </si>
  <si>
    <t>Ⅷ-通2</t>
  </si>
  <si>
    <t>Ⅸ-房6</t>
  </si>
  <si>
    <t>Ⅹ-兴2</t>
  </si>
  <si>
    <t>Ⅺ-平1</t>
    <phoneticPr fontId="123" type="noConversion"/>
  </si>
  <si>
    <t>Ⅱ—12</t>
  </si>
  <si>
    <t>Ⅲ—12</t>
  </si>
  <si>
    <t>Ⅳ-12</t>
  </si>
  <si>
    <t>Ⅴ-12</t>
  </si>
  <si>
    <t>Ⅵ-12</t>
  </si>
  <si>
    <t>Ⅶ-12</t>
  </si>
  <si>
    <t>Ⅷ-通3</t>
  </si>
  <si>
    <t>Ⅸ-通1</t>
    <phoneticPr fontId="123" type="noConversion"/>
  </si>
  <si>
    <t>Ⅹ-昌1</t>
    <phoneticPr fontId="123" type="noConversion"/>
  </si>
  <si>
    <t>Ⅺ-平2</t>
  </si>
  <si>
    <t>Ⅱ—13</t>
  </si>
  <si>
    <t>Ⅲ—13</t>
  </si>
  <si>
    <t>Ⅳ-13</t>
  </si>
  <si>
    <t>Ⅴ-13</t>
  </si>
  <si>
    <t>Ⅵ-13</t>
  </si>
  <si>
    <t>Ⅶ-13</t>
  </si>
  <si>
    <t>Ⅷ-顺1</t>
    <phoneticPr fontId="123" type="noConversion"/>
  </si>
  <si>
    <t>Ⅸ-通2</t>
  </si>
  <si>
    <t>Ⅹ-昌2</t>
  </si>
  <si>
    <t>Ⅺ-平3</t>
  </si>
  <si>
    <t>Ⅱ—14</t>
  </si>
  <si>
    <t>Ⅲ—14</t>
  </si>
  <si>
    <t>Ⅳ-14</t>
  </si>
  <si>
    <t>Ⅴ-14</t>
  </si>
  <si>
    <t>Ⅵ-14</t>
  </si>
  <si>
    <t>Ⅶ-门1</t>
    <phoneticPr fontId="123" type="noConversion"/>
  </si>
  <si>
    <t>Ⅷ-顺2</t>
  </si>
  <si>
    <t>Ⅸ-通3</t>
  </si>
  <si>
    <t>Ⅹ-昌3</t>
  </si>
  <si>
    <t>Ⅺ-平4</t>
  </si>
  <si>
    <t>Ⅱ—15</t>
  </si>
  <si>
    <t>Ⅲ—15</t>
  </si>
  <si>
    <t>Ⅳ-15</t>
  </si>
  <si>
    <t>Ⅴ-15</t>
  </si>
  <si>
    <t>Ⅵ-15</t>
  </si>
  <si>
    <t>Ⅶ-房1</t>
    <phoneticPr fontId="123" type="noConversion"/>
  </si>
  <si>
    <t>Ⅷ-顺3</t>
    <phoneticPr fontId="123" type="noConversion"/>
  </si>
  <si>
    <t>Ⅸ-顺1</t>
    <phoneticPr fontId="123" type="noConversion"/>
  </si>
  <si>
    <t>Ⅹ-平1</t>
    <phoneticPr fontId="123" type="noConversion"/>
  </si>
  <si>
    <t>Ⅺ-怀1</t>
    <phoneticPr fontId="123" type="noConversion"/>
  </si>
  <si>
    <t>Ⅱ—16</t>
  </si>
  <si>
    <t>Ⅲ—16</t>
  </si>
  <si>
    <t>Ⅳ-16</t>
  </si>
  <si>
    <t>Ⅴ-16</t>
  </si>
  <si>
    <t>Ⅵ-16</t>
  </si>
  <si>
    <t>Ⅶ-房2</t>
  </si>
  <si>
    <t>Ⅷ-顺4</t>
  </si>
  <si>
    <t>Ⅸ-顺2</t>
  </si>
  <si>
    <t>Ⅹ-平2</t>
  </si>
  <si>
    <t>Ⅺ-怀2</t>
  </si>
  <si>
    <t>Ⅱ—17</t>
  </si>
  <si>
    <t>Ⅲ—17</t>
  </si>
  <si>
    <t>Ⅳ-17</t>
  </si>
  <si>
    <t>Ⅴ-17</t>
  </si>
  <si>
    <t>Ⅵ-17</t>
  </si>
  <si>
    <t>Ⅶ-通1</t>
    <phoneticPr fontId="123" type="noConversion"/>
  </si>
  <si>
    <t>Ⅷ-顺5</t>
  </si>
  <si>
    <t>Ⅸ-顺3</t>
  </si>
  <si>
    <t>Ⅹ-怀1</t>
    <phoneticPr fontId="123" type="noConversion"/>
  </si>
  <si>
    <t>Ⅺ-密1</t>
    <phoneticPr fontId="123" type="noConversion"/>
  </si>
  <si>
    <t>Ⅱ—18</t>
  </si>
  <si>
    <t>Ⅲ—18</t>
  </si>
  <si>
    <t>Ⅳ-18</t>
  </si>
  <si>
    <t>Ⅴ-18</t>
  </si>
  <si>
    <t>Ⅵ-18</t>
  </si>
  <si>
    <t>Ⅶ-顺1</t>
    <phoneticPr fontId="123" type="noConversion"/>
  </si>
  <si>
    <t>Ⅷ-顺6</t>
  </si>
  <si>
    <t>Ⅸ-顺4</t>
  </si>
  <si>
    <t>Ⅹ-怀2</t>
  </si>
  <si>
    <t>Ⅺ-密2</t>
  </si>
  <si>
    <t>Ⅱ—19</t>
  </si>
  <si>
    <t>Ⅲ—19</t>
  </si>
  <si>
    <t>Ⅳ-19</t>
  </si>
  <si>
    <t>Ⅴ-19</t>
  </si>
  <si>
    <t>Ⅵ-19</t>
  </si>
  <si>
    <t>Ⅶ-顺2</t>
  </si>
  <si>
    <t>Ⅷ-顺7</t>
  </si>
  <si>
    <t>Ⅸ-兴1</t>
    <phoneticPr fontId="123" type="noConversion"/>
  </si>
  <si>
    <t>Ⅹ-怀3</t>
  </si>
  <si>
    <t>Ⅺ-密3</t>
  </si>
  <si>
    <t>Ⅲ—20</t>
  </si>
  <si>
    <t>Ⅳ-20</t>
  </si>
  <si>
    <t>Ⅴ-20</t>
  </si>
  <si>
    <t>Ⅵ-20</t>
  </si>
  <si>
    <t>Ⅶ-兴1</t>
    <phoneticPr fontId="123" type="noConversion"/>
  </si>
  <si>
    <t>Ⅷ-兴1</t>
    <phoneticPr fontId="123" type="noConversion"/>
  </si>
  <si>
    <t>Ⅸ-兴2</t>
  </si>
  <si>
    <t>Ⅹ-密1</t>
    <phoneticPr fontId="123" type="noConversion"/>
  </si>
  <si>
    <t>Ⅺ-延1</t>
    <phoneticPr fontId="123" type="noConversion"/>
  </si>
  <si>
    <t>Ⅱ—13</t>
    <phoneticPr fontId="123" type="noConversion"/>
  </si>
  <si>
    <t>Ⅳ-21</t>
  </si>
  <si>
    <t>Ⅴ-21</t>
  </si>
  <si>
    <t>Ⅵ-21</t>
  </si>
  <si>
    <t>Ⅶ-兴2</t>
  </si>
  <si>
    <t>Ⅷ-兴2</t>
  </si>
  <si>
    <t>Ⅸ-兴3</t>
  </si>
  <si>
    <t>Ⅹ-延1</t>
    <phoneticPr fontId="123" type="noConversion"/>
  </si>
  <si>
    <t>Ⅺ-延2</t>
  </si>
  <si>
    <t>Ⅳ-22</t>
  </si>
  <si>
    <t>Ⅴ-22</t>
  </si>
  <si>
    <t>Ⅵ-22</t>
  </si>
  <si>
    <t>Ⅶ-兴3</t>
  </si>
  <si>
    <t>Ⅷ-昌1</t>
    <phoneticPr fontId="123" type="noConversion"/>
  </si>
  <si>
    <t>Ⅸ-兴4</t>
  </si>
  <si>
    <t>Ⅹ-延2</t>
  </si>
  <si>
    <t>Ⅳ-23</t>
  </si>
  <si>
    <t>Ⅴ-23</t>
  </si>
  <si>
    <t>Ⅵ-23</t>
  </si>
  <si>
    <t>Ⅶ-昌1</t>
    <phoneticPr fontId="123" type="noConversion"/>
  </si>
  <si>
    <t>Ⅷ-昌2</t>
  </si>
  <si>
    <t>Ⅸ-兴5</t>
  </si>
  <si>
    <t>Ⅹ-亦1</t>
    <phoneticPr fontId="123" type="noConversion"/>
  </si>
  <si>
    <t>Ⅳ-电子城东</t>
    <phoneticPr fontId="123" type="noConversion"/>
  </si>
  <si>
    <t>Ⅴ-24</t>
  </si>
  <si>
    <t>Ⅵ-24</t>
  </si>
  <si>
    <t>Ⅶ-昌2</t>
  </si>
  <si>
    <t>Ⅷ-昌3</t>
  </si>
  <si>
    <t>Ⅸ-昌1</t>
    <phoneticPr fontId="123" type="noConversion"/>
  </si>
  <si>
    <t>Ⅹ-马坊工业园</t>
    <phoneticPr fontId="123" type="noConversion"/>
  </si>
  <si>
    <t>Ⅳ-电子城西</t>
    <phoneticPr fontId="123" type="noConversion"/>
  </si>
  <si>
    <t>Ⅴ-25</t>
  </si>
  <si>
    <t>Ⅵ-通1</t>
    <phoneticPr fontId="123" type="noConversion"/>
  </si>
  <si>
    <t>Ⅶ-昌3</t>
  </si>
  <si>
    <t>Ⅷ-昌4</t>
  </si>
  <si>
    <t>Ⅸ-昌2</t>
  </si>
  <si>
    <t>Ⅹ-延庆开发区</t>
    <phoneticPr fontId="123" type="noConversion"/>
  </si>
  <si>
    <t>Ⅳ-上地核心</t>
    <phoneticPr fontId="123" type="noConversion"/>
  </si>
  <si>
    <t>Ⅴ-26</t>
  </si>
  <si>
    <t>Ⅵ-通2</t>
  </si>
  <si>
    <t>Ⅶ-昌4</t>
  </si>
  <si>
    <t>Ⅷ-平1</t>
    <phoneticPr fontId="123" type="noConversion"/>
  </si>
  <si>
    <t>Ⅸ-昌3</t>
  </si>
  <si>
    <t>Ⅹ-八达岭开发区</t>
    <phoneticPr fontId="123" type="noConversion"/>
  </si>
  <si>
    <t>Ⅳ-丰台园东</t>
    <phoneticPr fontId="123" type="noConversion"/>
  </si>
  <si>
    <t>Ⅴ-电子城北</t>
    <phoneticPr fontId="123" type="noConversion"/>
  </si>
  <si>
    <t>Ⅵ-通3</t>
  </si>
  <si>
    <t>Ⅶ-昌5</t>
  </si>
  <si>
    <t>Ⅷ-怀1</t>
    <phoneticPr fontId="123" type="noConversion"/>
  </si>
  <si>
    <t>Ⅸ-昌4</t>
  </si>
  <si>
    <t>三级</t>
  </si>
  <si>
    <t>Ⅲ—01</t>
    <phoneticPr fontId="123" type="noConversion"/>
  </si>
  <si>
    <t>Ⅴ-永丰产业基地</t>
    <phoneticPr fontId="123" type="noConversion"/>
  </si>
  <si>
    <t>Ⅵ-通4</t>
  </si>
  <si>
    <t>Ⅶ-亦1</t>
    <phoneticPr fontId="123" type="noConversion"/>
  </si>
  <si>
    <t>Ⅷ-密1</t>
    <phoneticPr fontId="123" type="noConversion"/>
  </si>
  <si>
    <t>Ⅸ-昌5</t>
  </si>
  <si>
    <t>Ⅴ-航天城</t>
    <phoneticPr fontId="123" type="noConversion"/>
  </si>
  <si>
    <t>Ⅵ-顺1</t>
    <phoneticPr fontId="123" type="noConversion"/>
  </si>
  <si>
    <t>Ⅶ-国际教育园</t>
    <phoneticPr fontId="123" type="noConversion"/>
  </si>
  <si>
    <t>Ⅸ-昌南</t>
    <phoneticPr fontId="123" type="noConversion"/>
  </si>
  <si>
    <r>
      <t>Ⅴ-西北旺</t>
    </r>
    <r>
      <rPr>
        <sz val="10"/>
        <color indexed="8"/>
        <rFont val="宋体"/>
        <family val="3"/>
        <charset val="134"/>
      </rPr>
      <t>Ⅰ</t>
    </r>
    <phoneticPr fontId="123" type="noConversion"/>
  </si>
  <si>
    <t>Ⅵ-兴1</t>
    <phoneticPr fontId="123" type="noConversion"/>
  </si>
  <si>
    <t>Ⅶ-农林园</t>
    <phoneticPr fontId="123" type="noConversion"/>
  </si>
  <si>
    <t>Ⅷ-亦1</t>
    <phoneticPr fontId="123" type="noConversion"/>
  </si>
  <si>
    <t>Ⅸ-平1</t>
    <phoneticPr fontId="123" type="noConversion"/>
  </si>
  <si>
    <r>
      <t>Ⅴ-西北旺</t>
    </r>
    <r>
      <rPr>
        <sz val="10"/>
        <color indexed="8"/>
        <rFont val="宋体"/>
        <family val="3"/>
        <charset val="134"/>
      </rPr>
      <t>Ⅱ</t>
    </r>
    <phoneticPr fontId="123" type="noConversion"/>
  </si>
  <si>
    <t>Ⅵ-昌1</t>
    <phoneticPr fontId="123" type="noConversion"/>
  </si>
  <si>
    <t>Ⅶ-上庄科技</t>
    <phoneticPr fontId="123" type="noConversion"/>
  </si>
  <si>
    <t>Ⅷ-亦2</t>
  </si>
  <si>
    <t>Ⅸ-怀1</t>
    <phoneticPr fontId="123" type="noConversion"/>
  </si>
  <si>
    <t>Ⅴ-石景山园南区</t>
    <phoneticPr fontId="123" type="noConversion"/>
  </si>
  <si>
    <t>Ⅵ-昌2</t>
  </si>
  <si>
    <t>Ⅶ-文化教育基地</t>
    <phoneticPr fontId="123" type="noConversion"/>
  </si>
  <si>
    <t>Ⅷ-良乡开发区A</t>
    <phoneticPr fontId="123" type="noConversion"/>
  </si>
  <si>
    <t>Ⅸ-密1</t>
    <phoneticPr fontId="123" type="noConversion"/>
  </si>
  <si>
    <r>
      <t>Ⅴ-石景山园北</t>
    </r>
    <r>
      <rPr>
        <sz val="10"/>
        <color indexed="8"/>
        <rFont val="宋体"/>
        <family val="3"/>
        <charset val="134"/>
      </rPr>
      <t>Ⅰ</t>
    </r>
    <phoneticPr fontId="123" type="noConversion"/>
  </si>
  <si>
    <t>Ⅵ-昌3</t>
  </si>
  <si>
    <r>
      <t>Ⅶ-苏家坨科技</t>
    </r>
    <r>
      <rPr>
        <sz val="10"/>
        <color indexed="8"/>
        <rFont val="宋体"/>
        <family val="3"/>
        <charset val="134"/>
      </rPr>
      <t>Ⅰ</t>
    </r>
    <phoneticPr fontId="123" type="noConversion"/>
  </si>
  <si>
    <t>Ⅷ-良乡开发区B</t>
    <phoneticPr fontId="123" type="noConversion"/>
  </si>
  <si>
    <t>Ⅸ-延1</t>
    <phoneticPr fontId="123" type="noConversion"/>
  </si>
  <si>
    <r>
      <t>Ⅴ-石景山园北</t>
    </r>
    <r>
      <rPr>
        <sz val="10"/>
        <color indexed="8"/>
        <rFont val="宋体"/>
        <family val="3"/>
        <charset val="134"/>
      </rPr>
      <t>Ⅱ</t>
    </r>
    <phoneticPr fontId="123" type="noConversion"/>
  </si>
  <si>
    <t>Ⅵ-昌4</t>
  </si>
  <si>
    <r>
      <t>Ⅶ-苏家坨科技</t>
    </r>
    <r>
      <rPr>
        <sz val="10"/>
        <color indexed="8"/>
        <rFont val="宋体"/>
        <family val="3"/>
        <charset val="134"/>
      </rPr>
      <t>Ⅱ</t>
    </r>
    <phoneticPr fontId="123" type="noConversion"/>
  </si>
  <si>
    <t>Ⅷ-良乡开发区C</t>
    <phoneticPr fontId="123" type="noConversion"/>
  </si>
  <si>
    <t>Ⅸ-亦1</t>
    <phoneticPr fontId="123" type="noConversion"/>
  </si>
  <si>
    <t>Ⅵ-亦1</t>
    <phoneticPr fontId="123" type="noConversion"/>
  </si>
  <si>
    <r>
      <t>Ⅶ-丰台园西</t>
    </r>
    <r>
      <rPr>
        <sz val="10"/>
        <color indexed="8"/>
        <rFont val="宋体"/>
        <family val="3"/>
        <charset val="134"/>
      </rPr>
      <t>Ⅰ</t>
    </r>
    <phoneticPr fontId="123" type="noConversion"/>
  </si>
  <si>
    <t>Ⅷ-通州环保园</t>
    <phoneticPr fontId="123" type="noConversion"/>
  </si>
  <si>
    <t>Ⅸ-房山工业园东</t>
    <phoneticPr fontId="123" type="noConversion"/>
  </si>
  <si>
    <t>Ⅵ-创新园</t>
    <phoneticPr fontId="123" type="noConversion"/>
  </si>
  <si>
    <r>
      <t>Ⅶ-丰台园西</t>
    </r>
    <r>
      <rPr>
        <sz val="10"/>
        <color indexed="8"/>
        <rFont val="宋体"/>
        <family val="3"/>
        <charset val="134"/>
      </rPr>
      <t>Ⅱ</t>
    </r>
    <phoneticPr fontId="123" type="noConversion"/>
  </si>
  <si>
    <t>Ⅷ-空港北区A</t>
    <phoneticPr fontId="123" type="noConversion"/>
  </si>
  <si>
    <t>Ⅸ-房山工业园西</t>
    <phoneticPr fontId="123" type="noConversion"/>
  </si>
  <si>
    <t>Ⅵ-海淀环保园</t>
    <phoneticPr fontId="123" type="noConversion"/>
  </si>
  <si>
    <t>Ⅶ-石龙开发区</t>
    <phoneticPr fontId="123" type="noConversion"/>
  </si>
  <si>
    <t>Ⅷ-空港北区B</t>
    <phoneticPr fontId="123" type="noConversion"/>
  </si>
  <si>
    <t>Ⅸ-通州开发区东</t>
    <phoneticPr fontId="123" type="noConversion"/>
  </si>
  <si>
    <r>
      <t>Ⅵ-温泉科技</t>
    </r>
    <r>
      <rPr>
        <sz val="10"/>
        <color indexed="8"/>
        <rFont val="宋体"/>
        <family val="3"/>
        <charset val="134"/>
      </rPr>
      <t>Ⅰ</t>
    </r>
    <phoneticPr fontId="123" type="noConversion"/>
  </si>
  <si>
    <t>Ⅶ-光机电</t>
    <phoneticPr fontId="123" type="noConversion"/>
  </si>
  <si>
    <t>Ⅷ-生物医药基地</t>
    <phoneticPr fontId="123" type="noConversion"/>
  </si>
  <si>
    <t>Ⅸ-永乐开发区</t>
    <phoneticPr fontId="123" type="noConversion"/>
  </si>
  <si>
    <r>
      <t>Ⅵ-温泉科技</t>
    </r>
    <r>
      <rPr>
        <sz val="10"/>
        <color indexed="8"/>
        <rFont val="宋体"/>
        <family val="3"/>
        <charset val="134"/>
      </rPr>
      <t>Ⅱ</t>
    </r>
    <phoneticPr fontId="123" type="noConversion"/>
  </si>
  <si>
    <t>Ⅶ-通州开发区西</t>
    <phoneticPr fontId="123" type="noConversion"/>
  </si>
  <si>
    <t>Ⅷ-小汤山工业园</t>
    <phoneticPr fontId="123" type="noConversion"/>
  </si>
  <si>
    <t>Ⅸ-采育开发区</t>
    <phoneticPr fontId="123" type="noConversion"/>
  </si>
  <si>
    <r>
      <t>Ⅵ-温泉科技</t>
    </r>
    <r>
      <rPr>
        <sz val="10"/>
        <color indexed="8"/>
        <rFont val="宋体"/>
        <family val="3"/>
        <charset val="134"/>
      </rPr>
      <t>Ⅲ</t>
    </r>
    <phoneticPr fontId="123" type="noConversion"/>
  </si>
  <si>
    <t>Ⅶ-林河开发区</t>
    <phoneticPr fontId="123" type="noConversion"/>
  </si>
  <si>
    <t>Ⅸ-兴谷开发区A</t>
    <phoneticPr fontId="123" type="noConversion"/>
  </si>
  <si>
    <t>Ⅵ-天竺保税区南</t>
    <phoneticPr fontId="123" type="noConversion"/>
  </si>
  <si>
    <t>Ⅶ-大兴开发区</t>
    <phoneticPr fontId="123" type="noConversion"/>
  </si>
  <si>
    <t>Ⅸ-兴谷开发区B</t>
    <phoneticPr fontId="123" type="noConversion"/>
  </si>
  <si>
    <t>Ⅵ-天竺保税区北1</t>
    <phoneticPr fontId="123" type="noConversion"/>
  </si>
  <si>
    <r>
      <t>Ⅶ-昌平园南</t>
    </r>
    <r>
      <rPr>
        <sz val="10"/>
        <color indexed="8"/>
        <rFont val="宋体"/>
        <family val="3"/>
        <charset val="134"/>
      </rPr>
      <t>Ⅰ</t>
    </r>
    <phoneticPr fontId="123" type="noConversion"/>
  </si>
  <si>
    <t>Ⅸ-雁栖开发区A</t>
    <phoneticPr fontId="123" type="noConversion"/>
  </si>
  <si>
    <t>Ⅵ-天竺保税区北2</t>
  </si>
  <si>
    <r>
      <t>Ⅶ-昌平园南</t>
    </r>
    <r>
      <rPr>
        <sz val="10"/>
        <color indexed="8"/>
        <rFont val="宋体"/>
        <family val="3"/>
        <charset val="134"/>
      </rPr>
      <t>Ⅱ</t>
    </r>
    <phoneticPr fontId="123" type="noConversion"/>
  </si>
  <si>
    <t>Ⅸ-雁栖开发区B</t>
    <phoneticPr fontId="123" type="noConversion"/>
  </si>
  <si>
    <t>Ⅵ-空港A</t>
    <phoneticPr fontId="123" type="noConversion"/>
  </si>
  <si>
    <r>
      <t>Ⅶ-昌平园北</t>
    </r>
    <r>
      <rPr>
        <sz val="10"/>
        <color indexed="8"/>
        <rFont val="宋体"/>
        <family val="3"/>
        <charset val="134"/>
      </rPr>
      <t>Ⅰ</t>
    </r>
    <phoneticPr fontId="123" type="noConversion"/>
  </si>
  <si>
    <t>Ⅸ-雁栖开发区C</t>
    <phoneticPr fontId="123" type="noConversion"/>
  </si>
  <si>
    <t>Ⅵ-空港B</t>
    <phoneticPr fontId="123" type="noConversion"/>
  </si>
  <si>
    <r>
      <t>Ⅶ-昌平园北</t>
    </r>
    <r>
      <rPr>
        <sz val="10"/>
        <color indexed="8"/>
        <rFont val="宋体"/>
        <family val="3"/>
        <charset val="134"/>
      </rPr>
      <t>Ⅱ</t>
    </r>
    <phoneticPr fontId="123" type="noConversion"/>
  </si>
  <si>
    <t>Ⅸ-密云开发区</t>
    <phoneticPr fontId="123" type="noConversion"/>
  </si>
  <si>
    <t>Ⅵ-生命科学园</t>
    <phoneticPr fontId="123" type="noConversion"/>
  </si>
  <si>
    <r>
      <t>Ⅶ-昌平园北</t>
    </r>
    <r>
      <rPr>
        <sz val="10"/>
        <color indexed="8"/>
        <rFont val="宋体"/>
        <family val="3"/>
        <charset val="134"/>
      </rPr>
      <t>Ⅲ</t>
    </r>
    <phoneticPr fontId="123" type="noConversion"/>
  </si>
  <si>
    <t>Ⅵ-昌三一光电</t>
    <phoneticPr fontId="123" type="noConversion"/>
  </si>
  <si>
    <t>Ⅶ-BDA东</t>
    <phoneticPr fontId="123" type="noConversion"/>
  </si>
  <si>
    <t>Ⅳ-01</t>
    <phoneticPr fontId="123" type="noConversion"/>
  </si>
  <si>
    <t>Ⅵ-BDA核心</t>
    <phoneticPr fontId="123" type="noConversion"/>
  </si>
  <si>
    <t>Ⅶ-BDA西</t>
    <phoneticPr fontId="123" type="noConversion"/>
  </si>
  <si>
    <t>五级</t>
  </si>
  <si>
    <t>Ⅴ-01</t>
    <phoneticPr fontId="123" type="noConversion"/>
  </si>
  <si>
    <t>六级</t>
  </si>
  <si>
    <t>Ⅵ-01</t>
    <phoneticPr fontId="123" type="noConversion"/>
  </si>
  <si>
    <t>七级</t>
  </si>
  <si>
    <t>Ⅶ-01</t>
    <phoneticPr fontId="123" type="noConversion"/>
  </si>
  <si>
    <t>八级</t>
  </si>
  <si>
    <t>Ⅷ-01</t>
    <phoneticPr fontId="123" type="noConversion"/>
  </si>
  <si>
    <t>九级</t>
  </si>
  <si>
    <t>Ⅸ-01</t>
    <phoneticPr fontId="123" type="noConversion"/>
  </si>
  <si>
    <t>Ⅸ-门1</t>
    <phoneticPr fontId="123" type="noConversion"/>
  </si>
  <si>
    <t>Ⅸ-门2</t>
    <phoneticPr fontId="123" type="noConversion"/>
  </si>
  <si>
    <t>十级</t>
  </si>
  <si>
    <t>Ⅹ-01</t>
    <phoneticPr fontId="123" type="noConversion"/>
  </si>
  <si>
    <t>Ⅹ-门1</t>
    <phoneticPr fontId="123" type="noConversion"/>
  </si>
  <si>
    <t>Ⅹ-门斋</t>
    <phoneticPr fontId="123" type="noConversion"/>
  </si>
  <si>
    <t>Ⅹ-房1</t>
    <phoneticPr fontId="123" type="noConversion"/>
  </si>
  <si>
    <t>Ⅺ-门1</t>
    <phoneticPr fontId="123" type="noConversion"/>
  </si>
  <si>
    <t>Ⅺ-门斋</t>
    <phoneticPr fontId="123" type="noConversion"/>
  </si>
  <si>
    <t>Ⅺ-房1</t>
    <phoneticPr fontId="123" type="noConversion"/>
  </si>
  <si>
    <t>Ⅻ-门1</t>
    <phoneticPr fontId="123" type="noConversion"/>
  </si>
  <si>
    <t>Ⅻ-房1</t>
    <phoneticPr fontId="123" type="noConversion"/>
  </si>
  <si>
    <t>Ⅻ-昌1</t>
    <phoneticPr fontId="123" type="noConversion"/>
  </si>
  <si>
    <t>Ⅻ-平1</t>
    <phoneticPr fontId="123" type="noConversion"/>
  </si>
  <si>
    <t>土地级别</t>
    <phoneticPr fontId="123" type="noConversion"/>
  </si>
  <si>
    <t>工业</t>
    <phoneticPr fontId="123" type="noConversion"/>
  </si>
  <si>
    <t>通路</t>
    <phoneticPr fontId="123" type="noConversion"/>
  </si>
  <si>
    <t>通电</t>
    <phoneticPr fontId="123" type="noConversion"/>
  </si>
  <si>
    <t>通讯</t>
    <phoneticPr fontId="123" type="noConversion"/>
  </si>
  <si>
    <t>通上水</t>
    <phoneticPr fontId="123" type="noConversion"/>
  </si>
  <si>
    <t>通下水</t>
    <phoneticPr fontId="123" type="noConversion"/>
  </si>
  <si>
    <t>通热</t>
    <phoneticPr fontId="123" type="noConversion"/>
  </si>
  <si>
    <t>燃气</t>
    <phoneticPr fontId="123" type="noConversion"/>
  </si>
  <si>
    <t>平整</t>
    <phoneticPr fontId="123" type="noConversion"/>
  </si>
  <si>
    <t>——</t>
    <phoneticPr fontId="123" type="noConversion"/>
  </si>
  <si>
    <t>北京市基准地价用途修正系数表</t>
    <phoneticPr fontId="123" type="noConversion"/>
  </si>
  <si>
    <t>用途</t>
    <phoneticPr fontId="123" type="noConversion"/>
  </si>
  <si>
    <t>用途类别划分</t>
    <phoneticPr fontId="123" type="noConversion"/>
  </si>
  <si>
    <t>用途修正  系数</t>
    <phoneticPr fontId="123" type="noConversion"/>
  </si>
  <si>
    <t>比准类别</t>
    <phoneticPr fontId="123" type="noConversion"/>
  </si>
  <si>
    <t>批发零售用地</t>
    <phoneticPr fontId="123" type="noConversion"/>
  </si>
  <si>
    <t>（指主要用于商品批发、零售的用地，包括商场、商店、超市、各类批发（零售）市场、加油站等及其附属的小型仓库、车间、工场等）</t>
    <phoneticPr fontId="123" type="noConversion"/>
  </si>
  <si>
    <t>其他类别</t>
    <phoneticPr fontId="123" type="noConversion"/>
  </si>
  <si>
    <t>住宿餐饮用地</t>
    <phoneticPr fontId="123" type="noConversion"/>
  </si>
  <si>
    <t>（指主要用于提供住宿、餐饮服务的用地，包括宾馆、酒店、饭店、旅馆、招待所、度假村、餐厅、酒吧等）</t>
    <phoneticPr fontId="123" type="noConversion"/>
  </si>
  <si>
    <t>商务金融用地（商业类）</t>
    <phoneticPr fontId="123" type="noConversion"/>
  </si>
  <si>
    <t>（指金融、证券、通讯、保险等营业网点用地）</t>
    <phoneticPr fontId="123" type="noConversion"/>
  </si>
  <si>
    <t>其他商服用地</t>
    <phoneticPr fontId="123" type="noConversion"/>
  </si>
  <si>
    <t>（指上述用地以外的其他商业、服务业用地，包括洗车场、洗染店、废旧物资回收站、维修网点、照相馆、理发美容店、洗浴场所、俱乐部、康乐中心、歌舞厅、赛车场、影视基地、影剧院、邮政、电信营业网点等）</t>
    <phoneticPr fontId="123" type="noConversion"/>
  </si>
  <si>
    <t>殡葬用地等特殊用地</t>
    <phoneticPr fontId="123" type="noConversion"/>
  </si>
  <si>
    <t>商务金融用地（办公类）</t>
    <phoneticPr fontId="123" type="noConversion"/>
  </si>
  <si>
    <t>（指企业、服务业等办公用地，以及经营性的办公场所用地，包括写字楼、商业性办公楼和企业厂区外独立的办公楼）</t>
    <phoneticPr fontId="123" type="noConversion"/>
  </si>
  <si>
    <t>其他商服用地（停车场、停车楼等用地）</t>
    <phoneticPr fontId="123" type="noConversion"/>
  </si>
  <si>
    <t>其他商服用地（指展览馆、会展中心等用地）</t>
    <phoneticPr fontId="123" type="noConversion"/>
  </si>
  <si>
    <t>机场航站楼用地</t>
    <phoneticPr fontId="123" type="noConversion"/>
  </si>
  <si>
    <t>科教用地</t>
    <phoneticPr fontId="123" type="noConversion"/>
  </si>
  <si>
    <t>（指用于各类教育，独立的科研、勘测、设计、技术推广、科普等的用地）</t>
    <phoneticPr fontId="123" type="noConversion"/>
  </si>
  <si>
    <t>新闻出版用地</t>
    <phoneticPr fontId="123" type="noConversion"/>
  </si>
  <si>
    <t>（指用于广播电台、电视台、电影厂、报社、杂志社、通讯社、出版社等的用地）、</t>
    <phoneticPr fontId="123" type="noConversion"/>
  </si>
  <si>
    <t>机关团体用地</t>
    <phoneticPr fontId="123" type="noConversion"/>
  </si>
  <si>
    <t>（指用于党政机关、社会团体、群众自治组织等的用地）</t>
    <phoneticPr fontId="123" type="noConversion"/>
  </si>
  <si>
    <t>医卫慈善用地</t>
    <phoneticPr fontId="123" type="noConversion"/>
  </si>
  <si>
    <t>（指用于医疗保健、卫生防疫、急救康复、医检药检、福利救助、养老设施等的用地）</t>
    <phoneticPr fontId="123" type="noConversion"/>
  </si>
  <si>
    <t>文体娱乐用地</t>
    <phoneticPr fontId="123" type="noConversion"/>
  </si>
  <si>
    <t>（指各类文化、体育及公共广场用地）</t>
    <phoneticPr fontId="123" type="noConversion"/>
  </si>
  <si>
    <t>产业用地</t>
    <phoneticPr fontId="123" type="noConversion"/>
  </si>
  <si>
    <t>（指高新技术产业研发与展示中心等产业用地）</t>
    <phoneticPr fontId="123" type="noConversion"/>
  </si>
  <si>
    <t>居住</t>
    <phoneticPr fontId="123" type="noConversion"/>
  </si>
  <si>
    <t>居住用地（指二类居住用地）</t>
    <phoneticPr fontId="123" type="noConversion"/>
  </si>
  <si>
    <t>（指二类居住用地（地上容积率≥１。）</t>
    <phoneticPr fontId="123" type="noConversion"/>
  </si>
  <si>
    <t>居住用地（指一类居住用地）</t>
    <phoneticPr fontId="123" type="noConversion"/>
  </si>
  <si>
    <t>（指一类居住用地（地上容积率＜１。）</t>
    <phoneticPr fontId="123" type="noConversion"/>
  </si>
  <si>
    <t>工业用地</t>
    <phoneticPr fontId="123" type="noConversion"/>
  </si>
  <si>
    <t>（指工业生产及直接为工业生产服务的附属设施用地）</t>
    <phoneticPr fontId="123" type="noConversion"/>
  </si>
  <si>
    <t>采矿用地</t>
    <phoneticPr fontId="123" type="noConversion"/>
  </si>
  <si>
    <t>（指采矿、采石、采砂（沙）场，盐田，砖瓦窑等地面生产设施及尾矿堆放地）</t>
    <phoneticPr fontId="123" type="noConversion"/>
  </si>
  <si>
    <t>仓储用地</t>
    <phoneticPr fontId="123" type="noConversion"/>
  </si>
  <si>
    <t>（指用于物资储备、中转的物流仓储场所等用地）</t>
    <phoneticPr fontId="123" type="noConversion"/>
  </si>
  <si>
    <t>公共设施用地</t>
    <phoneticPr fontId="123" type="noConversion"/>
  </si>
  <si>
    <t>（指用于城乡基础设施的用地，包括给排水、供电、供热、供气、邮政、电信、消防、环卫、公用设施维修等用地。）</t>
    <phoneticPr fontId="123" type="noConversion"/>
  </si>
  <si>
    <t>交通用地</t>
    <phoneticPr fontId="123" type="noConversion"/>
  </si>
  <si>
    <t>（指铁路用地、公路用地、机场用地、管道运输用地等，包括铁路、公路、机场、管道运输的地面线路、站场等用地以及城市道路、车站及其相应附属设施用地）</t>
    <phoneticPr fontId="123" type="noConversion"/>
  </si>
  <si>
    <t>备注：本用途修正系数仅适用于地上部分各类用途的修正，地下空间部分不适用上表中的用途修正，直接使用地下空间修正</t>
    <phoneticPr fontId="123" type="noConversion"/>
  </si>
  <si>
    <t>地下</t>
    <phoneticPr fontId="123" type="noConversion"/>
  </si>
  <si>
    <t>地下仓储</t>
    <phoneticPr fontId="123" type="noConversion"/>
  </si>
  <si>
    <t>车库</t>
    <phoneticPr fontId="123" type="noConversion"/>
  </si>
  <si>
    <t>—</t>
    <phoneticPr fontId="123" type="noConversion"/>
  </si>
  <si>
    <t>北京市商业路线价加价幅度表</t>
    <phoneticPr fontId="123" type="noConversion"/>
  </si>
  <si>
    <t>序号</t>
    <phoneticPr fontId="123" type="noConversion"/>
  </si>
  <si>
    <t>区县</t>
    <phoneticPr fontId="123" type="noConversion"/>
  </si>
  <si>
    <t>商业街名称</t>
    <phoneticPr fontId="123" type="noConversion"/>
  </si>
  <si>
    <t>起止点</t>
    <phoneticPr fontId="123" type="noConversion"/>
  </si>
  <si>
    <t>加价幅度</t>
    <phoneticPr fontId="123" type="noConversion"/>
  </si>
  <si>
    <t>标准深度（m）</t>
    <phoneticPr fontId="123" type="noConversion"/>
  </si>
  <si>
    <t>东城区</t>
    <phoneticPr fontId="123" type="noConversion"/>
  </si>
  <si>
    <t>东长安街</t>
    <phoneticPr fontId="123" type="noConversion"/>
  </si>
  <si>
    <t>天安门——东单</t>
    <phoneticPr fontId="123" type="noConversion"/>
  </si>
  <si>
    <t>建国门内大街</t>
    <phoneticPr fontId="123" type="noConversion"/>
  </si>
  <si>
    <t>建国门——东单</t>
    <phoneticPr fontId="123" type="noConversion"/>
  </si>
  <si>
    <t>王府井商业街</t>
    <phoneticPr fontId="123" type="noConversion"/>
  </si>
  <si>
    <t>东长安街——五四大街</t>
    <phoneticPr fontId="123" type="noConversion"/>
  </si>
  <si>
    <t>东单北大街</t>
    <phoneticPr fontId="123" type="noConversion"/>
  </si>
  <si>
    <t>金鱼胡同——东单路口</t>
    <phoneticPr fontId="123" type="noConversion"/>
  </si>
  <si>
    <t>东四南大街</t>
    <phoneticPr fontId="123" type="noConversion"/>
  </si>
  <si>
    <t>东四路口——金鱼胡同</t>
    <phoneticPr fontId="123" type="noConversion"/>
  </si>
  <si>
    <t>东直门内大街      （簋街）</t>
    <phoneticPr fontId="123" type="noConversion"/>
  </si>
  <si>
    <t>东直门桥——北新桥</t>
    <phoneticPr fontId="123" type="noConversion"/>
  </si>
  <si>
    <t>北京站东街</t>
    <phoneticPr fontId="123" type="noConversion"/>
  </si>
  <si>
    <t>建国门南大街——北京站</t>
    <phoneticPr fontId="123" type="noConversion"/>
  </si>
  <si>
    <t>北京站街</t>
    <phoneticPr fontId="123" type="noConversion"/>
  </si>
  <si>
    <t>建国门内大街——北京站</t>
    <phoneticPr fontId="123" type="noConversion"/>
  </si>
  <si>
    <t>东四十条</t>
    <phoneticPr fontId="123" type="noConversion"/>
  </si>
  <si>
    <t>东四十条桥——东四北大街</t>
    <phoneticPr fontId="123" type="noConversion"/>
  </si>
  <si>
    <t>张自忠路</t>
    <phoneticPr fontId="123" type="noConversion"/>
  </si>
  <si>
    <t>东四北大街——交道口南大街</t>
    <phoneticPr fontId="123" type="noConversion"/>
  </si>
  <si>
    <t>地安门东大街</t>
    <phoneticPr fontId="123" type="noConversion"/>
  </si>
  <si>
    <t>交道口南大街——地安门外大街</t>
    <phoneticPr fontId="123" type="noConversion"/>
  </si>
  <si>
    <t>前门商业街</t>
    <phoneticPr fontId="123" type="noConversion"/>
  </si>
  <si>
    <t>前门箭楼——珠市口</t>
    <phoneticPr fontId="123" type="noConversion"/>
  </si>
  <si>
    <t>崇外商业街</t>
    <phoneticPr fontId="123" type="noConversion"/>
  </si>
  <si>
    <t>崇文门——磁器口</t>
    <phoneticPr fontId="123" type="noConversion"/>
  </si>
  <si>
    <t>广渠门内大街</t>
    <phoneticPr fontId="123" type="noConversion"/>
  </si>
  <si>
    <t>广渠门——磁器口</t>
    <phoneticPr fontId="123" type="noConversion"/>
  </si>
  <si>
    <t>珠市口东大街</t>
    <phoneticPr fontId="123" type="noConversion"/>
  </si>
  <si>
    <t>磁器口——珠市口</t>
    <phoneticPr fontId="123" type="noConversion"/>
  </si>
  <si>
    <t>西城区</t>
    <phoneticPr fontId="123" type="noConversion"/>
  </si>
  <si>
    <t>西长安街</t>
    <phoneticPr fontId="123" type="noConversion"/>
  </si>
  <si>
    <t>天安门——西单</t>
    <phoneticPr fontId="123" type="noConversion"/>
  </si>
  <si>
    <t>复兴门内大街</t>
    <phoneticPr fontId="123" type="noConversion"/>
  </si>
  <si>
    <t>西单——复兴门</t>
    <phoneticPr fontId="123" type="noConversion"/>
  </si>
  <si>
    <t>复兴门外大街</t>
    <phoneticPr fontId="123" type="noConversion"/>
  </si>
  <si>
    <t>复兴门——木樨地</t>
    <phoneticPr fontId="123" type="noConversion"/>
  </si>
  <si>
    <t>西单商业街</t>
    <phoneticPr fontId="123" type="noConversion"/>
  </si>
  <si>
    <t>西单——辟才胡同</t>
    <phoneticPr fontId="123" type="noConversion"/>
  </si>
  <si>
    <t>西四商业街</t>
    <phoneticPr fontId="123" type="noConversion"/>
  </si>
  <si>
    <t>辟才胡同——平安里</t>
    <phoneticPr fontId="123" type="noConversion"/>
  </si>
  <si>
    <t>新街口商业街</t>
    <phoneticPr fontId="123" type="noConversion"/>
  </si>
  <si>
    <t>平安里——积水潭桥</t>
    <phoneticPr fontId="123" type="noConversion"/>
  </si>
  <si>
    <t>双旗杆西街       （福利特商业街）</t>
    <phoneticPr fontId="123" type="noConversion"/>
  </si>
  <si>
    <t>北三环中路——黄寺大街</t>
    <phoneticPr fontId="123" type="noConversion"/>
  </si>
  <si>
    <t>地安门西大街</t>
    <phoneticPr fontId="123" type="noConversion"/>
  </si>
  <si>
    <t>地安门外大街——新街口南大街</t>
    <phoneticPr fontId="123" type="noConversion"/>
  </si>
  <si>
    <t>平安里西大街</t>
    <phoneticPr fontId="123" type="noConversion"/>
  </si>
  <si>
    <t>新街口南大街——车公庄</t>
    <phoneticPr fontId="123" type="noConversion"/>
  </si>
  <si>
    <t>大栅栏商业街</t>
    <phoneticPr fontId="123" type="noConversion"/>
  </si>
  <si>
    <t>前门大街——煤市街</t>
    <phoneticPr fontId="123" type="noConversion"/>
  </si>
  <si>
    <t>珠市口西大街</t>
    <phoneticPr fontId="123" type="noConversion"/>
  </si>
  <si>
    <t>珠市口——南新华街</t>
    <phoneticPr fontId="123" type="noConversion"/>
  </si>
  <si>
    <t>骡马市大街</t>
    <phoneticPr fontId="123" type="noConversion"/>
  </si>
  <si>
    <t>南新华街——菜市口</t>
    <phoneticPr fontId="123" type="noConversion"/>
  </si>
  <si>
    <t>广安门内大街</t>
    <phoneticPr fontId="123" type="noConversion"/>
  </si>
  <si>
    <t>菜市口——广安门桥</t>
    <phoneticPr fontId="123" type="noConversion"/>
  </si>
  <si>
    <t>宣武门外大街</t>
    <phoneticPr fontId="123" type="noConversion"/>
  </si>
  <si>
    <t>宣武门——菜市口</t>
    <phoneticPr fontId="123" type="noConversion"/>
  </si>
  <si>
    <t>菜市口大街</t>
    <phoneticPr fontId="123" type="noConversion"/>
  </si>
  <si>
    <t>菜市口——开阳桥</t>
    <phoneticPr fontId="123" type="noConversion"/>
  </si>
  <si>
    <t>马连道路</t>
    <phoneticPr fontId="123" type="noConversion"/>
  </si>
  <si>
    <t>广安门外大街——红莲南路</t>
    <phoneticPr fontId="123" type="noConversion"/>
  </si>
  <si>
    <t>朝阳区</t>
    <phoneticPr fontId="123" type="noConversion"/>
  </si>
  <si>
    <t>朝外商业街</t>
    <phoneticPr fontId="123" type="noConversion"/>
  </si>
  <si>
    <t>朝阳门——东大桥</t>
    <phoneticPr fontId="123" type="noConversion"/>
  </si>
  <si>
    <t>安立路</t>
    <phoneticPr fontId="123" type="noConversion"/>
  </si>
  <si>
    <t>安慧桥——慧忠北路</t>
    <phoneticPr fontId="123" type="noConversion"/>
  </si>
  <si>
    <t>三里屯路</t>
    <phoneticPr fontId="123" type="noConversion"/>
  </si>
  <si>
    <t>工人体育场北路——东直门外大街</t>
    <phoneticPr fontId="123" type="noConversion"/>
  </si>
  <si>
    <t>秀水街</t>
    <phoneticPr fontId="123" type="noConversion"/>
  </si>
  <si>
    <t>建国门外大街——光华路</t>
    <phoneticPr fontId="123" type="noConversion"/>
  </si>
  <si>
    <t>大羊坊路         （十里河建材商业街）</t>
    <phoneticPr fontId="123" type="noConversion"/>
  </si>
  <si>
    <t>十里河桥——小武基路</t>
    <phoneticPr fontId="123" type="noConversion"/>
  </si>
  <si>
    <t>建国门外大街</t>
    <phoneticPr fontId="123" type="noConversion"/>
  </si>
  <si>
    <t>建国门桥——国贸桥</t>
    <phoneticPr fontId="123" type="noConversion"/>
  </si>
  <si>
    <t>建国路</t>
    <phoneticPr fontId="123" type="noConversion"/>
  </si>
  <si>
    <t>国贸桥——西大望路</t>
    <phoneticPr fontId="123" type="noConversion"/>
  </si>
  <si>
    <t>海淀区</t>
    <phoneticPr fontId="123" type="noConversion"/>
  </si>
  <si>
    <t>中关村大街</t>
    <phoneticPr fontId="123" type="noConversion"/>
  </si>
  <si>
    <t>海淀南路——北四环</t>
    <phoneticPr fontId="123" type="noConversion"/>
  </si>
  <si>
    <t>复兴路</t>
    <phoneticPr fontId="123" type="noConversion"/>
  </si>
  <si>
    <t>木樨地——万寿路</t>
    <phoneticPr fontId="123" type="noConversion"/>
  </si>
  <si>
    <t>海淀中路</t>
    <phoneticPr fontId="123" type="noConversion"/>
  </si>
  <si>
    <t>丰台区</t>
    <phoneticPr fontId="123" type="noConversion"/>
  </si>
  <si>
    <t>蒲芳路、紫芳路    （方庄商业街）</t>
    <phoneticPr fontId="123" type="noConversion"/>
  </si>
  <si>
    <t>蒲黄榆路——方庄东路</t>
    <phoneticPr fontId="123" type="noConversion"/>
  </si>
  <si>
    <t>石景山区</t>
    <phoneticPr fontId="123" type="noConversion"/>
  </si>
  <si>
    <t>石景山路</t>
    <phoneticPr fontId="123" type="noConversion"/>
  </si>
  <si>
    <t>八宝山——八角桥</t>
    <phoneticPr fontId="123" type="noConversion"/>
  </si>
  <si>
    <t>门头沟区</t>
    <phoneticPr fontId="123" type="noConversion"/>
  </si>
  <si>
    <t>新桥大街</t>
    <phoneticPr fontId="123" type="noConversion"/>
  </si>
  <si>
    <t>门头沟路——双峪路</t>
    <phoneticPr fontId="123" type="noConversion"/>
  </si>
  <si>
    <t>房山区</t>
    <phoneticPr fontId="123" type="noConversion"/>
  </si>
  <si>
    <t>南关大街</t>
    <phoneticPr fontId="123" type="noConversion"/>
  </si>
  <si>
    <t>房山东大街——南关立交桥</t>
    <phoneticPr fontId="123" type="noConversion"/>
  </si>
  <si>
    <t>拱辰大街</t>
    <phoneticPr fontId="123" type="noConversion"/>
  </si>
  <si>
    <t>良乡中路——月华大街</t>
    <phoneticPr fontId="123" type="noConversion"/>
  </si>
  <si>
    <t>通州区</t>
    <phoneticPr fontId="123" type="noConversion"/>
  </si>
  <si>
    <t>新华大街</t>
    <phoneticPr fontId="123" type="noConversion"/>
  </si>
  <si>
    <t>车站路——通惠南路</t>
    <phoneticPr fontId="123" type="noConversion"/>
  </si>
  <si>
    <t>云景东路</t>
    <phoneticPr fontId="123" type="noConversion"/>
  </si>
  <si>
    <t>地铁八通线——云景南大街</t>
    <phoneticPr fontId="123" type="noConversion"/>
  </si>
  <si>
    <t>顺义区</t>
    <phoneticPr fontId="123" type="noConversion"/>
  </si>
  <si>
    <t>新顺大街</t>
    <phoneticPr fontId="123" type="noConversion"/>
  </si>
  <si>
    <t>幸福西街——站前街</t>
    <phoneticPr fontId="123" type="noConversion"/>
  </si>
  <si>
    <t>大兴区</t>
    <phoneticPr fontId="123" type="noConversion"/>
  </si>
  <si>
    <t>兴华大街</t>
    <phoneticPr fontId="123" type="noConversion"/>
  </si>
  <si>
    <t>金星西路——黄村火车站</t>
    <phoneticPr fontId="123" type="noConversion"/>
  </si>
  <si>
    <t>昌平区</t>
    <phoneticPr fontId="123" type="noConversion"/>
  </si>
  <si>
    <t>回龙观西大街</t>
    <phoneticPr fontId="123" type="noConversion"/>
  </si>
  <si>
    <t>京藏高速公路——文华西路</t>
    <phoneticPr fontId="123" type="noConversion"/>
  </si>
  <si>
    <t>鼓楼东、西街</t>
    <phoneticPr fontId="123" type="noConversion"/>
  </si>
  <si>
    <t>东环路——西环路</t>
    <phoneticPr fontId="123" type="noConversion"/>
  </si>
  <si>
    <t>鼓楼南、北街</t>
    <phoneticPr fontId="123" type="noConversion"/>
  </si>
  <si>
    <t>北环路——府学路</t>
    <phoneticPr fontId="123" type="noConversion"/>
  </si>
  <si>
    <t>平谷区</t>
    <phoneticPr fontId="123" type="noConversion"/>
  </si>
  <si>
    <t>步行街</t>
    <phoneticPr fontId="123" type="noConversion"/>
  </si>
  <si>
    <t>文化北街——向阳北街</t>
    <phoneticPr fontId="123" type="noConversion"/>
  </si>
  <si>
    <t>怀柔区</t>
    <phoneticPr fontId="123" type="noConversion"/>
  </si>
  <si>
    <t>商业街</t>
    <phoneticPr fontId="123" type="noConversion"/>
  </si>
  <si>
    <t>迎宾路——青春路</t>
    <phoneticPr fontId="123" type="noConversion"/>
  </si>
  <si>
    <t>密云县</t>
    <phoneticPr fontId="123" type="noConversion"/>
  </si>
  <si>
    <t>鼓楼东、西大街</t>
    <phoneticPr fontId="123" type="noConversion"/>
  </si>
  <si>
    <t>新中街——南更道</t>
    <phoneticPr fontId="123" type="noConversion"/>
  </si>
  <si>
    <t>鼓楼大街</t>
    <phoneticPr fontId="123" type="noConversion"/>
  </si>
  <si>
    <t>西大桥路——康复路</t>
    <phoneticPr fontId="123" type="noConversion"/>
  </si>
  <si>
    <t>延庆县</t>
    <phoneticPr fontId="123" type="noConversion"/>
  </si>
  <si>
    <t>东外大街</t>
    <phoneticPr fontId="123" type="noConversion"/>
  </si>
  <si>
    <t>香苑街——东顺城街</t>
    <phoneticPr fontId="123" type="noConversion"/>
  </si>
  <si>
    <t>不临58条商业街</t>
    <phoneticPr fontId="123" type="noConversion"/>
  </si>
  <si>
    <t>北京市基准地价商业用途楼层修正系数表</t>
    <phoneticPr fontId="123" type="noConversion"/>
  </si>
  <si>
    <t>所在楼层</t>
    <phoneticPr fontId="123" type="noConversion"/>
  </si>
  <si>
    <t>楼层修正系数</t>
    <phoneticPr fontId="123" type="noConversion"/>
  </si>
  <si>
    <t>7层及以上</t>
    <phoneticPr fontId="123" type="noConversion"/>
  </si>
  <si>
    <r>
      <t>商业R</t>
    </r>
    <r>
      <rPr>
        <sz val="10"/>
        <color indexed="8"/>
        <rFont val="宋体"/>
        <family val="3"/>
        <charset val="134"/>
      </rPr>
      <t>&lt;1</t>
    </r>
    <phoneticPr fontId="123" type="noConversion"/>
  </si>
  <si>
    <t>地上第7层及以上各层</t>
    <phoneticPr fontId="123" type="noConversion"/>
  </si>
  <si>
    <t>说明：R为宗地地上容积率</t>
    <phoneticPr fontId="123" type="noConversion"/>
  </si>
  <si>
    <t>基准地价</t>
    <phoneticPr fontId="12" type="noConversion"/>
  </si>
  <si>
    <t>*</t>
    <phoneticPr fontId="12" type="noConversion"/>
  </si>
  <si>
    <t>无</t>
    <phoneticPr fontId="122" type="noConversion"/>
  </si>
  <si>
    <t>二级分类</t>
    <phoneticPr fontId="123" type="noConversion"/>
  </si>
  <si>
    <t>办公</t>
    <phoneticPr fontId="1" type="noConversion"/>
  </si>
  <si>
    <t>自定义容积率</t>
    <phoneticPr fontId="1" type="noConversion"/>
  </si>
  <si>
    <t>典型户型修正</t>
    <phoneticPr fontId="27" type="noConversion"/>
  </si>
  <si>
    <t>基准地价</t>
    <phoneticPr fontId="27"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</si>
  <si>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7" type="noConversion"/>
  </si>
  <si>
    <t>区片价</t>
    <phoneticPr fontId="27" type="noConversion"/>
  </si>
  <si>
    <t>容积率修正</t>
    <phoneticPr fontId="27" type="noConversion"/>
  </si>
  <si>
    <t>修正</t>
    <phoneticPr fontId="27" type="noConversion"/>
  </si>
  <si>
    <t>基准地价系数修正法</t>
    <phoneticPr fontId="27" type="noConversion"/>
  </si>
  <si>
    <t>居住社区成熟度</t>
  </si>
  <si>
    <t>产业集聚程度</t>
  </si>
  <si>
    <t>交通便捷度</t>
  </si>
  <si>
    <t>自然及人文环境</t>
  </si>
  <si>
    <t>区位状况</t>
    <phoneticPr fontId="23" type="noConversion"/>
  </si>
  <si>
    <t>区位状况</t>
    <phoneticPr fontId="19" type="noConversion"/>
  </si>
  <si>
    <t>区域土地利用方向</t>
  </si>
  <si>
    <t>自然及人文环境状况</t>
  </si>
  <si>
    <t>临街状况</t>
  </si>
  <si>
    <t>毗邻道路的类型与等级</t>
  </si>
  <si>
    <t>房地产修正因素</t>
    <phoneticPr fontId="1" type="noConversion"/>
  </si>
  <si>
    <t>住宅、办公及商业</t>
    <phoneticPr fontId="22" type="noConversion"/>
  </si>
  <si>
    <t>工业</t>
    <phoneticPr fontId="22" type="noConversion"/>
  </si>
  <si>
    <t>区位状况</t>
    <phoneticPr fontId="19" type="noConversion"/>
  </si>
  <si>
    <t>商业繁华度</t>
    <phoneticPr fontId="23" type="noConversion"/>
  </si>
  <si>
    <t>交通便捷度</t>
    <phoneticPr fontId="23" type="noConversion"/>
  </si>
  <si>
    <t>办公集聚程度</t>
    <phoneticPr fontId="23" type="noConversion"/>
  </si>
  <si>
    <t>环境状况</t>
    <phoneticPr fontId="23" type="noConversion"/>
  </si>
  <si>
    <t>毗邻道路的类型与等级</t>
    <phoneticPr fontId="23" type="noConversion"/>
  </si>
  <si>
    <t>土地修正因素</t>
    <phoneticPr fontId="1" type="noConversion"/>
  </si>
  <si>
    <t>产业集聚程度</t>
    <phoneticPr fontId="23" type="noConversion"/>
  </si>
  <si>
    <t>区域土地利用方向</t>
    <phoneticPr fontId="23" type="noConversion"/>
  </si>
  <si>
    <t>土地级别</t>
    <phoneticPr fontId="23" type="noConversion"/>
  </si>
  <si>
    <t>相差季度数</t>
    <phoneticPr fontId="122"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</si>
  <si>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</si>
  <si>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</si>
  <si>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</si>
  <si>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</si>
  <si>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2"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</si>
  <si>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2"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</si>
  <si>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2" type="noConversion"/>
  </si>
  <si>
    <t>楼面地价</t>
    <phoneticPr fontId="13" type="noConversion"/>
  </si>
  <si>
    <t>楼面地价</t>
    <phoneticPr fontId="13" type="noConversion"/>
  </si>
  <si>
    <t>楼面地价</t>
    <phoneticPr fontId="13" type="noConversion"/>
  </si>
  <si>
    <t>楼面地价</t>
    <phoneticPr fontId="123" type="noConversion"/>
  </si>
  <si>
    <r>
      <rPr>
        <b/>
        <sz val="11"/>
        <color indexed="8"/>
        <rFont val="仿宋_GB2312"/>
        <family val="3"/>
        <charset val="134"/>
      </rPr>
      <t>总价</t>
    </r>
    <phoneticPr fontId="7" type="noConversion"/>
  </si>
  <si>
    <r>
      <rPr>
        <b/>
        <sz val="10"/>
        <color indexed="8"/>
        <rFont val="仿宋_GB2312"/>
        <family val="3"/>
        <charset val="134"/>
      </rPr>
      <t>万元</t>
    </r>
    <phoneticPr fontId="7" type="noConversion"/>
  </si>
  <si>
    <r>
      <rPr>
        <b/>
        <sz val="11"/>
        <color indexed="8"/>
        <rFont val="仿宋_GB2312"/>
        <family val="3"/>
        <charset val="134"/>
      </rPr>
      <t>楼面地价</t>
    </r>
    <phoneticPr fontId="7"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</si>
  <si>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7" type="noConversion"/>
  </si>
  <si>
    <r>
      <rPr>
        <b/>
        <sz val="11"/>
        <color indexed="8"/>
        <rFont val="仿宋_GB2312"/>
        <family val="3"/>
        <charset val="134"/>
      </rPr>
      <t>单位面积地价</t>
    </r>
    <phoneticPr fontId="7"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</si>
  <si>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6" type="noConversion"/>
  </si>
  <si>
    <r>
      <rPr>
        <b/>
        <sz val="16"/>
        <color indexed="10"/>
        <rFont val="仿宋_GB2312"/>
        <family val="3"/>
        <charset val="134"/>
      </rPr>
      <t>基准地价系数修正法</t>
    </r>
    <phoneticPr fontId="123" type="noConversion"/>
  </si>
  <si>
    <r>
      <rPr>
        <sz val="10"/>
        <color indexed="10"/>
        <rFont val="仿宋_GB2312"/>
        <family val="3"/>
        <charset val="134"/>
      </rPr>
      <t>依据《北京市区片基准地价表》，能否通过用途和级别筛选？</t>
    </r>
    <phoneticPr fontId="123" type="noConversion"/>
  </si>
  <si>
    <r>
      <rPr>
        <sz val="10"/>
        <color indexed="8"/>
        <rFont val="仿宋_GB2312"/>
        <family val="3"/>
        <charset val="134"/>
      </rPr>
      <t>特殊情况</t>
    </r>
    <phoneticPr fontId="123" type="noConversion"/>
  </si>
  <si>
    <r>
      <rPr>
        <sz val="10"/>
        <color indexed="8"/>
        <rFont val="仿宋_GB2312"/>
        <family val="3"/>
        <charset val="134"/>
      </rPr>
      <t>公园</t>
    </r>
    <phoneticPr fontId="123" type="noConversion"/>
  </si>
  <si>
    <r>
      <rPr>
        <sz val="10"/>
        <color indexed="8"/>
        <rFont val="仿宋_GB2312"/>
        <family val="3"/>
        <charset val="134"/>
      </rPr>
      <t>水系</t>
    </r>
    <phoneticPr fontId="123" type="noConversion"/>
  </si>
  <si>
    <r>
      <rPr>
        <sz val="10"/>
        <color indexed="8"/>
        <rFont val="仿宋_GB2312"/>
        <family val="3"/>
        <charset val="134"/>
      </rPr>
      <t>中小学名校</t>
    </r>
    <phoneticPr fontId="123" type="noConversion"/>
  </si>
  <si>
    <r>
      <rPr>
        <sz val="10"/>
        <color indexed="8"/>
        <rFont val="仿宋_GB2312"/>
        <family val="3"/>
        <charset val="134"/>
      </rPr>
      <t>修正系数</t>
    </r>
    <phoneticPr fontId="123"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</si>
  <si>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3" type="noConversion"/>
  </si>
  <si>
    <r>
      <t>R</t>
    </r>
    <r>
      <rPr>
        <sz val="11"/>
        <rFont val="仿宋_GB2312"/>
        <family val="3"/>
        <charset val="134"/>
      </rPr>
      <t>≤</t>
    </r>
    <r>
      <rPr>
        <sz val="11"/>
        <rFont val="Arial"/>
        <family val="2"/>
      </rPr>
      <t>10</t>
    </r>
    <phoneticPr fontId="123" type="noConversion"/>
  </si>
  <si>
    <r>
      <rPr>
        <sz val="10"/>
        <rFont val="仿宋_GB2312"/>
        <family val="3"/>
        <charset val="134"/>
      </rPr>
      <t>政府土地出让收益比例</t>
    </r>
    <phoneticPr fontId="123" type="noConversion"/>
  </si>
  <si>
    <r>
      <rPr>
        <sz val="10"/>
        <rFont val="仿宋_GB2312"/>
        <family val="3"/>
        <charset val="134"/>
      </rPr>
      <t>工业</t>
    </r>
    <phoneticPr fontId="123"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</si>
  <si>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3" type="noConversion"/>
  </si>
  <si>
    <t>土地级别</t>
    <phoneticPr fontId="4" type="noConversion"/>
  </si>
  <si>
    <t>区片编号</t>
    <phoneticPr fontId="4" type="noConversion"/>
  </si>
  <si>
    <t>土地级别</t>
    <phoneticPr fontId="12" type="noConversion"/>
  </si>
  <si>
    <t>一级</t>
    <phoneticPr fontId="12" type="noConversion"/>
  </si>
  <si>
    <t>二级</t>
    <phoneticPr fontId="12" type="noConversion"/>
  </si>
  <si>
    <t>三级</t>
    <phoneticPr fontId="12" type="noConversion"/>
  </si>
  <si>
    <t>四级</t>
    <phoneticPr fontId="12" type="noConversion"/>
  </si>
  <si>
    <t>五级</t>
    <phoneticPr fontId="12" type="noConversion"/>
  </si>
  <si>
    <t>六级</t>
    <phoneticPr fontId="12" type="noConversion"/>
  </si>
  <si>
    <t>七级</t>
    <phoneticPr fontId="12" type="noConversion"/>
  </si>
  <si>
    <t>八级</t>
    <phoneticPr fontId="12" type="noConversion"/>
  </si>
  <si>
    <t>九级</t>
    <phoneticPr fontId="12" type="noConversion"/>
  </si>
  <si>
    <t>十级</t>
    <phoneticPr fontId="12" type="noConversion"/>
  </si>
  <si>
    <t>十一级</t>
    <phoneticPr fontId="12" type="noConversion"/>
  </si>
  <si>
    <t>十二级</t>
    <phoneticPr fontId="12" type="noConversion"/>
  </si>
  <si>
    <t>北京市</t>
    <phoneticPr fontId="4" type="noConversion"/>
  </si>
  <si>
    <t>北京市</t>
    <phoneticPr fontId="129" type="noConversion"/>
  </si>
  <si>
    <t>外省市地下修正系数请自行录入</t>
    <phoneticPr fontId="129" type="noConversion"/>
  </si>
  <si>
    <t>北京市系数</t>
  </si>
  <si>
    <r>
      <rPr>
        <b/>
        <sz val="16"/>
        <color indexed="10"/>
        <rFont val="仿宋_GB2312"/>
        <family val="3"/>
        <charset val="134"/>
      </rPr>
      <t>收益法</t>
    </r>
    <r>
      <rPr>
        <b/>
        <sz val="12"/>
        <rFont val="仿宋_GB2312"/>
        <family val="3"/>
        <charset val="134"/>
      </rPr>
      <t>（无租约及租期内）</t>
    </r>
    <phoneticPr fontId="1" type="noConversion"/>
  </si>
  <si>
    <r>
      <rPr>
        <b/>
        <sz val="12"/>
        <rFont val="仿宋_GB2312"/>
        <family val="3"/>
        <charset val="134"/>
      </rPr>
      <t>总价</t>
    </r>
    <phoneticPr fontId="13" type="noConversion"/>
  </si>
  <si>
    <r>
      <rPr>
        <b/>
        <sz val="12"/>
        <rFont val="仿宋_GB2312"/>
        <family val="3"/>
        <charset val="134"/>
      </rPr>
      <t>楼面单价</t>
    </r>
    <phoneticPr fontId="13" type="noConversion"/>
  </si>
  <si>
    <r>
      <rPr>
        <sz val="10"/>
        <color indexed="8"/>
        <rFont val="仿宋_GB2312"/>
        <family val="3"/>
        <charset val="134"/>
      </rPr>
      <t>序号</t>
    </r>
    <phoneticPr fontId="1" type="noConversion"/>
  </si>
  <si>
    <r>
      <rPr>
        <sz val="10"/>
        <color indexed="8"/>
        <rFont val="仿宋_GB2312"/>
        <family val="3"/>
        <charset val="134"/>
      </rPr>
      <t>项目</t>
    </r>
    <phoneticPr fontId="1" type="noConversion"/>
  </si>
  <si>
    <r>
      <rPr>
        <sz val="10"/>
        <color indexed="8"/>
        <rFont val="仿宋_GB2312"/>
        <family val="3"/>
        <charset val="134"/>
      </rPr>
      <t>数额</t>
    </r>
    <phoneticPr fontId="1" type="noConversion"/>
  </si>
  <si>
    <r>
      <rPr>
        <sz val="10"/>
        <color indexed="8"/>
        <rFont val="仿宋_GB2312"/>
        <family val="3"/>
        <charset val="134"/>
      </rPr>
      <t>计算公式</t>
    </r>
    <phoneticPr fontId="1" type="noConversion"/>
  </si>
  <si>
    <r>
      <rPr>
        <sz val="10"/>
        <color indexed="8"/>
        <rFont val="仿宋_GB2312"/>
        <family val="3"/>
        <charset val="134"/>
      </rPr>
      <t>取费标准</t>
    </r>
    <phoneticPr fontId="1"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</si>
  <si>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1" type="noConversion"/>
  </si>
  <si>
    <r>
      <rPr>
        <sz val="10"/>
        <color indexed="8"/>
        <rFont val="仿宋_GB2312"/>
        <family val="3"/>
        <charset val="134"/>
      </rPr>
      <t>租金</t>
    </r>
    <phoneticPr fontId="1"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</si>
  <si>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1"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</si>
  <si>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1"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</si>
  <si>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1" type="noConversion"/>
  </si>
  <si>
    <r>
      <rPr>
        <b/>
        <sz val="10"/>
        <color indexed="8"/>
        <rFont val="仿宋_GB2312"/>
        <family val="3"/>
        <charset val="134"/>
      </rPr>
      <t>建筑物现值</t>
    </r>
    <phoneticPr fontId="1"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</si>
  <si>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1"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</si>
  <si>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</si>
  <si>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1" type="noConversion"/>
  </si>
  <si>
    <t>3</t>
    <phoneticPr fontId="1" type="noConversion"/>
  </si>
  <si>
    <r>
      <rPr>
        <b/>
        <sz val="10"/>
        <color indexed="8"/>
        <rFont val="仿宋_GB2312"/>
        <family val="3"/>
        <charset val="134"/>
      </rPr>
      <t>年经营费用</t>
    </r>
    <phoneticPr fontId="1"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</si>
  <si>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1"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</si>
  <si>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1" type="noConversion"/>
  </si>
  <si>
    <r>
      <rPr>
        <sz val="10"/>
        <color indexed="8"/>
        <rFont val="仿宋_GB2312"/>
        <family val="3"/>
        <charset val="134"/>
      </rPr>
      <t>综合税率</t>
    </r>
    <phoneticPr fontId="1" type="noConversion"/>
  </si>
  <si>
    <r>
      <rPr>
        <sz val="10"/>
        <color indexed="8"/>
        <rFont val="仿宋_GB2312"/>
        <family val="3"/>
        <charset val="134"/>
      </rPr>
      <t>两税两费</t>
    </r>
    <phoneticPr fontId="1"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</si>
  <si>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1" type="noConversion"/>
  </si>
  <si>
    <r>
      <rPr>
        <sz val="10"/>
        <color indexed="8"/>
        <rFont val="仿宋_GB2312"/>
        <family val="3"/>
        <charset val="134"/>
      </rPr>
      <t>房产税</t>
    </r>
    <phoneticPr fontId="1" type="noConversion"/>
  </si>
  <si>
    <r>
      <rPr>
        <sz val="10"/>
        <color indexed="8"/>
        <rFont val="仿宋_GB2312"/>
        <family val="3"/>
        <charset val="134"/>
      </rPr>
      <t>城镇土地使用税</t>
    </r>
    <phoneticPr fontId="1"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</si>
  <si>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1"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</si>
  <si>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1" type="noConversion"/>
  </si>
  <si>
    <t>——</t>
    <phoneticPr fontId="1" type="noConversion"/>
  </si>
  <si>
    <r>
      <rPr>
        <sz val="10"/>
        <color indexed="8"/>
        <rFont val="仿宋_GB2312"/>
        <family val="3"/>
        <charset val="134"/>
      </rPr>
      <t>土地面积（㎡）</t>
    </r>
    <phoneticPr fontId="1" type="noConversion"/>
  </si>
  <si>
    <r>
      <rPr>
        <sz val="10"/>
        <color indexed="8"/>
        <rFont val="仿宋_GB2312"/>
        <family val="3"/>
        <charset val="134"/>
      </rPr>
      <t>维修费</t>
    </r>
    <phoneticPr fontId="1"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</si>
  <si>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1"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</si>
  <si>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1"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</si>
  <si>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1" type="noConversion"/>
  </si>
  <si>
    <t>4</t>
    <phoneticPr fontId="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</si>
  <si>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1" type="noConversion"/>
  </si>
  <si>
    <t>5</t>
    <phoneticPr fontId="1" type="noConversion"/>
  </si>
  <si>
    <r>
      <rPr>
        <sz val="10"/>
        <color indexed="8"/>
        <rFont val="仿宋_GB2312"/>
        <family val="3"/>
        <charset val="134"/>
      </rPr>
      <t>房地产未来第一年净收益</t>
    </r>
    <r>
      <rPr>
        <sz val="10"/>
        <color indexed="8"/>
        <rFont val="Arial"/>
        <family val="2"/>
      </rPr>
      <t>×</t>
    </r>
    <phoneticPr fontId="1"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</si>
  <si>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 type="noConversion"/>
  </si>
  <si>
    <r>
      <rPr>
        <sz val="10"/>
        <color indexed="8"/>
        <rFont val="仿宋_GB2312"/>
        <family val="3"/>
        <charset val="134"/>
      </rPr>
      <t>收益年期</t>
    </r>
    <r>
      <rPr>
        <sz val="10"/>
        <color indexed="8"/>
        <rFont val="Arial"/>
        <family val="2"/>
      </rPr>
      <t>(n)</t>
    </r>
    <phoneticPr fontId="1" type="noConversion"/>
  </si>
  <si>
    <r>
      <rPr>
        <sz val="10"/>
        <color indexed="8"/>
        <rFont val="仿宋_GB2312"/>
        <family val="3"/>
        <charset val="134"/>
      </rPr>
      <t>年增长比率</t>
    </r>
    <r>
      <rPr>
        <sz val="10"/>
        <color indexed="8"/>
        <rFont val="Arial"/>
        <family val="2"/>
      </rPr>
      <t>(g)</t>
    </r>
    <phoneticPr fontId="1" type="noConversion"/>
  </si>
  <si>
    <t>6</t>
    <phoneticPr fontId="1" type="noConversion"/>
  </si>
  <si>
    <r>
      <rPr>
        <b/>
        <sz val="10"/>
        <color indexed="8"/>
        <rFont val="仿宋_GB2312"/>
        <family val="3"/>
        <charset val="134"/>
      </rPr>
      <t>折现价值</t>
    </r>
    <phoneticPr fontId="1"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</si>
  <si>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1"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</si>
  <si>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1"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</si>
  <si>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</si>
  <si>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1"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</si>
  <si>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1" type="noConversion"/>
  </si>
  <si>
    <r>
      <rPr>
        <sz val="10"/>
        <color indexed="8"/>
        <rFont val="仿宋_GB2312"/>
        <family val="3"/>
        <charset val="134"/>
      </rPr>
      <t>建筑面积（㎡）</t>
    </r>
    <phoneticPr fontId="1"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</si>
  <si>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1" type="noConversion"/>
  </si>
  <si>
    <r>
      <rPr>
        <sz val="10"/>
        <rFont val="仿宋_GB2312"/>
        <family val="3"/>
        <charset val="134"/>
      </rPr>
      <t>房屋年纯收益</t>
    </r>
    <phoneticPr fontId="1" type="noConversion"/>
  </si>
  <si>
    <r>
      <rPr>
        <sz val="10"/>
        <rFont val="仿宋_GB2312"/>
        <family val="3"/>
        <charset val="134"/>
      </rPr>
      <t>建筑物资本化率</t>
    </r>
    <phoneticPr fontId="1" type="noConversion"/>
  </si>
  <si>
    <r>
      <rPr>
        <b/>
        <sz val="10"/>
        <color indexed="8"/>
        <rFont val="仿宋_GB2312"/>
        <family val="3"/>
        <charset val="134"/>
      </rPr>
      <t>确定合理的建筑物与土地价值比例</t>
    </r>
    <phoneticPr fontId="1" type="noConversion"/>
  </si>
  <si>
    <r>
      <t>1.</t>
    </r>
    <r>
      <rPr>
        <b/>
        <sz val="10"/>
        <color indexed="10"/>
        <rFont val="仿宋_GB2312"/>
        <family val="3"/>
        <charset val="134"/>
      </rPr>
      <t>收益比率</t>
    </r>
    <phoneticPr fontId="1" type="noConversion"/>
  </si>
  <si>
    <r>
      <rPr>
        <sz val="10"/>
        <rFont val="仿宋_GB2312"/>
        <family val="3"/>
        <charset val="134"/>
      </rPr>
      <t>建筑物年收益比率</t>
    </r>
    <phoneticPr fontId="1" type="noConversion"/>
  </si>
  <si>
    <r>
      <rPr>
        <sz val="10"/>
        <rFont val="仿宋_GB2312"/>
        <family val="3"/>
        <charset val="134"/>
      </rPr>
      <t>土地年收益比率</t>
    </r>
    <phoneticPr fontId="1" type="noConversion"/>
  </si>
  <si>
    <r>
      <t>2.</t>
    </r>
    <r>
      <rPr>
        <b/>
        <sz val="10"/>
        <color indexed="10"/>
        <rFont val="仿宋_GB2312"/>
        <family val="3"/>
        <charset val="134"/>
      </rPr>
      <t>成本比率</t>
    </r>
    <phoneticPr fontId="1" type="noConversion"/>
  </si>
  <si>
    <r>
      <rPr>
        <sz val="10"/>
        <color indexed="8"/>
        <rFont val="仿宋_GB2312"/>
        <family val="3"/>
        <charset val="134"/>
      </rPr>
      <t>建筑物价值比率</t>
    </r>
    <phoneticPr fontId="1" type="noConversion"/>
  </si>
  <si>
    <r>
      <rPr>
        <sz val="10"/>
        <color indexed="8"/>
        <rFont val="仿宋_GB2312"/>
        <family val="3"/>
        <charset val="134"/>
      </rPr>
      <t>土地价值比率</t>
    </r>
    <phoneticPr fontId="1" type="noConversion"/>
  </si>
  <si>
    <t>1.</t>
    <phoneticPr fontId="1" type="noConversion"/>
  </si>
  <si>
    <r>
      <rPr>
        <sz val="10"/>
        <color indexed="8"/>
        <rFont val="宋体"/>
        <family val="3"/>
        <charset val="134"/>
      </rPr>
      <t>（</t>
    </r>
    <r>
      <rPr>
        <sz val="10"/>
        <color indexed="8"/>
        <rFont val="Arial"/>
        <family val="2"/>
      </rPr>
      <t>1</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</si>
  <si>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t>
    </r>
    <phoneticPr fontId="1" type="noConversion"/>
  </si>
  <si>
    <t>2.</t>
    <phoneticPr fontId="1" type="noConversion"/>
  </si>
  <si>
    <t>3.</t>
    <phoneticPr fontId="1" type="noConversion"/>
  </si>
  <si>
    <t>4.</t>
    <phoneticPr fontId="1" type="noConversion"/>
  </si>
  <si>
    <t>2.</t>
    <phoneticPr fontId="1" type="noConversion"/>
  </si>
  <si>
    <r>
      <rPr>
        <sz val="10"/>
        <color indexed="8"/>
        <rFont val="宋体"/>
        <family val="3"/>
        <charset val="134"/>
      </rPr>
      <t>（</t>
    </r>
    <r>
      <rPr>
        <sz val="10"/>
        <color indexed="8"/>
        <rFont val="Arial"/>
        <family val="2"/>
      </rPr>
      <t>1</t>
    </r>
    <r>
      <rPr>
        <sz val="10"/>
        <color indexed="8"/>
        <rFont val="宋体"/>
        <family val="3"/>
        <charset val="134"/>
      </rPr>
      <t>）</t>
    </r>
    <phoneticPr fontId="1" type="noConversion"/>
  </si>
  <si>
    <r>
      <t>1</t>
    </r>
    <r>
      <rPr>
        <sz val="10"/>
        <color indexed="8"/>
        <rFont val="宋体"/>
        <family val="3"/>
        <charset val="134"/>
      </rPr>
      <t>）</t>
    </r>
    <phoneticPr fontId="1" type="noConversion"/>
  </si>
  <si>
    <r>
      <t>2</t>
    </r>
    <r>
      <rPr>
        <sz val="10"/>
        <color indexed="8"/>
        <rFont val="宋体"/>
        <family val="3"/>
        <charset val="134"/>
      </rPr>
      <t>）</t>
    </r>
    <phoneticPr fontId="1" type="noConversion"/>
  </si>
  <si>
    <r>
      <t>3</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</si>
  <si>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t>
    </r>
    <phoneticPr fontId="1" type="noConversion"/>
  </si>
  <si>
    <t>3.</t>
    <phoneticPr fontId="1" type="noConversion"/>
  </si>
  <si>
    <t>4.</t>
    <phoneticPr fontId="1" type="noConversion"/>
  </si>
  <si>
    <t>5.</t>
    <phoneticPr fontId="1" type="noConversion"/>
  </si>
  <si>
    <t>（3）</t>
    <phoneticPr fontId="1" type="noConversion"/>
  </si>
  <si>
    <t>（4）</t>
    <phoneticPr fontId="1" type="noConversion"/>
  </si>
  <si>
    <t>（5）</t>
    <phoneticPr fontId="1" type="noConversion"/>
  </si>
  <si>
    <t>（6）</t>
    <phoneticPr fontId="1" type="noConversion"/>
  </si>
  <si>
    <r>
      <t>1 .</t>
    </r>
    <r>
      <rPr>
        <b/>
        <sz val="12"/>
        <color indexed="8"/>
        <rFont val="仿宋_GB2312"/>
        <family val="3"/>
        <charset val="134"/>
      </rPr>
      <t>开发完成后不动产总价</t>
    </r>
    <phoneticPr fontId="12" type="noConversion"/>
  </si>
  <si>
    <r>
      <t>2 .</t>
    </r>
    <r>
      <rPr>
        <b/>
        <sz val="12"/>
        <color indexed="8"/>
        <rFont val="仿宋_GB2312"/>
        <family val="3"/>
        <charset val="134"/>
      </rPr>
      <t>扣减项</t>
    </r>
    <phoneticPr fontId="12" type="noConversion"/>
  </si>
  <si>
    <r>
      <t>3 .</t>
    </r>
    <r>
      <rPr>
        <b/>
        <sz val="11"/>
        <color indexed="8"/>
        <rFont val="仿宋_GB2312"/>
        <family val="3"/>
        <charset val="134"/>
      </rPr>
      <t>土地价格</t>
    </r>
    <phoneticPr fontId="13" type="noConversion"/>
  </si>
  <si>
    <r>
      <rPr>
        <sz val="10"/>
        <color indexed="8"/>
        <rFont val="宋体"/>
        <family val="3"/>
        <charset val="134"/>
      </rPr>
      <t>（</t>
    </r>
    <r>
      <rPr>
        <sz val="10"/>
        <color indexed="8"/>
        <rFont val="Arial"/>
        <family val="2"/>
      </rPr>
      <t>1</t>
    </r>
    <r>
      <rPr>
        <sz val="10"/>
        <color indexed="8"/>
        <rFont val="宋体"/>
        <family val="3"/>
        <charset val="134"/>
      </rPr>
      <t>）</t>
    </r>
    <phoneticPr fontId="13" type="noConversion"/>
  </si>
  <si>
    <r>
      <rPr>
        <sz val="10"/>
        <color indexed="8"/>
        <rFont val="宋体"/>
        <family val="3"/>
        <charset val="134"/>
      </rPr>
      <t>（</t>
    </r>
    <r>
      <rPr>
        <sz val="10"/>
        <color indexed="8"/>
        <rFont val="Arial"/>
        <family val="2"/>
      </rPr>
      <t>2</t>
    </r>
    <r>
      <rPr>
        <sz val="10"/>
        <color indexed="8"/>
        <rFont val="宋体"/>
        <family val="3"/>
        <charset val="134"/>
      </rPr>
      <t>）</t>
    </r>
    <phoneticPr fontId="13" type="noConversion"/>
  </si>
  <si>
    <r>
      <rPr>
        <sz val="10"/>
        <color indexed="8"/>
        <rFont val="宋体"/>
        <family val="3"/>
        <charset val="134"/>
      </rPr>
      <t>（</t>
    </r>
    <r>
      <rPr>
        <sz val="10"/>
        <color indexed="8"/>
        <rFont val="Arial"/>
        <family val="2"/>
      </rPr>
      <t>3</t>
    </r>
    <r>
      <rPr>
        <sz val="10"/>
        <color indexed="8"/>
        <rFont val="宋体"/>
        <family val="3"/>
        <charset val="134"/>
      </rPr>
      <t>）</t>
    </r>
    <phoneticPr fontId="13" type="noConversion"/>
  </si>
  <si>
    <r>
      <t>1</t>
    </r>
    <r>
      <rPr>
        <sz val="10"/>
        <color indexed="8"/>
        <rFont val="宋体"/>
        <family val="3"/>
        <charset val="134"/>
      </rPr>
      <t>）</t>
    </r>
    <phoneticPr fontId="12"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</si>
  <si>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</si>
  <si>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</si>
  <si>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</si>
  <si>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</si>
  <si>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3"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</si>
  <si>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</si>
  <si>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</si>
  <si>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3" type="noConversion"/>
  </si>
  <si>
    <r>
      <t>2</t>
    </r>
    <r>
      <rPr>
        <sz val="10"/>
        <color indexed="8"/>
        <rFont val="宋体"/>
        <family val="3"/>
        <charset val="134"/>
      </rPr>
      <t>）</t>
    </r>
    <phoneticPr fontId="13" type="noConversion"/>
  </si>
  <si>
    <r>
      <rPr>
        <b/>
        <sz val="11"/>
        <color indexed="8"/>
        <rFont val="宋体"/>
        <family val="3"/>
        <charset val="134"/>
      </rPr>
      <t>（</t>
    </r>
    <r>
      <rPr>
        <b/>
        <sz val="11"/>
        <color indexed="8"/>
        <rFont val="Arial"/>
        <family val="2"/>
      </rPr>
      <t>4</t>
    </r>
    <r>
      <rPr>
        <b/>
        <sz val="11"/>
        <color indexed="8"/>
        <rFont val="宋体"/>
        <family val="3"/>
        <charset val="134"/>
      </rPr>
      <t>）</t>
    </r>
    <phoneticPr fontId="13"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</si>
  <si>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</si>
  <si>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</si>
  <si>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3" type="noConversion"/>
  </si>
  <si>
    <r>
      <rPr>
        <b/>
        <sz val="11"/>
        <color indexed="8"/>
        <rFont val="宋体"/>
        <family val="3"/>
        <charset val="134"/>
      </rPr>
      <t>（</t>
    </r>
    <r>
      <rPr>
        <b/>
        <sz val="11"/>
        <color indexed="8"/>
        <rFont val="Arial"/>
        <family val="2"/>
      </rPr>
      <t>8</t>
    </r>
    <r>
      <rPr>
        <b/>
        <sz val="11"/>
        <color indexed="8"/>
        <rFont val="宋体"/>
        <family val="3"/>
        <charset val="134"/>
      </rPr>
      <t>）</t>
    </r>
    <phoneticPr fontId="13" type="noConversion"/>
  </si>
  <si>
    <r>
      <rPr>
        <b/>
        <sz val="11"/>
        <color indexed="8"/>
        <rFont val="宋体"/>
        <family val="3"/>
        <charset val="134"/>
      </rPr>
      <t>（</t>
    </r>
    <r>
      <rPr>
        <b/>
        <sz val="11"/>
        <color indexed="8"/>
        <rFont val="Arial"/>
        <family val="2"/>
      </rPr>
      <t>9</t>
    </r>
    <r>
      <rPr>
        <b/>
        <sz val="11"/>
        <color indexed="8"/>
        <rFont val="宋体"/>
        <family val="3"/>
        <charset val="134"/>
      </rPr>
      <t>）</t>
    </r>
    <phoneticPr fontId="13" type="noConversion"/>
  </si>
  <si>
    <r>
      <t xml:space="preserve">2. </t>
    </r>
    <r>
      <rPr>
        <b/>
        <sz val="12"/>
        <color indexed="8"/>
        <rFont val="仿宋_GB2312"/>
        <family val="3"/>
        <charset val="134"/>
      </rPr>
      <t>房屋现值</t>
    </r>
    <phoneticPr fontId="12" type="noConversion"/>
  </si>
  <si>
    <r>
      <t>3 .</t>
    </r>
    <r>
      <rPr>
        <b/>
        <sz val="11"/>
        <color indexed="8"/>
        <rFont val="仿宋_GB2312"/>
        <family val="3"/>
        <charset val="134"/>
      </rPr>
      <t>交易税费</t>
    </r>
    <phoneticPr fontId="39" type="noConversion"/>
  </si>
  <si>
    <r>
      <t xml:space="preserve">4. </t>
    </r>
    <r>
      <rPr>
        <b/>
        <sz val="11"/>
        <color indexed="8"/>
        <rFont val="仿宋_GB2312"/>
        <family val="3"/>
        <charset val="134"/>
      </rPr>
      <t>土地价格</t>
    </r>
    <phoneticPr fontId="13" type="noConversion"/>
  </si>
  <si>
    <t>（6）</t>
    <phoneticPr fontId="39" type="noConversion"/>
  </si>
  <si>
    <t>（7）</t>
  </si>
  <si>
    <t>（8）</t>
  </si>
  <si>
    <t>（1）</t>
    <phoneticPr fontId="1" type="noConversion"/>
  </si>
  <si>
    <t>（2）</t>
    <phoneticPr fontId="1" type="noConversion"/>
  </si>
  <si>
    <t>6.</t>
    <phoneticPr fontId="1" type="noConversion"/>
  </si>
  <si>
    <t>7.</t>
    <phoneticPr fontId="1" type="noConversion"/>
  </si>
  <si>
    <t>2.</t>
    <phoneticPr fontId="1" type="noConversion"/>
  </si>
  <si>
    <r>
      <t>1</t>
    </r>
    <r>
      <rPr>
        <sz val="10"/>
        <color indexed="8"/>
        <rFont val="宋体"/>
        <family val="3"/>
        <charset val="134"/>
      </rPr>
      <t>）</t>
    </r>
    <phoneticPr fontId="1" type="noConversion"/>
  </si>
  <si>
    <r>
      <rPr>
        <sz val="10"/>
        <color indexed="8"/>
        <rFont val="宋体"/>
        <family val="3"/>
        <charset val="134"/>
      </rPr>
      <t>（</t>
    </r>
    <r>
      <rPr>
        <sz val="10"/>
        <color indexed="8"/>
        <rFont val="Arial"/>
        <family val="2"/>
      </rPr>
      <t>1</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</si>
  <si>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</si>
  <si>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</si>
  <si>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</si>
  <si>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1" type="noConversion"/>
  </si>
  <si>
    <r>
      <rPr>
        <sz val="10"/>
        <color indexed="8"/>
        <rFont val="宋体"/>
        <family val="3"/>
        <charset val="134"/>
      </rPr>
      <t>（</t>
    </r>
    <r>
      <rPr>
        <sz val="10"/>
        <color indexed="8"/>
        <rFont val="Arial"/>
        <family val="2"/>
      </rPr>
      <t>5</t>
    </r>
    <r>
      <rPr>
        <sz val="10"/>
        <color indexed="8"/>
        <rFont val="宋体"/>
        <family val="3"/>
        <charset val="134"/>
      </rPr>
      <t>）</t>
    </r>
    <phoneticPr fontId="1" type="noConversion"/>
  </si>
  <si>
    <r>
      <rPr>
        <sz val="10"/>
        <color indexed="8"/>
        <rFont val="宋体"/>
        <family val="3"/>
        <charset val="134"/>
      </rPr>
      <t>（</t>
    </r>
    <r>
      <rPr>
        <sz val="10"/>
        <color indexed="8"/>
        <rFont val="Arial"/>
        <family val="2"/>
      </rPr>
      <t>6</t>
    </r>
    <r>
      <rPr>
        <sz val="10"/>
        <color indexed="8"/>
        <rFont val="宋体"/>
        <family val="3"/>
        <charset val="134"/>
      </rPr>
      <t>）</t>
    </r>
    <phoneticPr fontId="1" type="noConversion"/>
  </si>
  <si>
    <r>
      <rPr>
        <sz val="10"/>
        <color indexed="8"/>
        <rFont val="宋体"/>
        <family val="3"/>
        <charset val="134"/>
      </rPr>
      <t>（</t>
    </r>
    <r>
      <rPr>
        <sz val="10"/>
        <color indexed="8"/>
        <rFont val="Arial"/>
        <family val="2"/>
      </rPr>
      <t>7</t>
    </r>
    <r>
      <rPr>
        <sz val="10"/>
        <color indexed="8"/>
        <rFont val="宋体"/>
        <family val="3"/>
        <charset val="134"/>
      </rPr>
      <t>）</t>
    </r>
    <phoneticPr fontId="1" type="noConversion"/>
  </si>
  <si>
    <r>
      <t>1</t>
    </r>
    <r>
      <rPr>
        <sz val="10"/>
        <color indexed="8"/>
        <rFont val="宋体"/>
        <family val="3"/>
        <charset val="134"/>
      </rPr>
      <t>）</t>
    </r>
    <phoneticPr fontId="1" type="noConversion"/>
  </si>
  <si>
    <r>
      <t>2</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</si>
  <si>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1"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</si>
  <si>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1"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</si>
  <si>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1" type="noConversion"/>
  </si>
  <si>
    <t>（7）</t>
    <phoneticPr fontId="1" type="noConversion"/>
  </si>
  <si>
    <t>3</t>
    <phoneticPr fontId="1" type="noConversion"/>
  </si>
  <si>
    <t>4</t>
    <phoneticPr fontId="1" type="noConversion"/>
  </si>
  <si>
    <t>5</t>
    <phoneticPr fontId="1" type="noConversion"/>
  </si>
  <si>
    <t>——</t>
    <phoneticPr fontId="12" type="noConversion"/>
  </si>
  <si>
    <t>商业</t>
    <phoneticPr fontId="4" type="noConversion"/>
  </si>
  <si>
    <t>办公</t>
    <phoneticPr fontId="4" type="noConversion"/>
  </si>
  <si>
    <t>住宅</t>
    <phoneticPr fontId="4" type="noConversion"/>
  </si>
  <si>
    <t>工业</t>
    <phoneticPr fontId="4" type="noConversion"/>
  </si>
  <si>
    <t xml:space="preserve">— </t>
    <phoneticPr fontId="1" type="noConversion"/>
  </si>
  <si>
    <t>估价项目名称：</t>
    <phoneticPr fontId="1" type="noConversion"/>
  </si>
  <si>
    <t>北京康正宏基房地产评估有限公司</t>
    <phoneticPr fontId="1" type="noConversion"/>
  </si>
  <si>
    <t>评估意见函</t>
    <phoneticPr fontId="1" type="noConversion"/>
  </si>
  <si>
    <t>估价对象：</t>
    <phoneticPr fontId="1" type="noConversion"/>
  </si>
  <si>
    <t>估价目的：</t>
    <phoneticPr fontId="1" type="noConversion"/>
  </si>
  <si>
    <t>今日</t>
    <phoneticPr fontId="1" type="noConversion"/>
  </si>
  <si>
    <t>资质过期显示为红色</t>
    <phoneticPr fontId="1" type="noConversion"/>
  </si>
  <si>
    <t>注册房地产估价师</t>
    <phoneticPr fontId="1" type="noConversion"/>
  </si>
  <si>
    <t>注册证号</t>
    <phoneticPr fontId="1" type="noConversion"/>
  </si>
  <si>
    <t>资质有效期</t>
    <phoneticPr fontId="1" type="noConversion"/>
  </si>
  <si>
    <t>土地估价师</t>
    <phoneticPr fontId="1" type="noConversion"/>
  </si>
  <si>
    <t>证号</t>
    <phoneticPr fontId="1" type="noConversion"/>
  </si>
  <si>
    <t>梁津</t>
    <phoneticPr fontId="1" type="noConversion"/>
  </si>
  <si>
    <t>叶凌</t>
    <phoneticPr fontId="1" type="noConversion"/>
  </si>
  <si>
    <t>王鹏</t>
    <phoneticPr fontId="1" type="noConversion"/>
  </si>
  <si>
    <t>欧红伟</t>
    <phoneticPr fontId="1" type="noConversion"/>
  </si>
  <si>
    <t>吴薇</t>
    <phoneticPr fontId="1" type="noConversion"/>
  </si>
  <si>
    <t>陈颖</t>
    <phoneticPr fontId="1" type="noConversion"/>
  </si>
  <si>
    <t>崔锴</t>
    <phoneticPr fontId="1" type="noConversion"/>
  </si>
  <si>
    <t>郑燚</t>
    <phoneticPr fontId="1" type="noConversion"/>
  </si>
  <si>
    <t>赵雯</t>
    <phoneticPr fontId="1" type="noConversion"/>
  </si>
  <si>
    <t>刘敬东</t>
    <phoneticPr fontId="1" type="noConversion"/>
  </si>
  <si>
    <t>估价机构</t>
    <phoneticPr fontId="1" type="noConversion"/>
  </si>
  <si>
    <t>房地产</t>
    <phoneticPr fontId="1" type="noConversion"/>
  </si>
  <si>
    <t>土地</t>
    <phoneticPr fontId="1" type="noConversion"/>
  </si>
  <si>
    <t>证书名称</t>
    <phoneticPr fontId="1" type="noConversion"/>
  </si>
  <si>
    <t>号码</t>
    <phoneticPr fontId="1" type="noConversion"/>
  </si>
  <si>
    <t>资质有效期</t>
    <phoneticPr fontId="1" type="noConversion"/>
  </si>
  <si>
    <t>资质证书：一级</t>
    <phoneticPr fontId="1" type="noConversion"/>
  </si>
  <si>
    <t>建房估证字[2013]081号</t>
    <phoneticPr fontId="1" type="noConversion"/>
  </si>
  <si>
    <t>注册证书</t>
    <phoneticPr fontId="1" type="noConversion"/>
  </si>
  <si>
    <t>A201111009</t>
    <phoneticPr fontId="1" type="noConversion"/>
  </si>
  <si>
    <t>资信等级：A级</t>
    <phoneticPr fontId="1" type="noConversion"/>
  </si>
  <si>
    <t>估价项目名称</t>
    <phoneticPr fontId="1" type="noConversion"/>
  </si>
  <si>
    <t>报告编号</t>
    <phoneticPr fontId="1" type="noConversion"/>
  </si>
  <si>
    <t>现场勘查日</t>
    <phoneticPr fontId="1" type="noConversion"/>
  </si>
  <si>
    <t>签字估价师</t>
    <phoneticPr fontId="1" type="noConversion"/>
  </si>
  <si>
    <t xml:space="preserve">估价委托人  </t>
    <phoneticPr fontId="1" type="noConversion"/>
  </si>
  <si>
    <t>估价目的</t>
    <phoneticPr fontId="1" type="noConversion"/>
  </si>
  <si>
    <t>价值类型</t>
    <phoneticPr fontId="1" type="noConversion"/>
  </si>
  <si>
    <t>抵押结果包含：</t>
    <phoneticPr fontId="1" type="noConversion"/>
  </si>
  <si>
    <t>北京市</t>
  </si>
  <si>
    <t>坐落</t>
    <phoneticPr fontId="1" type="noConversion"/>
  </si>
  <si>
    <t>土地性质</t>
    <phoneticPr fontId="1" type="noConversion"/>
  </si>
  <si>
    <t>用途</t>
    <phoneticPr fontId="1" type="noConversion"/>
  </si>
  <si>
    <t>住宅</t>
    <phoneticPr fontId="1" type="noConversion"/>
  </si>
  <si>
    <t>商业</t>
    <phoneticPr fontId="1" type="noConversion"/>
  </si>
  <si>
    <t>办公</t>
    <phoneticPr fontId="1" type="noConversion"/>
  </si>
  <si>
    <t>车库</t>
    <phoneticPr fontId="1" type="noConversion"/>
  </si>
  <si>
    <t>仓储</t>
    <phoneticPr fontId="1" type="noConversion"/>
  </si>
  <si>
    <t>工业</t>
    <phoneticPr fontId="1" type="noConversion"/>
  </si>
  <si>
    <t>终止日期</t>
    <phoneticPr fontId="1" type="noConversion"/>
  </si>
  <si>
    <t>出让年限</t>
    <phoneticPr fontId="1" type="noConversion"/>
  </si>
  <si>
    <t>剩余年限</t>
    <phoneticPr fontId="1" type="noConversion"/>
  </si>
  <si>
    <t>面积指标</t>
    <phoneticPr fontId="1" type="noConversion"/>
  </si>
  <si>
    <t>建筑面积</t>
    <phoneticPr fontId="1" type="noConversion"/>
  </si>
  <si>
    <t>面积依据</t>
    <phoneticPr fontId="1" type="noConversion"/>
  </si>
  <si>
    <t>土地面积</t>
    <phoneticPr fontId="1" type="noConversion"/>
  </si>
  <si>
    <t>权利状况（抵押）</t>
    <phoneticPr fontId="1" type="noConversion"/>
  </si>
  <si>
    <t>是否抵押</t>
    <phoneticPr fontId="1" type="noConversion"/>
  </si>
  <si>
    <t>权属证件是否登记权利价值</t>
    <phoneticPr fontId="1" type="noConversion"/>
  </si>
  <si>
    <t>依据</t>
    <phoneticPr fontId="1" type="noConversion"/>
  </si>
  <si>
    <t>权属文件</t>
    <phoneticPr fontId="1" type="noConversion"/>
  </si>
  <si>
    <t>他项权证</t>
    <phoneticPr fontId="1" type="noConversion"/>
  </si>
  <si>
    <t>其他资料</t>
    <phoneticPr fontId="1" type="noConversion"/>
  </si>
  <si>
    <t>抵押情况描述</t>
    <phoneticPr fontId="1" type="noConversion"/>
  </si>
  <si>
    <t>原件</t>
  </si>
  <si>
    <t>《国有土地使用权》</t>
  </si>
  <si>
    <t>抵押信息</t>
    <phoneticPr fontId="1" type="noConversion"/>
  </si>
  <si>
    <t>设定日期</t>
    <phoneticPr fontId="1" type="noConversion"/>
  </si>
  <si>
    <t>权利人</t>
    <phoneticPr fontId="1" type="noConversion"/>
  </si>
  <si>
    <t>权利范围</t>
    <phoneticPr fontId="1" type="noConversion"/>
  </si>
  <si>
    <t>权利价值</t>
    <phoneticPr fontId="1" type="noConversion"/>
  </si>
  <si>
    <t>红线外市政</t>
    <phoneticPr fontId="1" type="noConversion"/>
  </si>
  <si>
    <t>一通</t>
    <phoneticPr fontId="1" type="noConversion"/>
  </si>
  <si>
    <t>二通</t>
    <phoneticPr fontId="1" type="noConversion"/>
  </si>
  <si>
    <t>三通</t>
    <phoneticPr fontId="1" type="noConversion"/>
  </si>
  <si>
    <t>四通</t>
    <phoneticPr fontId="1" type="noConversion"/>
  </si>
  <si>
    <t>五通</t>
    <phoneticPr fontId="1" type="noConversion"/>
  </si>
  <si>
    <t>六通</t>
    <phoneticPr fontId="1" type="noConversion"/>
  </si>
  <si>
    <t>七通</t>
    <phoneticPr fontId="1" type="noConversion"/>
  </si>
  <si>
    <t>估价对象</t>
    <phoneticPr fontId="1" type="noConversion"/>
  </si>
  <si>
    <t>优先受偿</t>
    <phoneticPr fontId="1" type="noConversion"/>
  </si>
  <si>
    <t>抵押</t>
    <phoneticPr fontId="1" type="noConversion"/>
  </si>
  <si>
    <t>2.估价师所知悉的法定优先受偿款</t>
    <phoneticPr fontId="1" type="noConversion"/>
  </si>
  <si>
    <t>2.估价师所知悉的除抵押担保权以外的法定优先受偿款</t>
    <phoneticPr fontId="1" type="noConversion"/>
  </si>
  <si>
    <t>价值类型及定义</t>
    <phoneticPr fontId="1" type="noConversion"/>
  </si>
  <si>
    <t>已注销</t>
    <phoneticPr fontId="1" type="noConversion"/>
  </si>
  <si>
    <t>已注销及未注销</t>
    <phoneticPr fontId="1" type="noConversion"/>
  </si>
  <si>
    <t>抵押净值</t>
    <phoneticPr fontId="1" type="noConversion"/>
  </si>
  <si>
    <t>——</t>
    <phoneticPr fontId="12" type="noConversion"/>
  </si>
  <si>
    <t>估价期日</t>
    <phoneticPr fontId="1" type="noConversion"/>
  </si>
  <si>
    <t>市场价格</t>
    <phoneticPr fontId="1" type="noConversion"/>
  </si>
  <si>
    <t>抵押价格</t>
    <phoneticPr fontId="1" type="noConversion"/>
  </si>
  <si>
    <t>《建设工程规划许可证》[]、《出让合同》[]</t>
    <phoneticPr fontId="1" type="noConversion"/>
  </si>
  <si>
    <t>项目所在城市</t>
    <phoneticPr fontId="4" type="noConversion"/>
  </si>
  <si>
    <t>不动产权利人</t>
    <phoneticPr fontId="4" type="noConversion"/>
  </si>
  <si>
    <t>项目类型</t>
    <phoneticPr fontId="4" type="noConversion"/>
  </si>
  <si>
    <t>按主用途</t>
    <phoneticPr fontId="4" type="noConversion"/>
  </si>
  <si>
    <t>特殊细项</t>
    <phoneticPr fontId="4" type="noConversion"/>
  </si>
  <si>
    <t>是否配建</t>
    <phoneticPr fontId="4" type="noConversion"/>
  </si>
  <si>
    <t>配建类型</t>
    <phoneticPr fontId="4" type="noConversion"/>
  </si>
  <si>
    <t>证件取得及他项权利状况</t>
    <phoneticPr fontId="4" type="noConversion"/>
  </si>
  <si>
    <t>地块编号</t>
    <phoneticPr fontId="1" type="noConversion"/>
  </si>
  <si>
    <t>建设内容/楼号</t>
    <phoneticPr fontId="1" type="noConversion"/>
  </si>
  <si>
    <t>出让合同</t>
    <phoneticPr fontId="1" type="noConversion"/>
  </si>
  <si>
    <t>用地规划</t>
    <phoneticPr fontId="1" type="noConversion"/>
  </si>
  <si>
    <t>规划意见复函</t>
    <phoneticPr fontId="1" type="noConversion"/>
  </si>
  <si>
    <t>工程规划</t>
    <phoneticPr fontId="1" type="noConversion"/>
  </si>
  <si>
    <t>施工证</t>
    <phoneticPr fontId="1" type="noConversion"/>
  </si>
  <si>
    <t>预售证</t>
    <phoneticPr fontId="1" type="noConversion"/>
  </si>
  <si>
    <t>竣工备案</t>
    <phoneticPr fontId="1" type="noConversion"/>
  </si>
  <si>
    <t>测绘报告</t>
    <phoneticPr fontId="1" type="noConversion"/>
  </si>
  <si>
    <t>现状</t>
    <phoneticPr fontId="4" type="noConversion"/>
  </si>
  <si>
    <t>用地性质/土地用途</t>
    <phoneticPr fontId="4" type="noConversion"/>
  </si>
  <si>
    <t>不动产权证书</t>
    <phoneticPr fontId="4" type="noConversion"/>
  </si>
  <si>
    <t>国土证</t>
    <phoneticPr fontId="1" type="noConversion"/>
  </si>
  <si>
    <t>房产证</t>
    <phoneticPr fontId="1" type="noConversion"/>
  </si>
  <si>
    <t>他项权利——抵押</t>
    <phoneticPr fontId="1" type="noConversion"/>
  </si>
  <si>
    <t>他项权利——租赁</t>
    <phoneticPr fontId="4" type="noConversion"/>
  </si>
  <si>
    <t>他项权利——其他</t>
    <phoneticPr fontId="4" type="noConversion"/>
  </si>
  <si>
    <t>地价定义：</t>
    <phoneticPr fontId="1" type="noConversion"/>
  </si>
  <si>
    <t>估价期日：</t>
    <phoneticPr fontId="1" type="noConversion"/>
  </si>
  <si>
    <t>估价结果：</t>
    <phoneticPr fontId="1" type="noConversion"/>
  </si>
  <si>
    <t>（转下页）</t>
    <phoneticPr fontId="135"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</si>
  <si>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</si>
  <si>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</si>
  <si>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</si>
  <si>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</si>
  <si>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</si>
  <si>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</si>
  <si>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</si>
  <si>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</si>
  <si>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</si>
  <si>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5" type="noConversion"/>
  </si>
  <si>
    <t>估价机构：北京康正宏基房地产评估有限公司</t>
  </si>
  <si>
    <t>估价机构：北京康正宏基房地产评估有限公司</t>
    <phoneticPr fontId="135" type="noConversion"/>
  </si>
  <si>
    <t>币种：人民币</t>
    <phoneticPr fontId="135" type="noConversion"/>
  </si>
  <si>
    <t>证载（或批准）</t>
    <phoneticPr fontId="135" type="noConversion"/>
  </si>
  <si>
    <t>单位面积地价/元/㎡</t>
    <phoneticPr fontId="135" type="noConversion"/>
  </si>
  <si>
    <t>二、其他需要说明的事项：</t>
    <phoneticPr fontId="135" type="noConversion"/>
  </si>
  <si>
    <t>土地估价师：</t>
    <phoneticPr fontId="1" type="noConversion"/>
  </si>
  <si>
    <t>委托估价方：</t>
    <phoneticPr fontId="1" type="noConversion"/>
  </si>
  <si>
    <t>受托估价单位：</t>
    <phoneticPr fontId="1" type="noConversion"/>
  </si>
  <si>
    <t>土地估价报告编号：</t>
    <phoneticPr fontId="1" type="noConversion"/>
  </si>
  <si>
    <t>地价定义</t>
    <phoneticPr fontId="12" type="noConversion"/>
  </si>
  <si>
    <t>用途</t>
    <phoneticPr fontId="12"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</si>
  <si>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2"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</si>
  <si>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2" type="noConversion"/>
  </si>
  <si>
    <t>——</t>
    <phoneticPr fontId="135" type="noConversion"/>
  </si>
  <si>
    <t>宗地内平整情况设定为：</t>
    <phoneticPr fontId="4" type="noConversion"/>
  </si>
  <si>
    <t>估价结果（过程）</t>
    <phoneticPr fontId="140" type="noConversion"/>
  </si>
  <si>
    <t>估价对象范围</t>
    <phoneticPr fontId="140" type="noConversion"/>
  </si>
  <si>
    <t>估价对象状态</t>
    <phoneticPr fontId="140" type="noConversion"/>
  </si>
  <si>
    <t>证载土地用途</t>
    <phoneticPr fontId="4" type="noConversion"/>
  </si>
  <si>
    <t>设定用途</t>
    <phoneticPr fontId="4" type="noConversion"/>
  </si>
  <si>
    <t>设定估价对象土地年限</t>
    <phoneticPr fontId="4" type="noConversion"/>
  </si>
  <si>
    <t>依据</t>
    <phoneticPr fontId="4" type="noConversion"/>
  </si>
  <si>
    <t>设定用途与证载土地用途</t>
    <phoneticPr fontId="4" type="noConversion"/>
  </si>
  <si>
    <t>规划建筑面积/㎡</t>
  </si>
  <si>
    <t>楼面地价/元/㎡</t>
  </si>
  <si>
    <t>一、上述估价结果的限定条件</t>
    <phoneticPr fontId="135" type="noConversion"/>
  </si>
  <si>
    <t>4.影响价格的其他限定条件：无。</t>
    <phoneticPr fontId="135" type="noConversion"/>
  </si>
  <si>
    <r>
      <t>1.</t>
    </r>
    <r>
      <rPr>
        <b/>
        <sz val="11"/>
        <color indexed="8"/>
        <rFont val="仿宋_GB2312"/>
        <family val="3"/>
        <charset val="134"/>
      </rPr>
      <t>土地价格</t>
    </r>
    <phoneticPr fontId="6"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</si>
  <si>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5" type="noConversion"/>
  </si>
  <si>
    <r>
      <rPr>
        <sz val="10"/>
        <color indexed="8"/>
        <rFont val="宋体"/>
        <family val="3"/>
        <charset val="134"/>
      </rPr>
      <t>（</t>
    </r>
    <r>
      <rPr>
        <sz val="10"/>
        <color indexed="8"/>
        <rFont val="Arial"/>
        <family val="2"/>
      </rPr>
      <t>1</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</si>
  <si>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t>
    </r>
    <phoneticPr fontId="1" type="noConversion"/>
  </si>
  <si>
    <t>1.用途：</t>
    <phoneticPr fontId="1" type="noConversion"/>
  </si>
  <si>
    <t>2.土地开发程度</t>
    <phoneticPr fontId="135" type="noConversion"/>
  </si>
  <si>
    <t>3.规划利用条件</t>
    <phoneticPr fontId="135" type="noConversion"/>
  </si>
  <si>
    <t>4.土地使用年限</t>
    <phoneticPr fontId="135" type="noConversion"/>
  </si>
  <si>
    <t>5.地价定义</t>
    <phoneticPr fontId="135" type="noConversion"/>
  </si>
  <si>
    <t>车位数</t>
    <phoneticPr fontId="25" type="noConversion"/>
  </si>
  <si>
    <t>成交单价</t>
    <phoneticPr fontId="1" type="noConversion"/>
  </si>
  <si>
    <t>元/平方米</t>
  </si>
  <si>
    <t>北京市区片基准地价因素总修正幅度表</t>
    <phoneticPr fontId="1" type="noConversion"/>
  </si>
  <si>
    <t>商业</t>
    <phoneticPr fontId="1" type="noConversion"/>
  </si>
  <si>
    <t>办公</t>
    <phoneticPr fontId="1" type="noConversion"/>
  </si>
  <si>
    <t>住宅</t>
    <phoneticPr fontId="1" type="noConversion"/>
  </si>
  <si>
    <t>工业</t>
    <phoneticPr fontId="1" type="noConversion"/>
  </si>
  <si>
    <t>级别</t>
    <phoneticPr fontId="1" type="noConversion"/>
  </si>
  <si>
    <t>区片编号</t>
    <phoneticPr fontId="1" type="noConversion"/>
  </si>
  <si>
    <t>一级</t>
    <phoneticPr fontId="1" type="noConversion"/>
  </si>
  <si>
    <t>Ⅰ—01</t>
    <phoneticPr fontId="1" type="noConversion"/>
  </si>
  <si>
    <t>Ⅰ—02</t>
    <phoneticPr fontId="1" type="noConversion"/>
  </si>
  <si>
    <t>Ⅱ—01</t>
    <phoneticPr fontId="1" type="noConversion"/>
  </si>
  <si>
    <t>Ⅱ—13</t>
    <phoneticPr fontId="1" type="noConversion"/>
  </si>
  <si>
    <t>Ⅲ—01</t>
    <phoneticPr fontId="1" type="noConversion"/>
  </si>
  <si>
    <t>Ⅳ-01</t>
    <phoneticPr fontId="1" type="noConversion"/>
  </si>
  <si>
    <t>Ⅳ-电子城东</t>
    <phoneticPr fontId="1" type="noConversion"/>
  </si>
  <si>
    <t>Ⅳ-电子城西</t>
    <phoneticPr fontId="1" type="noConversion"/>
  </si>
  <si>
    <t>Ⅳ-上地核心</t>
    <phoneticPr fontId="1" type="noConversion"/>
  </si>
  <si>
    <t>Ⅳ-丰台园东</t>
    <phoneticPr fontId="1" type="noConversion"/>
  </si>
  <si>
    <t>Ⅴ-01</t>
    <phoneticPr fontId="1" type="noConversion"/>
  </si>
  <si>
    <t>Ⅴ-电子城北</t>
    <phoneticPr fontId="1" type="noConversion"/>
  </si>
  <si>
    <t>Ⅴ-永丰产业基地</t>
    <phoneticPr fontId="1" type="noConversion"/>
  </si>
  <si>
    <t>Ⅴ-航天城</t>
    <phoneticPr fontId="1" type="noConversion"/>
  </si>
  <si>
    <r>
      <t>Ⅴ-西北旺</t>
    </r>
    <r>
      <rPr>
        <sz val="10"/>
        <color indexed="8"/>
        <rFont val="宋体"/>
        <family val="3"/>
        <charset val="134"/>
      </rPr>
      <t>Ⅰ</t>
    </r>
    <phoneticPr fontId="1" type="noConversion"/>
  </si>
  <si>
    <r>
      <t>Ⅴ-西北旺</t>
    </r>
    <r>
      <rPr>
        <sz val="10"/>
        <color indexed="8"/>
        <rFont val="宋体"/>
        <family val="3"/>
        <charset val="134"/>
      </rPr>
      <t>Ⅱ</t>
    </r>
    <phoneticPr fontId="1" type="noConversion"/>
  </si>
  <si>
    <t>Ⅴ-石景山园南区</t>
    <phoneticPr fontId="1" type="noConversion"/>
  </si>
  <si>
    <r>
      <t>Ⅴ-石景山园北</t>
    </r>
    <r>
      <rPr>
        <sz val="10"/>
        <color indexed="8"/>
        <rFont val="宋体"/>
        <family val="3"/>
        <charset val="134"/>
      </rPr>
      <t>Ⅰ</t>
    </r>
    <phoneticPr fontId="1" type="noConversion"/>
  </si>
  <si>
    <r>
      <t>Ⅴ-石景山园北</t>
    </r>
    <r>
      <rPr>
        <sz val="10"/>
        <color indexed="8"/>
        <rFont val="宋体"/>
        <family val="3"/>
        <charset val="134"/>
      </rPr>
      <t>Ⅱ</t>
    </r>
    <phoneticPr fontId="1" type="noConversion"/>
  </si>
  <si>
    <t>Ⅵ-01</t>
    <phoneticPr fontId="1" type="noConversion"/>
  </si>
  <si>
    <t>Ⅵ-通1</t>
    <phoneticPr fontId="1" type="noConversion"/>
  </si>
  <si>
    <t>Ⅵ-顺1</t>
    <phoneticPr fontId="1" type="noConversion"/>
  </si>
  <si>
    <t>Ⅵ-兴1</t>
    <phoneticPr fontId="1" type="noConversion"/>
  </si>
  <si>
    <t>Ⅵ-昌1</t>
    <phoneticPr fontId="1" type="noConversion"/>
  </si>
  <si>
    <t>Ⅵ-亦1</t>
    <phoneticPr fontId="1" type="noConversion"/>
  </si>
  <si>
    <t>Ⅵ-创新园</t>
    <phoneticPr fontId="1" type="noConversion"/>
  </si>
  <si>
    <t>Ⅵ-海淀环保园</t>
    <phoneticPr fontId="1" type="noConversion"/>
  </si>
  <si>
    <r>
      <t>Ⅵ-温泉科技</t>
    </r>
    <r>
      <rPr>
        <sz val="10"/>
        <color indexed="8"/>
        <rFont val="宋体"/>
        <family val="3"/>
        <charset val="134"/>
      </rPr>
      <t>Ⅰ</t>
    </r>
    <phoneticPr fontId="1" type="noConversion"/>
  </si>
  <si>
    <r>
      <t>Ⅵ-温泉科技</t>
    </r>
    <r>
      <rPr>
        <sz val="10"/>
        <color indexed="8"/>
        <rFont val="宋体"/>
        <family val="3"/>
        <charset val="134"/>
      </rPr>
      <t>Ⅱ</t>
    </r>
    <phoneticPr fontId="1" type="noConversion"/>
  </si>
  <si>
    <r>
      <t>Ⅵ-温泉科技</t>
    </r>
    <r>
      <rPr>
        <sz val="10"/>
        <color indexed="8"/>
        <rFont val="宋体"/>
        <family val="3"/>
        <charset val="134"/>
      </rPr>
      <t>Ⅲ</t>
    </r>
    <phoneticPr fontId="1" type="noConversion"/>
  </si>
  <si>
    <t>Ⅵ-天竺保税区南</t>
    <phoneticPr fontId="1" type="noConversion"/>
  </si>
  <si>
    <t>Ⅵ-天竺保税区北1</t>
    <phoneticPr fontId="1" type="noConversion"/>
  </si>
  <si>
    <t>Ⅵ-空港A</t>
    <phoneticPr fontId="1" type="noConversion"/>
  </si>
  <si>
    <t>Ⅵ-空港B</t>
    <phoneticPr fontId="1" type="noConversion"/>
  </si>
  <si>
    <t>Ⅵ-生命科学园</t>
    <phoneticPr fontId="1" type="noConversion"/>
  </si>
  <si>
    <t>Ⅵ-昌三一光电</t>
    <phoneticPr fontId="1" type="noConversion"/>
  </si>
  <si>
    <t>Ⅵ-BDA核心</t>
    <phoneticPr fontId="1" type="noConversion"/>
  </si>
  <si>
    <t>Ⅶ-01</t>
    <phoneticPr fontId="1" type="noConversion"/>
  </si>
  <si>
    <t>Ⅶ-门1</t>
    <phoneticPr fontId="1" type="noConversion"/>
  </si>
  <si>
    <t>Ⅶ-房1</t>
    <phoneticPr fontId="1" type="noConversion"/>
  </si>
  <si>
    <t>Ⅶ-通1</t>
    <phoneticPr fontId="1" type="noConversion"/>
  </si>
  <si>
    <t>Ⅶ-顺1</t>
    <phoneticPr fontId="1" type="noConversion"/>
  </si>
  <si>
    <t>Ⅶ-兴1</t>
    <phoneticPr fontId="1" type="noConversion"/>
  </si>
  <si>
    <t>Ⅶ-昌1</t>
    <phoneticPr fontId="1" type="noConversion"/>
  </si>
  <si>
    <t>Ⅶ-亦1</t>
    <phoneticPr fontId="1" type="noConversion"/>
  </si>
  <si>
    <t>Ⅶ-国际教育园</t>
    <phoneticPr fontId="1" type="noConversion"/>
  </si>
  <si>
    <t>Ⅶ-农林园</t>
    <phoneticPr fontId="1" type="noConversion"/>
  </si>
  <si>
    <t>Ⅶ-上庄科技</t>
    <phoneticPr fontId="1" type="noConversion"/>
  </si>
  <si>
    <t>Ⅶ-文化教育基地</t>
    <phoneticPr fontId="1" type="noConversion"/>
  </si>
  <si>
    <r>
      <t>Ⅶ-苏家坨科技</t>
    </r>
    <r>
      <rPr>
        <sz val="10"/>
        <color indexed="8"/>
        <rFont val="宋体"/>
        <family val="3"/>
        <charset val="134"/>
      </rPr>
      <t>Ⅰ</t>
    </r>
    <phoneticPr fontId="1" type="noConversion"/>
  </si>
  <si>
    <r>
      <t>Ⅶ-苏家坨科技</t>
    </r>
    <r>
      <rPr>
        <sz val="10"/>
        <color indexed="8"/>
        <rFont val="宋体"/>
        <family val="3"/>
        <charset val="134"/>
      </rPr>
      <t>Ⅱ</t>
    </r>
    <phoneticPr fontId="1" type="noConversion"/>
  </si>
  <si>
    <r>
      <t>Ⅶ-丰台园西</t>
    </r>
    <r>
      <rPr>
        <sz val="10"/>
        <color indexed="8"/>
        <rFont val="宋体"/>
        <family val="3"/>
        <charset val="134"/>
      </rPr>
      <t>Ⅰ</t>
    </r>
    <phoneticPr fontId="1" type="noConversion"/>
  </si>
  <si>
    <r>
      <t>Ⅶ-丰台园西</t>
    </r>
    <r>
      <rPr>
        <sz val="10"/>
        <color indexed="8"/>
        <rFont val="宋体"/>
        <family val="3"/>
        <charset val="134"/>
      </rPr>
      <t>Ⅱ</t>
    </r>
    <phoneticPr fontId="1" type="noConversion"/>
  </si>
  <si>
    <t>Ⅶ-石龙开发区</t>
    <phoneticPr fontId="1" type="noConversion"/>
  </si>
  <si>
    <t>Ⅶ-光机电</t>
    <phoneticPr fontId="1" type="noConversion"/>
  </si>
  <si>
    <t>Ⅶ-通州开发区西</t>
    <phoneticPr fontId="1" type="noConversion"/>
  </si>
  <si>
    <t>Ⅶ-林河开发区</t>
    <phoneticPr fontId="1" type="noConversion"/>
  </si>
  <si>
    <t>Ⅶ-大兴开发区</t>
    <phoneticPr fontId="1" type="noConversion"/>
  </si>
  <si>
    <r>
      <t>Ⅶ-昌平园南</t>
    </r>
    <r>
      <rPr>
        <sz val="10"/>
        <color indexed="8"/>
        <rFont val="宋体"/>
        <family val="3"/>
        <charset val="134"/>
      </rPr>
      <t>Ⅰ</t>
    </r>
    <phoneticPr fontId="1" type="noConversion"/>
  </si>
  <si>
    <r>
      <t>Ⅶ-昌平园南</t>
    </r>
    <r>
      <rPr>
        <sz val="10"/>
        <color indexed="8"/>
        <rFont val="宋体"/>
        <family val="3"/>
        <charset val="134"/>
      </rPr>
      <t>Ⅱ</t>
    </r>
    <phoneticPr fontId="1" type="noConversion"/>
  </si>
  <si>
    <r>
      <t>Ⅶ-昌平园北</t>
    </r>
    <r>
      <rPr>
        <sz val="10"/>
        <color indexed="8"/>
        <rFont val="宋体"/>
        <family val="3"/>
        <charset val="134"/>
      </rPr>
      <t>Ⅰ</t>
    </r>
    <phoneticPr fontId="1" type="noConversion"/>
  </si>
  <si>
    <r>
      <t>Ⅶ-昌平园北</t>
    </r>
    <r>
      <rPr>
        <sz val="10"/>
        <color indexed="8"/>
        <rFont val="宋体"/>
        <family val="3"/>
        <charset val="134"/>
      </rPr>
      <t>Ⅱ</t>
    </r>
    <phoneticPr fontId="1" type="noConversion"/>
  </si>
  <si>
    <r>
      <t>Ⅶ-昌平园北</t>
    </r>
    <r>
      <rPr>
        <sz val="10"/>
        <color indexed="8"/>
        <rFont val="宋体"/>
        <family val="3"/>
        <charset val="134"/>
      </rPr>
      <t>Ⅲ</t>
    </r>
    <phoneticPr fontId="1" type="noConversion"/>
  </si>
  <si>
    <t>Ⅶ-BDA东</t>
    <phoneticPr fontId="1" type="noConversion"/>
  </si>
  <si>
    <t>Ⅶ-BDA西</t>
    <phoneticPr fontId="1" type="noConversion"/>
  </si>
  <si>
    <t>Ⅷ-01</t>
    <phoneticPr fontId="1" type="noConversion"/>
  </si>
  <si>
    <t>Ⅷ-门1</t>
    <phoneticPr fontId="1" type="noConversion"/>
  </si>
  <si>
    <t>Ⅷ-门军</t>
    <phoneticPr fontId="1" type="noConversion"/>
  </si>
  <si>
    <t>Ⅷ-房1</t>
    <phoneticPr fontId="1" type="noConversion"/>
  </si>
  <si>
    <t>Ⅷ-通1</t>
    <phoneticPr fontId="1" type="noConversion"/>
  </si>
  <si>
    <t>Ⅷ-顺1</t>
    <phoneticPr fontId="1" type="noConversion"/>
  </si>
  <si>
    <t>Ⅷ-顺3</t>
    <phoneticPr fontId="1" type="noConversion"/>
  </si>
  <si>
    <t>Ⅷ-兴1</t>
    <phoneticPr fontId="1" type="noConversion"/>
  </si>
  <si>
    <t>Ⅷ-昌1</t>
    <phoneticPr fontId="1" type="noConversion"/>
  </si>
  <si>
    <t>Ⅷ-平1</t>
    <phoneticPr fontId="1" type="noConversion"/>
  </si>
  <si>
    <t>Ⅷ-怀1</t>
    <phoneticPr fontId="1" type="noConversion"/>
  </si>
  <si>
    <t>Ⅷ-密1</t>
    <phoneticPr fontId="1" type="noConversion"/>
  </si>
  <si>
    <t>Ⅷ-廷1</t>
    <phoneticPr fontId="1" type="noConversion"/>
  </si>
  <si>
    <t>Ⅷ-亦1</t>
    <phoneticPr fontId="1" type="noConversion"/>
  </si>
  <si>
    <t>Ⅷ-良乡开发区A</t>
    <phoneticPr fontId="1" type="noConversion"/>
  </si>
  <si>
    <t>Ⅷ-良乡开发区B</t>
    <phoneticPr fontId="1" type="noConversion"/>
  </si>
  <si>
    <t>Ⅷ-良乡开发区C</t>
    <phoneticPr fontId="1" type="noConversion"/>
  </si>
  <si>
    <t>Ⅷ-通州环保园</t>
    <phoneticPr fontId="1" type="noConversion"/>
  </si>
  <si>
    <t>Ⅷ-空港北区A</t>
    <phoneticPr fontId="1" type="noConversion"/>
  </si>
  <si>
    <t>Ⅷ-空港北区B</t>
    <phoneticPr fontId="1" type="noConversion"/>
  </si>
  <si>
    <t>Ⅷ-生物医药基地</t>
    <phoneticPr fontId="1" type="noConversion"/>
  </si>
  <si>
    <t>Ⅷ-小汤山工业园</t>
    <phoneticPr fontId="1" type="noConversion"/>
  </si>
  <si>
    <t>Ⅸ-01</t>
    <phoneticPr fontId="1" type="noConversion"/>
  </si>
  <si>
    <t>Ⅸ-门1</t>
    <phoneticPr fontId="1" type="noConversion"/>
  </si>
  <si>
    <t>Ⅸ-门2</t>
    <phoneticPr fontId="1" type="noConversion"/>
  </si>
  <si>
    <t>Ⅸ-门潭</t>
    <phoneticPr fontId="1" type="noConversion"/>
  </si>
  <si>
    <t>Ⅸ-房1</t>
    <phoneticPr fontId="1" type="noConversion"/>
  </si>
  <si>
    <t>Ⅸ-通1</t>
    <phoneticPr fontId="1" type="noConversion"/>
  </si>
  <si>
    <t>Ⅸ-顺1</t>
    <phoneticPr fontId="1" type="noConversion"/>
  </si>
  <si>
    <t>Ⅸ-兴1</t>
    <phoneticPr fontId="1" type="noConversion"/>
  </si>
  <si>
    <t>Ⅸ-昌1</t>
    <phoneticPr fontId="1" type="noConversion"/>
  </si>
  <si>
    <t>Ⅸ-昌南</t>
    <phoneticPr fontId="1" type="noConversion"/>
  </si>
  <si>
    <t>Ⅸ-平1</t>
    <phoneticPr fontId="1" type="noConversion"/>
  </si>
  <si>
    <t>Ⅸ-怀1</t>
    <phoneticPr fontId="1" type="noConversion"/>
  </si>
  <si>
    <t>Ⅸ-密1</t>
    <phoneticPr fontId="1" type="noConversion"/>
  </si>
  <si>
    <t>Ⅸ-延1</t>
    <phoneticPr fontId="1" type="noConversion"/>
  </si>
  <si>
    <t>Ⅸ-亦1</t>
    <phoneticPr fontId="1" type="noConversion"/>
  </si>
  <si>
    <t>Ⅸ-房山工业园东</t>
    <phoneticPr fontId="1" type="noConversion"/>
  </si>
  <si>
    <t>Ⅸ-房山工业园西</t>
    <phoneticPr fontId="1" type="noConversion"/>
  </si>
  <si>
    <t>Ⅸ-通州开发区东</t>
    <phoneticPr fontId="1" type="noConversion"/>
  </si>
  <si>
    <t>Ⅸ-永乐开发区</t>
    <phoneticPr fontId="1" type="noConversion"/>
  </si>
  <si>
    <t>Ⅸ-采育开发区</t>
    <phoneticPr fontId="1" type="noConversion"/>
  </si>
  <si>
    <t>Ⅸ-兴谷开发区A</t>
    <phoneticPr fontId="1" type="noConversion"/>
  </si>
  <si>
    <t>Ⅸ-兴谷开发区B</t>
    <phoneticPr fontId="1" type="noConversion"/>
  </si>
  <si>
    <t>Ⅸ-雁栖开发区A</t>
    <phoneticPr fontId="1" type="noConversion"/>
  </si>
  <si>
    <t>Ⅸ-雁栖开发区B</t>
    <phoneticPr fontId="1" type="noConversion"/>
  </si>
  <si>
    <t>Ⅸ-雁栖开发区C</t>
    <phoneticPr fontId="1" type="noConversion"/>
  </si>
  <si>
    <t>Ⅸ-密云开发区</t>
    <phoneticPr fontId="1" type="noConversion"/>
  </si>
  <si>
    <t>Ⅹ-01</t>
    <phoneticPr fontId="1" type="noConversion"/>
  </si>
  <si>
    <t>Ⅹ-门1</t>
    <phoneticPr fontId="1" type="noConversion"/>
  </si>
  <si>
    <t>Ⅹ-门斋</t>
    <phoneticPr fontId="1" type="noConversion"/>
  </si>
  <si>
    <t>Ⅹ-房1</t>
    <phoneticPr fontId="1" type="noConversion"/>
  </si>
  <si>
    <t>Ⅹ-通1</t>
    <phoneticPr fontId="1" type="noConversion"/>
  </si>
  <si>
    <t>Ⅹ-顺1</t>
    <phoneticPr fontId="1" type="noConversion"/>
  </si>
  <si>
    <t>Ⅹ-兴1</t>
    <phoneticPr fontId="1" type="noConversion"/>
  </si>
  <si>
    <t>Ⅹ-昌1</t>
    <phoneticPr fontId="1" type="noConversion"/>
  </si>
  <si>
    <t>Ⅹ-平1</t>
    <phoneticPr fontId="1" type="noConversion"/>
  </si>
  <si>
    <t>Ⅹ-怀1</t>
    <phoneticPr fontId="1" type="noConversion"/>
  </si>
  <si>
    <t>Ⅹ-密1</t>
    <phoneticPr fontId="1" type="noConversion"/>
  </si>
  <si>
    <t>Ⅹ-延1</t>
    <phoneticPr fontId="1" type="noConversion"/>
  </si>
  <si>
    <t>Ⅹ-亦1</t>
    <phoneticPr fontId="1" type="noConversion"/>
  </si>
  <si>
    <t>Ⅹ-马坊工业园</t>
    <phoneticPr fontId="1" type="noConversion"/>
  </si>
  <si>
    <t>Ⅹ-延庆开发区</t>
    <phoneticPr fontId="1" type="noConversion"/>
  </si>
  <si>
    <t>Ⅹ-八达岭开发区</t>
    <phoneticPr fontId="1" type="noConversion"/>
  </si>
  <si>
    <t>十一级</t>
    <phoneticPr fontId="1" type="noConversion"/>
  </si>
  <si>
    <t>Ⅺ-门1</t>
    <phoneticPr fontId="1" type="noConversion"/>
  </si>
  <si>
    <t>Ⅺ-门斋</t>
    <phoneticPr fontId="1" type="noConversion"/>
  </si>
  <si>
    <t>Ⅺ-房1</t>
    <phoneticPr fontId="1" type="noConversion"/>
  </si>
  <si>
    <t>Ⅺ-通1</t>
    <phoneticPr fontId="1" type="noConversion"/>
  </si>
  <si>
    <t>Ⅺ-顺1</t>
    <phoneticPr fontId="1" type="noConversion"/>
  </si>
  <si>
    <t>Ⅺ-兴1</t>
    <phoneticPr fontId="1" type="noConversion"/>
  </si>
  <si>
    <t>Ⅺ-兴2</t>
    <phoneticPr fontId="1" type="noConversion"/>
  </si>
  <si>
    <t>Ⅺ-昌1</t>
    <phoneticPr fontId="1" type="noConversion"/>
  </si>
  <si>
    <t>Ⅺ-平1</t>
    <phoneticPr fontId="1" type="noConversion"/>
  </si>
  <si>
    <t>Ⅺ-怀1</t>
    <phoneticPr fontId="1" type="noConversion"/>
  </si>
  <si>
    <t>Ⅺ-密1</t>
    <phoneticPr fontId="1" type="noConversion"/>
  </si>
  <si>
    <t>Ⅺ-延1</t>
    <phoneticPr fontId="1" type="noConversion"/>
  </si>
  <si>
    <t>十二级</t>
    <phoneticPr fontId="1" type="noConversion"/>
  </si>
  <si>
    <t>Ⅻ-门1</t>
    <phoneticPr fontId="1" type="noConversion"/>
  </si>
  <si>
    <t>Ⅻ-房1</t>
    <phoneticPr fontId="1" type="noConversion"/>
  </si>
  <si>
    <t>Ⅻ-昌1</t>
    <phoneticPr fontId="1" type="noConversion"/>
  </si>
  <si>
    <t>十二级</t>
    <phoneticPr fontId="1" type="noConversion"/>
  </si>
  <si>
    <t>Ⅻ-平1</t>
    <phoneticPr fontId="1" type="noConversion"/>
  </si>
  <si>
    <t>Ⅻ-怀1</t>
    <phoneticPr fontId="1" type="noConversion"/>
  </si>
  <si>
    <t>Ⅻ-密1</t>
    <phoneticPr fontId="1" type="noConversion"/>
  </si>
  <si>
    <t>Ⅻ-延1</t>
    <phoneticPr fontId="1"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</si>
  <si>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</si>
  <si>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</si>
  <si>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</si>
  <si>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</si>
  <si>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</si>
  <si>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</si>
  <si>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</si>
  <si>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</si>
  <si>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</si>
  <si>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</si>
  <si>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</si>
  <si>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</si>
  <si>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1" type="noConversion"/>
  </si>
  <si>
    <t>幅度控制(±)</t>
    <phoneticPr fontId="1" type="noConversion"/>
  </si>
  <si>
    <t>幅度控制(±)</t>
    <phoneticPr fontId="1" type="noConversion"/>
  </si>
  <si>
    <t>幅度控制(±)</t>
    <phoneticPr fontId="1" type="noConversion"/>
  </si>
  <si>
    <t>元/平方米</t>
    <phoneticPr fontId="122" type="noConversion"/>
  </si>
  <si>
    <t>万元/亩</t>
    <phoneticPr fontId="122" type="noConversion"/>
  </si>
  <si>
    <t>楼层-1</t>
    <phoneticPr fontId="19" type="noConversion"/>
  </si>
  <si>
    <t>楼层-1</t>
    <phoneticPr fontId="1" type="noConversion"/>
  </si>
  <si>
    <t>楼层修正-2：多层及高层同时修正时的处理，以普通无电梯多层为基准</t>
    <phoneticPr fontId="1" type="noConversion"/>
  </si>
  <si>
    <t>多层</t>
    <phoneticPr fontId="1" type="noConversion"/>
  </si>
  <si>
    <t>高层</t>
    <phoneticPr fontId="1" type="noConversion"/>
  </si>
  <si>
    <t>无电梯</t>
    <phoneticPr fontId="1" type="noConversion"/>
  </si>
  <si>
    <t>增值项</t>
    <phoneticPr fontId="1" type="noConversion"/>
  </si>
  <si>
    <t>系数</t>
    <phoneticPr fontId="1" type="noConversion"/>
  </si>
  <si>
    <t>有电梯</t>
    <phoneticPr fontId="1" type="noConversion"/>
  </si>
  <si>
    <t>增值项</t>
    <phoneticPr fontId="1" type="noConversion"/>
  </si>
  <si>
    <t>系数</t>
    <phoneticPr fontId="1" type="noConversion"/>
  </si>
  <si>
    <t>楼层数/位置</t>
    <phoneticPr fontId="1" type="noConversion"/>
  </si>
  <si>
    <t>层差/系数</t>
    <phoneticPr fontId="1" type="noConversion"/>
  </si>
  <si>
    <t>露台</t>
    <phoneticPr fontId="1" type="noConversion"/>
  </si>
  <si>
    <t>露台</t>
    <phoneticPr fontId="1" type="noConversion"/>
  </si>
  <si>
    <t>总层数</t>
    <phoneticPr fontId="1" type="noConversion"/>
  </si>
  <si>
    <t>中间层</t>
    <phoneticPr fontId="1" type="noConversion"/>
  </si>
  <si>
    <t>首层</t>
    <phoneticPr fontId="1" type="noConversion"/>
  </si>
  <si>
    <t>顶层</t>
    <phoneticPr fontId="1" type="noConversion"/>
  </si>
  <si>
    <t>所在楼层</t>
    <phoneticPr fontId="1" type="noConversion"/>
  </si>
  <si>
    <t>花园</t>
    <phoneticPr fontId="1" type="noConversion"/>
  </si>
  <si>
    <t>最高最低差</t>
    <phoneticPr fontId="1" type="noConversion"/>
  </si>
  <si>
    <t>注意于无电梯多层的价值匹配</t>
    <phoneticPr fontId="1" type="noConversion"/>
  </si>
  <si>
    <t>单位面积地价</t>
    <phoneticPr fontId="122" type="noConversion"/>
  </si>
  <si>
    <t>对应的地上用途及土地级别（北京市）</t>
    <phoneticPr fontId="1" type="noConversion"/>
  </si>
  <si>
    <t>对应商业级别</t>
    <phoneticPr fontId="1" type="noConversion"/>
  </si>
  <si>
    <t>对应办公级别</t>
    <phoneticPr fontId="1" type="noConversion"/>
  </si>
  <si>
    <t>对应的地上用途及土地级别（北京市）</t>
  </si>
  <si>
    <t>对应商业级别</t>
  </si>
  <si>
    <t>对应办公级别</t>
  </si>
  <si>
    <t>修正体系描述方式：</t>
    <phoneticPr fontId="1"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</si>
  <si>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1" type="noConversion"/>
  </si>
  <si>
    <t>以估价对象土地价格/(1+5%)为基数记取</t>
    <phoneticPr fontId="13"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</si>
  <si>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2" type="noConversion"/>
  </si>
  <si>
    <t>按在建建筑物或建筑物价值(1+5%)的一定比率</t>
    <phoneticPr fontId="39" type="noConversion"/>
  </si>
  <si>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phoneticPr fontId="1" type="noConversion"/>
  </si>
  <si>
    <t>政府土地出让收益比例</t>
    <phoneticPr fontId="1" type="noConversion"/>
  </si>
  <si>
    <t>-</t>
    <phoneticPr fontId="1" type="noConversion"/>
  </si>
  <si>
    <t>承租人权益价值</t>
    <phoneticPr fontId="1" type="noConversion"/>
  </si>
  <si>
    <t>市场租金</t>
    <phoneticPr fontId="1" type="noConversion"/>
  </si>
  <si>
    <t>不动产总价</t>
    <phoneticPr fontId="1"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</si>
  <si>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1" type="noConversion"/>
  </si>
  <si>
    <r>
      <rPr>
        <sz val="10"/>
        <color indexed="8"/>
        <rFont val="楷体_GB2312"/>
        <charset val="134"/>
      </rPr>
      <t>修正项</t>
    </r>
    <phoneticPr fontId="1" type="noConversion"/>
  </si>
  <si>
    <r>
      <rPr>
        <sz val="10"/>
        <color indexed="8"/>
        <rFont val="楷体_GB2312"/>
        <charset val="134"/>
      </rPr>
      <t>说明</t>
    </r>
    <phoneticPr fontId="1" type="noConversion"/>
  </si>
  <si>
    <r>
      <rPr>
        <sz val="10"/>
        <color indexed="8"/>
        <rFont val="楷体_GB2312"/>
        <charset val="134"/>
      </rPr>
      <t>修正系数</t>
    </r>
    <phoneticPr fontId="1" type="noConversion"/>
  </si>
  <si>
    <r>
      <rPr>
        <sz val="10"/>
        <color indexed="8"/>
        <rFont val="楷体_GB2312"/>
        <charset val="134"/>
      </rPr>
      <t>建筑面积</t>
    </r>
    <phoneticPr fontId="1" type="noConversion"/>
  </si>
  <si>
    <t>修正系数</t>
    <phoneticPr fontId="1" type="noConversion"/>
  </si>
  <si>
    <t>楼层</t>
    <phoneticPr fontId="1" type="noConversion"/>
  </si>
  <si>
    <t>土地面积</t>
    <phoneticPr fontId="5" type="noConversion"/>
  </si>
  <si>
    <t>建筑面积</t>
    <phoneticPr fontId="5" type="noConversion"/>
  </si>
  <si>
    <t>面积加总（含分摊非经营）</t>
    <phoneticPr fontId="5" type="noConversion"/>
  </si>
  <si>
    <t>按面积比例</t>
  </si>
  <si>
    <t>项目类型</t>
    <phoneticPr fontId="5" type="noConversion"/>
  </si>
  <si>
    <t>设备及其他</t>
  </si>
  <si>
    <t>公共配套</t>
  </si>
  <si>
    <t>公共配套及物业（住宅）</t>
    <phoneticPr fontId="1" type="noConversion"/>
  </si>
  <si>
    <t>公共配套设施</t>
    <phoneticPr fontId="1" type="noConversion"/>
  </si>
  <si>
    <t>物业管理用房</t>
    <phoneticPr fontId="1" type="noConversion"/>
  </si>
  <si>
    <t>设备及其他</t>
    <phoneticPr fontId="1" type="noConversion"/>
  </si>
  <si>
    <t>公共配套及物业（住宅）</t>
    <phoneticPr fontId="5" type="noConversion"/>
  </si>
  <si>
    <t>住宅用房合计</t>
    <phoneticPr fontId="5" type="noConversion"/>
  </si>
  <si>
    <t>总计</t>
    <phoneticPr fontId="5" type="noConversion"/>
  </si>
  <si>
    <t>车位数/套数/收益面积</t>
    <phoneticPr fontId="1" type="noConversion"/>
  </si>
  <si>
    <t>项目类型</t>
    <phoneticPr fontId="2" type="noConversion"/>
  </si>
  <si>
    <t>《不动产权证书》</t>
  </si>
  <si>
    <t>复印件</t>
  </si>
  <si>
    <t>地下办公（含物业）</t>
    <phoneticPr fontId="5" type="noConversion"/>
  </si>
  <si>
    <t>地下办公（含物业）</t>
    <phoneticPr fontId="12" type="noConversion"/>
  </si>
  <si>
    <t>（住宅、计出让金）</t>
    <phoneticPr fontId="1" type="noConversion"/>
  </si>
  <si>
    <t>（住宅）</t>
    <phoneticPr fontId="1" type="noConversion"/>
  </si>
  <si>
    <r>
      <rPr>
        <sz val="10"/>
        <color indexed="8"/>
        <rFont val="仿宋_GB2312"/>
        <family val="3"/>
        <charset val="134"/>
      </rPr>
      <t>物业管理用房</t>
    </r>
    <phoneticPr fontId="1" type="noConversion"/>
  </si>
  <si>
    <t>计容部位</t>
    <phoneticPr fontId="1" type="noConversion"/>
  </si>
  <si>
    <r>
      <rPr>
        <sz val="10"/>
        <color indexed="8"/>
        <rFont val="仿宋_GB2312"/>
        <family val="3"/>
        <charset val="134"/>
      </rPr>
      <t>计容建筑面积</t>
    </r>
    <phoneticPr fontId="1" type="noConversion"/>
  </si>
  <si>
    <r>
      <t>地下车库</t>
    </r>
    <r>
      <rPr>
        <sz val="9"/>
        <color indexed="8"/>
        <rFont val="仿宋_GB2312"/>
        <family val="3"/>
        <charset val="134"/>
      </rPr>
      <t>（除商业、办公）</t>
    </r>
    <phoneticPr fontId="5" type="noConversion"/>
  </si>
  <si>
    <t>包含未完成的红线外市政工程时间（如现状三通，开发完成后七通）</t>
    <phoneticPr fontId="1" type="noConversion"/>
  </si>
  <si>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indexed="10"/>
        <rFont val="楷体_GB2312"/>
        <charset val="134"/>
      </rPr>
      <t>（万元）</t>
    </r>
    <phoneticPr fontId="1" type="noConversion"/>
  </si>
  <si>
    <r>
      <rPr>
        <sz val="11"/>
        <color indexed="8"/>
        <rFont val="楷体_GB2312"/>
        <charset val="134"/>
      </rPr>
      <t>城市基础设施建设费</t>
    </r>
    <r>
      <rPr>
        <sz val="11"/>
        <color indexed="8"/>
        <rFont val="Arial"/>
        <family val="2"/>
      </rPr>
      <t>-</t>
    </r>
    <r>
      <rPr>
        <sz val="11"/>
        <color indexed="8"/>
        <rFont val="楷体_GB2312"/>
        <charset val="134"/>
      </rPr>
      <t>住宅</t>
    </r>
    <r>
      <rPr>
        <sz val="11"/>
        <color indexed="10"/>
        <rFont val="楷体_GB2312"/>
        <charset val="134"/>
      </rPr>
      <t/>
    </r>
    <phoneticPr fontId="1" type="noConversion"/>
  </si>
  <si>
    <r>
      <rPr>
        <sz val="11"/>
        <color indexed="8"/>
        <rFont val="楷体_GB2312"/>
        <charset val="134"/>
      </rPr>
      <t>城市基础设施建设费</t>
    </r>
    <r>
      <rPr>
        <sz val="11"/>
        <color indexed="8"/>
        <rFont val="Arial"/>
        <family val="2"/>
      </rPr>
      <t>-</t>
    </r>
    <r>
      <rPr>
        <sz val="11"/>
        <color indexed="8"/>
        <rFont val="楷体_GB2312"/>
        <charset val="134"/>
      </rPr>
      <t>非住宅</t>
    </r>
    <r>
      <rPr>
        <sz val="11"/>
        <color indexed="10"/>
        <rFont val="楷体_GB2312"/>
        <charset val="134"/>
      </rPr>
      <t/>
    </r>
    <phoneticPr fontId="1" type="noConversion"/>
  </si>
  <si>
    <t>总额</t>
    <phoneticPr fontId="1" type="noConversion"/>
  </si>
  <si>
    <t>超出收益期的土地使用年限或建筑物价值折现计算</t>
    <phoneticPr fontId="1" type="noConversion"/>
  </si>
  <si>
    <t>建筑物结构</t>
    <phoneticPr fontId="1" type="noConversion"/>
  </si>
  <si>
    <t>建筑使用方向</t>
    <phoneticPr fontId="1" type="noConversion"/>
  </si>
  <si>
    <t>建成年代</t>
    <phoneticPr fontId="1" type="noConversion"/>
  </si>
  <si>
    <t>建筑物耐用年限</t>
    <phoneticPr fontId="1" type="noConversion"/>
  </si>
  <si>
    <t>建筑物剩余耐用年限</t>
    <phoneticPr fontId="1" type="noConversion"/>
  </si>
  <si>
    <t>土地使用年限</t>
    <phoneticPr fontId="1" type="noConversion"/>
  </si>
  <si>
    <t>非生产用房</t>
  </si>
  <si>
    <t>剩余土地使用年限</t>
    <phoneticPr fontId="1" type="noConversion"/>
  </si>
  <si>
    <t>比较法土地结果</t>
    <phoneticPr fontId="1" type="noConversion"/>
  </si>
  <si>
    <t>基准地价土地结果</t>
    <phoneticPr fontId="1" type="noConversion"/>
  </si>
  <si>
    <t>收益还原法土地结果</t>
    <phoneticPr fontId="1" type="noConversion"/>
  </si>
  <si>
    <t>建筑物计算</t>
    <phoneticPr fontId="1" type="noConversion"/>
  </si>
  <si>
    <t>土地使用权计算</t>
    <phoneticPr fontId="1" type="noConversion"/>
  </si>
  <si>
    <t>是否约定土地使用期结束后无偿收回房地产（非住宅）</t>
    <phoneticPr fontId="1" type="noConversion"/>
  </si>
  <si>
    <t>土地使用年限结束后建筑物耐用年期</t>
    <phoneticPr fontId="1" type="noConversion"/>
  </si>
  <si>
    <t>土地使用年限结束后建筑物成新度</t>
    <phoneticPr fontId="1" type="noConversion"/>
  </si>
  <si>
    <t>土地使用年限结束后建筑物现值</t>
    <phoneticPr fontId="1" type="noConversion"/>
  </si>
  <si>
    <t>建筑物剩余价值折现值</t>
    <phoneticPr fontId="1" type="noConversion"/>
  </si>
  <si>
    <t>建筑物耐用年限结束后剩余土地使用年限</t>
    <phoneticPr fontId="1" type="noConversion"/>
  </si>
  <si>
    <t>价值时点下的土地价值（土地购买价格）</t>
    <phoneticPr fontId="1" type="noConversion"/>
  </si>
  <si>
    <t>剩余土地使用年期下的土地年期修正系数</t>
    <phoneticPr fontId="1" type="noConversion"/>
  </si>
  <si>
    <t>建筑物剩余耐用年限下的土地年期修正系数</t>
    <phoneticPr fontId="1" type="noConversion"/>
  </si>
  <si>
    <t>剩余土地价值折现值</t>
    <phoneticPr fontId="1" type="noConversion"/>
  </si>
  <si>
    <t>结构类型</t>
  </si>
  <si>
    <t>生产用房</t>
  </si>
  <si>
    <t>受腐蚀的生产用房</t>
  </si>
  <si>
    <t>钢</t>
    <phoneticPr fontId="1" type="noConversion"/>
  </si>
  <si>
    <t>钢混</t>
    <phoneticPr fontId="1" type="noConversion"/>
  </si>
  <si>
    <t>砖混</t>
    <phoneticPr fontId="1" type="noConversion"/>
  </si>
  <si>
    <t>请选择所对应的收益法</t>
    <phoneticPr fontId="1" type="noConversion"/>
  </si>
  <si>
    <t>收益年期(总)</t>
    <phoneticPr fontId="1" type="noConversion"/>
  </si>
  <si>
    <t>序号</t>
  </si>
  <si>
    <t>项目</t>
  </si>
  <si>
    <t>数额</t>
  </si>
  <si>
    <t>计算公式</t>
  </si>
  <si>
    <t>A</t>
  </si>
  <si>
    <t>依前述测算</t>
  </si>
  <si>
    <t>B</t>
  </si>
  <si>
    <r>
      <t>建筑物重置价值</t>
    </r>
    <r>
      <rPr>
        <sz val="12"/>
        <color indexed="8"/>
        <rFont val="Arial"/>
        <family val="2"/>
      </rPr>
      <t>×</t>
    </r>
    <r>
      <rPr>
        <sz val="12"/>
        <color indexed="8"/>
        <rFont val="楷体_GB2312"/>
        <charset val="134"/>
      </rPr>
      <t>成新率/（1+建筑物报酬率）</t>
    </r>
    <r>
      <rPr>
        <vertAlign val="superscript"/>
        <sz val="12"/>
        <color indexed="8"/>
        <rFont val="楷体_GB2312"/>
        <charset val="134"/>
      </rPr>
      <t>折现年期</t>
    </r>
  </si>
  <si>
    <t>(A)</t>
  </si>
  <si>
    <t>(B)</t>
  </si>
  <si>
    <t>成新率（%）</t>
    <phoneticPr fontId="1" type="noConversion"/>
  </si>
  <si>
    <t>(C)</t>
  </si>
  <si>
    <t>建筑物报酬率（%）</t>
    <phoneticPr fontId="1" type="noConversion"/>
  </si>
  <si>
    <t>(D)</t>
  </si>
  <si>
    <t>折现年期（年）</t>
  </si>
  <si>
    <t>即收益年期</t>
  </si>
  <si>
    <t>C</t>
  </si>
  <si>
    <t>A+B</t>
  </si>
  <si>
    <r>
      <t>土地报酬率</t>
    </r>
    <r>
      <rPr>
        <sz val="12"/>
        <color indexed="8"/>
        <rFont val="Arial"/>
        <family val="2"/>
      </rPr>
      <t>r</t>
    </r>
    <r>
      <rPr>
        <sz val="12"/>
        <color indexed="8"/>
        <rFont val="楷体_GB2312"/>
        <charset val="134"/>
      </rPr>
      <t>（</t>
    </r>
    <r>
      <rPr>
        <sz val="12"/>
        <color indexed="8"/>
        <rFont val="Arial"/>
        <family val="2"/>
      </rPr>
      <t>%</t>
    </r>
    <r>
      <rPr>
        <sz val="12"/>
        <color indexed="8"/>
        <rFont val="楷体_GB2312"/>
        <charset val="134"/>
      </rPr>
      <t>）</t>
    </r>
    <phoneticPr fontId="1" type="noConversion"/>
  </si>
  <si>
    <r>
      <t>剩余土地使用年期下的土地年期修正系数</t>
    </r>
    <r>
      <rPr>
        <sz val="12"/>
        <color indexed="8"/>
        <rFont val="Arial"/>
        <family val="2"/>
      </rPr>
      <t>K</t>
    </r>
    <r>
      <rPr>
        <vertAlign val="subscript"/>
        <sz val="12"/>
        <color indexed="8"/>
        <rFont val="Arial"/>
        <family val="2"/>
      </rPr>
      <t>N</t>
    </r>
  </si>
  <si>
    <r>
      <t>[1</t>
    </r>
    <r>
      <rPr>
        <sz val="12"/>
        <color indexed="8"/>
        <rFont val="楷体_GB2312"/>
        <charset val="134"/>
      </rPr>
      <t>－</t>
    </r>
    <r>
      <rPr>
        <sz val="12"/>
        <color indexed="8"/>
        <rFont val="Arial"/>
        <family val="2"/>
      </rPr>
      <t>1÷(1+r) N]</t>
    </r>
  </si>
  <si>
    <r>
      <t>建筑物剩余耐用年限下的土地年期修正系数</t>
    </r>
    <r>
      <rPr>
        <sz val="12"/>
        <color indexed="8"/>
        <rFont val="Arial"/>
        <family val="2"/>
      </rPr>
      <t>K</t>
    </r>
    <r>
      <rPr>
        <vertAlign val="subscript"/>
        <sz val="12"/>
        <color indexed="8"/>
        <rFont val="Arial"/>
        <family val="2"/>
      </rPr>
      <t>n</t>
    </r>
  </si>
  <si>
    <r>
      <t>[1</t>
    </r>
    <r>
      <rPr>
        <sz val="12"/>
        <color indexed="8"/>
        <rFont val="楷体_GB2312"/>
        <charset val="134"/>
      </rPr>
      <t>－</t>
    </r>
    <r>
      <rPr>
        <sz val="12"/>
        <color indexed="8"/>
        <rFont val="Arial"/>
        <family val="2"/>
      </rPr>
      <t>1÷(1+r) n]</t>
    </r>
  </si>
  <si>
    <r>
      <t>土地纯收益</t>
    </r>
    <r>
      <rPr>
        <sz val="12"/>
        <color indexed="8"/>
        <rFont val="Arial"/>
        <family val="2"/>
      </rPr>
      <t>a</t>
    </r>
    <r>
      <rPr>
        <vertAlign val="subscript"/>
        <sz val="12"/>
        <color indexed="8"/>
        <rFont val="Arial"/>
        <family val="2"/>
      </rPr>
      <t>t</t>
    </r>
    <r>
      <rPr>
        <sz val="12"/>
        <color indexed="8"/>
        <rFont val="楷体_GB2312"/>
        <charset val="134"/>
      </rPr>
      <t>（万元）</t>
    </r>
    <phoneticPr fontId="1" type="noConversion"/>
  </si>
  <si>
    <t>a</t>
  </si>
  <si>
    <t>房地纯收益（万元）</t>
    <phoneticPr fontId="1" type="noConversion"/>
  </si>
  <si>
    <t>b</t>
  </si>
  <si>
    <t>建筑物现值（万元）</t>
    <phoneticPr fontId="1" type="noConversion"/>
  </si>
  <si>
    <t>c</t>
  </si>
  <si>
    <r>
      <t>建筑物资本化率</t>
    </r>
    <r>
      <rPr>
        <sz val="12"/>
        <color indexed="8"/>
        <rFont val="Arial"/>
        <family val="2"/>
      </rPr>
      <t>g</t>
    </r>
    <r>
      <rPr>
        <sz val="12"/>
        <color indexed="8"/>
        <rFont val="楷体_GB2312"/>
        <charset val="134"/>
      </rPr>
      <t>（</t>
    </r>
    <r>
      <rPr>
        <sz val="12"/>
        <color indexed="8"/>
        <rFont val="Arial"/>
        <family val="2"/>
      </rPr>
      <t>%</t>
    </r>
    <r>
      <rPr>
        <sz val="12"/>
        <color indexed="8"/>
        <rFont val="楷体_GB2312"/>
        <charset val="134"/>
      </rPr>
      <t>）</t>
    </r>
    <phoneticPr fontId="1" type="noConversion"/>
  </si>
  <si>
    <t>收益期内收益价格（万元）</t>
    <phoneticPr fontId="1" type="noConversion"/>
  </si>
  <si>
    <t>建筑物在收益期结束时的价格折现到估价期日的价格（万元）</t>
    <phoneticPr fontId="1" type="noConversion"/>
  </si>
  <si>
    <t>建筑物重置价格（万元）</t>
    <phoneticPr fontId="1" type="noConversion"/>
  </si>
  <si>
    <t>收益价格（万元）</t>
    <phoneticPr fontId="1" type="noConversion"/>
  </si>
  <si>
    <t>收益期内收益价格（万元）</t>
    <phoneticPr fontId="1" type="noConversion"/>
  </si>
  <si>
    <t>计算建筑物剩余价格折现</t>
    <phoneticPr fontId="1" type="noConversion"/>
  </si>
  <si>
    <r>
      <rPr>
        <b/>
        <sz val="12"/>
        <color indexed="10"/>
        <rFont val="宋体"/>
        <family val="3"/>
        <charset val="134"/>
      </rPr>
      <t>计算土地剩余价格折现</t>
    </r>
    <r>
      <rPr>
        <b/>
        <sz val="12"/>
        <color indexed="10"/>
        <rFont val="Arial"/>
        <family val="2"/>
      </rPr>
      <t>-</t>
    </r>
    <r>
      <rPr>
        <b/>
        <sz val="12"/>
        <color indexed="10"/>
        <rFont val="宋体"/>
        <family val="3"/>
        <charset val="134"/>
      </rPr>
      <t>比较法</t>
    </r>
    <r>
      <rPr>
        <b/>
        <sz val="12"/>
        <color indexed="10"/>
        <rFont val="Arial"/>
        <family val="2"/>
      </rPr>
      <t>/</t>
    </r>
    <r>
      <rPr>
        <b/>
        <sz val="12"/>
        <color indexed="10"/>
        <rFont val="宋体"/>
        <family val="3"/>
        <charset val="134"/>
      </rPr>
      <t>基准地价系数修正法</t>
    </r>
    <phoneticPr fontId="1" type="noConversion"/>
  </si>
  <si>
    <t>剩余土地价格折现到估价期日的价格（万元）</t>
    <phoneticPr fontId="1" type="noConversion"/>
  </si>
  <si>
    <r>
      <t>剩余土地使用年限下的土地价格</t>
    </r>
    <r>
      <rPr>
        <sz val="12"/>
        <color indexed="8"/>
        <rFont val="Arial"/>
        <family val="2"/>
      </rPr>
      <t>P</t>
    </r>
    <r>
      <rPr>
        <vertAlign val="subscript"/>
        <sz val="12"/>
        <color indexed="8"/>
        <rFont val="Arial"/>
        <family val="2"/>
      </rPr>
      <t>n</t>
    </r>
    <r>
      <rPr>
        <sz val="12"/>
        <color indexed="8"/>
        <rFont val="楷体_GB2312"/>
        <charset val="134"/>
      </rPr>
      <t>（万元）</t>
    </r>
    <phoneticPr fontId="1" type="noConversion"/>
  </si>
  <si>
    <r>
      <t>P</t>
    </r>
    <r>
      <rPr>
        <vertAlign val="subscript"/>
        <sz val="12"/>
        <color indexed="8"/>
        <rFont val="Arial"/>
        <family val="2"/>
      </rPr>
      <t>n</t>
    </r>
    <r>
      <rPr>
        <sz val="12"/>
        <color indexed="8"/>
        <rFont val="Arial"/>
        <family val="2"/>
      </rPr>
      <t>×</t>
    </r>
    <r>
      <rPr>
        <sz val="12"/>
        <color indexed="8"/>
        <rFont val="楷体_GB2312"/>
        <charset val="134"/>
      </rPr>
      <t>（</t>
    </r>
    <r>
      <rPr>
        <sz val="12"/>
        <color indexed="8"/>
        <rFont val="Arial"/>
        <family val="2"/>
      </rPr>
      <t>K</t>
    </r>
    <r>
      <rPr>
        <vertAlign val="subscript"/>
        <sz val="12"/>
        <color indexed="8"/>
        <rFont val="Arial"/>
        <family val="2"/>
      </rPr>
      <t>N</t>
    </r>
    <r>
      <rPr>
        <sz val="12"/>
        <color indexed="8"/>
        <rFont val="Arial"/>
        <family val="2"/>
      </rPr>
      <t>÷K</t>
    </r>
    <r>
      <rPr>
        <vertAlign val="subscript"/>
        <sz val="12"/>
        <color indexed="8"/>
        <rFont val="Arial"/>
        <family val="2"/>
      </rPr>
      <t>n</t>
    </r>
    <r>
      <rPr>
        <sz val="12"/>
        <color indexed="8"/>
        <rFont val="Arial"/>
        <family val="2"/>
      </rPr>
      <t>-1</t>
    </r>
    <r>
      <rPr>
        <sz val="12"/>
        <color indexed="8"/>
        <rFont val="楷体_GB2312"/>
        <charset val="134"/>
      </rPr>
      <t>）</t>
    </r>
    <phoneticPr fontId="1" type="noConversion"/>
  </si>
  <si>
    <r>
      <rPr>
        <b/>
        <sz val="12"/>
        <color indexed="10"/>
        <rFont val="宋体"/>
        <family val="3"/>
        <charset val="134"/>
      </rPr>
      <t>计算土地剩余价格折现</t>
    </r>
    <r>
      <rPr>
        <b/>
        <sz val="12"/>
        <color indexed="10"/>
        <rFont val="Arial"/>
        <family val="2"/>
      </rPr>
      <t>-</t>
    </r>
    <r>
      <rPr>
        <b/>
        <sz val="12"/>
        <color indexed="10"/>
        <rFont val="宋体"/>
        <family val="3"/>
        <charset val="134"/>
      </rPr>
      <t>收益法</t>
    </r>
    <phoneticPr fontId="1" type="noConversion"/>
  </si>
  <si>
    <r>
      <t>(a</t>
    </r>
    <r>
      <rPr>
        <vertAlign val="subscript"/>
        <sz val="14"/>
        <color indexed="8"/>
        <rFont val="Arial"/>
        <family val="2"/>
      </rPr>
      <t>t</t>
    </r>
    <r>
      <rPr>
        <sz val="14"/>
        <color indexed="8"/>
        <rFont val="Arial"/>
        <family val="2"/>
      </rPr>
      <t>÷r)[1-1÷(1+r)</t>
    </r>
    <r>
      <rPr>
        <vertAlign val="superscript"/>
        <sz val="14"/>
        <color indexed="8"/>
        <rFont val="Arial"/>
        <family val="2"/>
      </rPr>
      <t>N</t>
    </r>
    <r>
      <rPr>
        <sz val="14"/>
        <color indexed="8"/>
        <rFont val="Arial"/>
        <family val="2"/>
      </rPr>
      <t>]</t>
    </r>
    <phoneticPr fontId="1" type="noConversion"/>
  </si>
  <si>
    <t>(E)</t>
    <phoneticPr fontId="1" type="noConversion"/>
  </si>
  <si>
    <t>各因素幅度控制(±)</t>
    <phoneticPr fontId="1"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</si>
  <si>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1" type="noConversion"/>
  </si>
  <si>
    <t>土地还原率</t>
    <phoneticPr fontId="1" type="noConversion"/>
  </si>
  <si>
    <t>建筑物还原率</t>
    <phoneticPr fontId="1" type="noConversion"/>
  </si>
  <si>
    <t>Ⅷ-延1</t>
    <phoneticPr fontId="123" type="noConversion"/>
  </si>
  <si>
    <t>Ⅷ-延1</t>
    <phoneticPr fontId="123" type="noConversion"/>
  </si>
  <si>
    <t>宗地开发程度</t>
    <phoneticPr fontId="24" type="noConversion"/>
  </si>
  <si>
    <t>宗地开发程度</t>
    <phoneticPr fontId="1" type="noConversion"/>
  </si>
  <si>
    <t>建筑面积</t>
    <phoneticPr fontId="123" type="noConversion"/>
  </si>
  <si>
    <t>土地面积</t>
    <phoneticPr fontId="123" type="noConversion"/>
  </si>
  <si>
    <t>不含增值税，仅附加税</t>
    <phoneticPr fontId="27"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</si>
  <si>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3"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</si>
  <si>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2" type="noConversion"/>
  </si>
  <si>
    <r>
      <rPr>
        <b/>
        <sz val="10"/>
        <rFont val="仿宋_GB2312"/>
        <family val="3"/>
        <charset val="134"/>
      </rPr>
      <t>前述</t>
    </r>
    <r>
      <rPr>
        <b/>
        <sz val="10"/>
        <rFont val="Arial"/>
        <family val="2"/>
      </rPr>
      <t>5</t>
    </r>
    <r>
      <rPr>
        <b/>
        <sz val="10"/>
        <rFont val="仿宋_GB2312"/>
        <family val="3"/>
        <charset val="134"/>
      </rPr>
      <t>项之和</t>
    </r>
    <phoneticPr fontId="39"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</si>
  <si>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1" type="noConversion"/>
  </si>
  <si>
    <r>
      <rPr>
        <b/>
        <sz val="10"/>
        <rFont val="仿宋_GB2312"/>
        <family val="3"/>
        <charset val="134"/>
      </rPr>
      <t>前述</t>
    </r>
    <r>
      <rPr>
        <b/>
        <sz val="10"/>
        <rFont val="Arial"/>
        <family val="2"/>
      </rPr>
      <t>6</t>
    </r>
    <r>
      <rPr>
        <b/>
        <sz val="10"/>
        <rFont val="仿宋_GB2312"/>
        <family val="3"/>
        <charset val="134"/>
      </rPr>
      <t>项之和</t>
    </r>
    <phoneticPr fontId="39"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</si>
  <si>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</si>
  <si>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</si>
  <si>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</si>
  <si>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1" type="noConversion"/>
  </si>
  <si>
    <r>
      <rPr>
        <b/>
        <sz val="10"/>
        <rFont val="宋体"/>
        <family val="3"/>
        <charset val="134"/>
      </rPr>
      <t>（</t>
    </r>
    <r>
      <rPr>
        <b/>
        <sz val="10"/>
        <rFont val="Arial"/>
        <family val="2"/>
      </rPr>
      <t>1</t>
    </r>
    <r>
      <rPr>
        <b/>
        <sz val="10"/>
        <rFont val="宋体"/>
        <family val="3"/>
        <charset val="134"/>
      </rPr>
      <t>）</t>
    </r>
    <phoneticPr fontId="13" type="noConversion"/>
  </si>
  <si>
    <r>
      <rPr>
        <b/>
        <sz val="10"/>
        <rFont val="宋体"/>
        <family val="3"/>
        <charset val="134"/>
      </rPr>
      <t>（</t>
    </r>
    <r>
      <rPr>
        <b/>
        <sz val="10"/>
        <rFont val="Arial"/>
        <family val="2"/>
      </rPr>
      <t>2</t>
    </r>
    <r>
      <rPr>
        <b/>
        <sz val="10"/>
        <rFont val="宋体"/>
        <family val="3"/>
        <charset val="134"/>
      </rPr>
      <t>）</t>
    </r>
    <phoneticPr fontId="13" type="noConversion"/>
  </si>
  <si>
    <t>补偿费</t>
    <phoneticPr fontId="1" type="noConversion"/>
  </si>
  <si>
    <t>安置补助费</t>
    <phoneticPr fontId="1" type="noConversion"/>
  </si>
  <si>
    <t>土地平整费</t>
    <phoneticPr fontId="1" type="noConversion"/>
  </si>
  <si>
    <t>其他费用</t>
    <phoneticPr fontId="1" type="noConversion"/>
  </si>
  <si>
    <r>
      <rPr>
        <b/>
        <sz val="10"/>
        <rFont val="宋体"/>
        <family val="3"/>
        <charset val="134"/>
      </rPr>
      <t>（</t>
    </r>
    <r>
      <rPr>
        <b/>
        <sz val="10"/>
        <rFont val="Arial"/>
        <family val="2"/>
      </rPr>
      <t>3）</t>
    </r>
    <r>
      <rPr>
        <b/>
        <sz val="10"/>
        <rFont val="宋体"/>
        <family val="3"/>
        <charset val="134"/>
      </rPr>
      <t/>
    </r>
  </si>
  <si>
    <t>2）</t>
    <phoneticPr fontId="13" type="noConversion"/>
  </si>
  <si>
    <t>1）</t>
    <phoneticPr fontId="13" type="noConversion"/>
  </si>
  <si>
    <t>红线内土地开发费</t>
    <phoneticPr fontId="1" type="noConversion"/>
  </si>
  <si>
    <t>其他可计入土地开发费的费用</t>
    <phoneticPr fontId="1" type="noConversion"/>
  </si>
  <si>
    <t>红线外土地开发费</t>
    <phoneticPr fontId="1"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</si>
  <si>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1"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</si>
  <si>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indexed="10"/>
        <rFont val="仿宋_GB2312"/>
        <family val="3"/>
        <charset val="134"/>
      </rPr>
      <t>仅将土地开发费加计</t>
    </r>
    <r>
      <rPr>
        <sz val="10"/>
        <color indexed="10"/>
        <rFont val="Arial"/>
        <family val="2"/>
      </rPr>
      <t>20%</t>
    </r>
    <r>
      <rPr>
        <sz val="10"/>
        <color indexed="10"/>
        <rFont val="仿宋_GB2312"/>
        <family val="3"/>
        <charset val="134"/>
      </rPr>
      <t>扣减</t>
    </r>
    <phoneticPr fontId="27"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</si>
  <si>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3" type="noConversion"/>
  </si>
  <si>
    <t>一年期存款利率</t>
    <phoneticPr fontId="1" type="noConversion"/>
  </si>
  <si>
    <t>贷款利息</t>
    <phoneticPr fontId="1" type="noConversion"/>
  </si>
  <si>
    <r>
      <rPr>
        <b/>
        <sz val="10"/>
        <color indexed="8"/>
        <rFont val="楷体_GB2312"/>
        <charset val="134"/>
      </rPr>
      <t>未来第一年年总收益</t>
    </r>
    <phoneticPr fontId="1" type="noConversion"/>
  </si>
  <si>
    <t>押金利息收入</t>
    <phoneticPr fontId="1" type="noConversion"/>
  </si>
  <si>
    <t>其他收入</t>
    <phoneticPr fontId="1" type="noConversion"/>
  </si>
  <si>
    <t>年租金收入+押金利息收入+其他收入</t>
    <phoneticPr fontId="1" type="noConversion"/>
  </si>
  <si>
    <t>租金×月数×（1-空置率）</t>
    <phoneticPr fontId="1" type="noConversion"/>
  </si>
  <si>
    <t>年租金收入（年经营收入）</t>
    <phoneticPr fontId="1" type="noConversion"/>
  </si>
  <si>
    <t>押金方式</t>
    <phoneticPr fontId="1" type="noConversion"/>
  </si>
  <si>
    <t>一年期存款利率</t>
    <phoneticPr fontId="1" type="noConversion"/>
  </si>
  <si>
    <r>
      <rPr>
        <sz val="10"/>
        <color indexed="8"/>
        <rFont val="宋体"/>
        <family val="3"/>
        <charset val="134"/>
      </rPr>
      <t>（</t>
    </r>
    <r>
      <rPr>
        <sz val="10"/>
        <color indexed="8"/>
        <rFont val="Arial"/>
        <family val="2"/>
      </rPr>
      <t>3</t>
    </r>
    <r>
      <rPr>
        <sz val="10"/>
        <color indexed="8"/>
        <rFont val="宋体"/>
        <family val="3"/>
        <charset val="134"/>
      </rPr>
      <t>）</t>
    </r>
    <phoneticPr fontId="1" type="noConversion"/>
  </si>
  <si>
    <r>
      <rPr>
        <sz val="10"/>
        <color indexed="8"/>
        <rFont val="宋体"/>
        <family val="3"/>
        <charset val="134"/>
      </rPr>
      <t>（</t>
    </r>
    <r>
      <rPr>
        <sz val="10"/>
        <color indexed="8"/>
        <rFont val="Arial"/>
        <family val="2"/>
      </rPr>
      <t>1</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</si>
  <si>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t>
    </r>
    <phoneticPr fontId="1" type="noConversion"/>
  </si>
  <si>
    <r>
      <rPr>
        <sz val="10"/>
        <color indexed="8"/>
        <rFont val="宋体"/>
        <family val="3"/>
        <charset val="134"/>
      </rPr>
      <t>（</t>
    </r>
    <r>
      <rPr>
        <sz val="10"/>
        <color indexed="8"/>
        <rFont val="Arial"/>
        <family val="2"/>
      </rPr>
      <t>3</t>
    </r>
    <r>
      <rPr>
        <sz val="10"/>
        <color indexed="8"/>
        <rFont val="宋体"/>
        <family val="3"/>
        <charset val="134"/>
      </rPr>
      <t>）</t>
    </r>
    <phoneticPr fontId="1" type="noConversion"/>
  </si>
  <si>
    <t>1.年总收入</t>
    <phoneticPr fontId="1" type="noConversion"/>
  </si>
  <si>
    <t>（1）客房</t>
    <phoneticPr fontId="1" type="noConversion"/>
  </si>
  <si>
    <t>房型</t>
    <phoneticPr fontId="1" type="noConversion"/>
  </si>
  <si>
    <t>间数</t>
    <phoneticPr fontId="1" type="noConversion"/>
  </si>
  <si>
    <t>收费标准</t>
    <phoneticPr fontId="1" type="noConversion"/>
  </si>
  <si>
    <t>折扣率</t>
    <phoneticPr fontId="1" type="noConversion"/>
  </si>
  <si>
    <t>出租率</t>
    <phoneticPr fontId="1" type="noConversion"/>
  </si>
  <si>
    <t>天数</t>
    <phoneticPr fontId="1" type="noConversion"/>
  </si>
  <si>
    <t>年收入</t>
    <phoneticPr fontId="1" type="noConversion"/>
  </si>
  <si>
    <t>总统套房</t>
    <phoneticPr fontId="1" type="noConversion"/>
  </si>
  <si>
    <t>行政套房</t>
    <phoneticPr fontId="1" type="noConversion"/>
  </si>
  <si>
    <t>沙龙套房</t>
    <phoneticPr fontId="1" type="noConversion"/>
  </si>
  <si>
    <t>标准房</t>
    <phoneticPr fontId="1" type="noConversion"/>
  </si>
  <si>
    <t>单间公寓</t>
    <phoneticPr fontId="1" type="noConversion"/>
  </si>
  <si>
    <t>单房公寓</t>
    <phoneticPr fontId="1" type="noConversion"/>
  </si>
  <si>
    <t>双房公寓</t>
    <phoneticPr fontId="1" type="noConversion"/>
  </si>
  <si>
    <t>小计</t>
    <phoneticPr fontId="1" type="noConversion"/>
  </si>
  <si>
    <t>（2）餐厅</t>
    <phoneticPr fontId="1" type="noConversion"/>
  </si>
  <si>
    <t>餐厅</t>
    <phoneticPr fontId="1" type="noConversion"/>
  </si>
  <si>
    <t>人均消费</t>
    <phoneticPr fontId="1" type="noConversion"/>
  </si>
  <si>
    <t>座位数</t>
    <phoneticPr fontId="1" type="noConversion"/>
  </si>
  <si>
    <t>上座率</t>
    <phoneticPr fontId="1" type="noConversion"/>
  </si>
  <si>
    <t>天数</t>
    <phoneticPr fontId="1" type="noConversion"/>
  </si>
  <si>
    <t>——</t>
    <phoneticPr fontId="1" type="noConversion"/>
  </si>
  <si>
    <t>年收入</t>
    <phoneticPr fontId="1" type="noConversion"/>
  </si>
  <si>
    <t>中餐厅</t>
    <phoneticPr fontId="1" type="noConversion"/>
  </si>
  <si>
    <t>西餐厅</t>
    <phoneticPr fontId="1" type="noConversion"/>
  </si>
  <si>
    <t>其他</t>
    <phoneticPr fontId="1" type="noConversion"/>
  </si>
  <si>
    <t>（3）会议中心</t>
    <phoneticPr fontId="1" type="noConversion"/>
  </si>
  <si>
    <t>会议室</t>
    <phoneticPr fontId="1" type="noConversion"/>
  </si>
  <si>
    <t>间数</t>
    <phoneticPr fontId="1" type="noConversion"/>
  </si>
  <si>
    <t>收费（元/间.天）</t>
    <phoneticPr fontId="1" type="noConversion"/>
  </si>
  <si>
    <t>平均使用率</t>
    <phoneticPr fontId="1" type="noConversion"/>
  </si>
  <si>
    <t>大</t>
    <phoneticPr fontId="1" type="noConversion"/>
  </si>
  <si>
    <t>中</t>
    <phoneticPr fontId="1" type="noConversion"/>
  </si>
  <si>
    <t>小</t>
    <phoneticPr fontId="1" type="noConversion"/>
  </si>
  <si>
    <t>（4）其他收入（可按客房收入比率计算）</t>
    <phoneticPr fontId="1" type="noConversion"/>
  </si>
  <si>
    <t>（5）出租部分</t>
    <phoneticPr fontId="1" type="noConversion"/>
  </si>
  <si>
    <t>建筑面积</t>
    <phoneticPr fontId="1" type="noConversion"/>
  </si>
  <si>
    <t>日租金</t>
    <phoneticPr fontId="1" type="noConversion"/>
  </si>
  <si>
    <t>天数</t>
    <phoneticPr fontId="1" type="noConversion"/>
  </si>
  <si>
    <t>空置率</t>
    <phoneticPr fontId="1" type="noConversion"/>
  </si>
  <si>
    <t>——</t>
    <phoneticPr fontId="1" type="noConversion"/>
  </si>
  <si>
    <t>年收入</t>
    <phoneticPr fontId="1" type="noConversion"/>
  </si>
  <si>
    <t>（一）年净收入（剥离非房地产带来的收益）</t>
    <phoneticPr fontId="1" type="noConversion"/>
  </si>
  <si>
    <t>年总收入</t>
    <phoneticPr fontId="1" type="noConversion"/>
  </si>
  <si>
    <t>（1）</t>
    <phoneticPr fontId="1" type="noConversion"/>
  </si>
  <si>
    <t>客房收入</t>
    <phoneticPr fontId="1" type="noConversion"/>
  </si>
  <si>
    <t>（2）</t>
    <phoneticPr fontId="1" type="noConversion"/>
  </si>
  <si>
    <t>餐厅、会议中心、出租等收入，按主收入（客房收入）比例计算</t>
    <phoneticPr fontId="1" type="noConversion"/>
  </si>
  <si>
    <t>经营成本</t>
    <phoneticPr fontId="1" type="noConversion"/>
  </si>
  <si>
    <t>包含耗用物品以及原材料等，以年总收入为基数计算</t>
    <phoneticPr fontId="1" type="noConversion"/>
  </si>
  <si>
    <t>其他营业费用</t>
    <phoneticPr fontId="1" type="noConversion"/>
  </si>
  <si>
    <t>工资、水电费、宣传费、差旅费、公司经费、审计费、咨询费、银行手续费、特殊行业税费等等，以年总收入为基数计算</t>
    <phoneticPr fontId="1" type="noConversion"/>
  </si>
  <si>
    <t>行业利润</t>
    <phoneticPr fontId="1" type="noConversion"/>
  </si>
  <si>
    <t>（二）年经营费用（房地产）</t>
    <phoneticPr fontId="1" type="noConversion"/>
  </si>
  <si>
    <t>税费</t>
    <phoneticPr fontId="1" type="noConversion"/>
  </si>
  <si>
    <t>保险费</t>
    <phoneticPr fontId="1" type="noConversion"/>
  </si>
  <si>
    <t>维修费</t>
    <phoneticPr fontId="1" type="noConversion"/>
  </si>
  <si>
    <t>管理费</t>
    <phoneticPr fontId="1" type="noConversion"/>
  </si>
  <si>
    <t>（三）净收益</t>
    <phoneticPr fontId="1" type="noConversion"/>
  </si>
  <si>
    <t>交易时间（按季度修正）</t>
    <phoneticPr fontId="1" type="noConversion"/>
  </si>
  <si>
    <t>交易时间（按季度调整）</t>
    <phoneticPr fontId="1"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</si>
  <si>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1" type="noConversion"/>
  </si>
  <si>
    <r>
      <rPr>
        <b/>
        <sz val="10"/>
        <color indexed="8"/>
        <rFont val="宋体"/>
        <family val="3"/>
        <charset val="134"/>
      </rPr>
      <t>（</t>
    </r>
    <r>
      <rPr>
        <b/>
        <sz val="10"/>
        <color indexed="8"/>
        <rFont val="Arial"/>
        <family val="2"/>
      </rPr>
      <t>2</t>
    </r>
    <r>
      <rPr>
        <b/>
        <sz val="10"/>
        <color indexed="8"/>
        <rFont val="宋体"/>
        <family val="3"/>
        <charset val="134"/>
      </rPr>
      <t>）</t>
    </r>
    <phoneticPr fontId="1" type="noConversion"/>
  </si>
  <si>
    <t>（1）</t>
    <phoneticPr fontId="1" type="noConversion"/>
  </si>
  <si>
    <t>租金收入</t>
    <phoneticPr fontId="1" type="noConversion"/>
  </si>
  <si>
    <t>基础设施水平</t>
    <phoneticPr fontId="12" type="noConversion"/>
  </si>
  <si>
    <t>七通</t>
    <phoneticPr fontId="12" type="noConversion"/>
  </si>
  <si>
    <t>六通</t>
    <phoneticPr fontId="12" type="noConversion"/>
  </si>
  <si>
    <t>五通</t>
    <phoneticPr fontId="12" type="noConversion"/>
  </si>
  <si>
    <t>四通</t>
    <phoneticPr fontId="12" type="noConversion"/>
  </si>
  <si>
    <t>三通</t>
    <phoneticPr fontId="12" type="noConversion"/>
  </si>
  <si>
    <t>公共配套设施</t>
    <phoneticPr fontId="12" type="noConversion"/>
  </si>
  <si>
    <t>公共配套设施</t>
    <phoneticPr fontId="19" type="noConversion"/>
  </si>
  <si>
    <t>基础设施水平</t>
    <phoneticPr fontId="19" type="noConversion"/>
  </si>
  <si>
    <t>公共配套设施</t>
    <phoneticPr fontId="24" type="noConversion"/>
  </si>
  <si>
    <t>基础设施水平</t>
    <phoneticPr fontId="24" type="noConversion"/>
  </si>
  <si>
    <t>基础设施水平</t>
    <phoneticPr fontId="24" type="noConversion"/>
  </si>
  <si>
    <t>七通</t>
    <phoneticPr fontId="24" type="noConversion"/>
  </si>
  <si>
    <t>六通</t>
    <phoneticPr fontId="24" type="noConversion"/>
  </si>
  <si>
    <t>五通</t>
    <phoneticPr fontId="24" type="noConversion"/>
  </si>
  <si>
    <t>四通</t>
    <phoneticPr fontId="24" type="noConversion"/>
  </si>
  <si>
    <t>三通</t>
    <phoneticPr fontId="24" type="noConversion"/>
  </si>
  <si>
    <t>市政基础设施</t>
    <phoneticPr fontId="1" type="noConversion"/>
  </si>
  <si>
    <t>公共配套设施</t>
    <phoneticPr fontId="1" type="noConversion"/>
  </si>
  <si>
    <t>基础设施水平</t>
    <phoneticPr fontId="19" type="noConversion"/>
  </si>
  <si>
    <t>七通</t>
    <phoneticPr fontId="19" type="noConversion"/>
  </si>
  <si>
    <t>六通</t>
    <phoneticPr fontId="19" type="noConversion"/>
  </si>
  <si>
    <t>五通</t>
    <phoneticPr fontId="19" type="noConversion"/>
  </si>
  <si>
    <t>四通</t>
    <phoneticPr fontId="19" type="noConversion"/>
  </si>
  <si>
    <t>三通</t>
    <phoneticPr fontId="19" type="noConversion"/>
  </si>
  <si>
    <t>市政基础设施</t>
    <phoneticPr fontId="19" type="noConversion"/>
  </si>
  <si>
    <t>市政基础设施</t>
    <phoneticPr fontId="24" type="noConversion"/>
  </si>
  <si>
    <t>分摊非经营性用途用房</t>
    <phoneticPr fontId="1" type="noConversion"/>
  </si>
  <si>
    <t>按面积比例分摊</t>
    <phoneticPr fontId="1" type="noConversion"/>
  </si>
  <si>
    <t>自定义分摊</t>
    <phoneticPr fontId="1" type="noConversion"/>
  </si>
  <si>
    <t>设备</t>
    <phoneticPr fontId="1" type="noConversion"/>
  </si>
  <si>
    <t>公共配套(住宅)</t>
    <phoneticPr fontId="1" type="noConversion"/>
  </si>
  <si>
    <t>合</t>
    <phoneticPr fontId="1" type="noConversion"/>
  </si>
  <si>
    <t>建筑面积（分摊设备）</t>
    <phoneticPr fontId="1" type="noConversion"/>
  </si>
  <si>
    <r>
      <t>（自定义押金）</t>
    </r>
    <r>
      <rPr>
        <b/>
        <i/>
        <sz val="10"/>
        <color indexed="10"/>
        <rFont val="宋体"/>
        <family val="3"/>
        <charset val="134"/>
      </rPr>
      <t>单位：元</t>
    </r>
    <phoneticPr fontId="1" type="noConversion"/>
  </si>
  <si>
    <r>
      <t>1</t>
    </r>
    <r>
      <rPr>
        <sz val="12"/>
        <color indexed="8"/>
        <rFont val="仿宋_GB2312"/>
        <family val="3"/>
        <charset val="134"/>
      </rPr>
      <t>.本《评估意见函》中所列估价结果为初评结果，准确金额以本公司出具的正式《土地估价报告》为准。</t>
    </r>
    <phoneticPr fontId="135" type="noConversion"/>
  </si>
  <si>
    <t>公示地价指数</t>
    <phoneticPr fontId="165" type="noConversion"/>
  </si>
  <si>
    <r>
      <rPr>
        <b/>
        <sz val="10"/>
        <color indexed="8"/>
        <rFont val="楷体_GB2312"/>
        <charset val="134"/>
      </rPr>
      <t>公示增长率</t>
    </r>
    <phoneticPr fontId="165" type="noConversion"/>
  </si>
  <si>
    <r>
      <rPr>
        <b/>
        <sz val="10"/>
        <color indexed="8"/>
        <rFont val="楷体_GB2312"/>
        <charset val="134"/>
      </rPr>
      <t>核算至百分数</t>
    </r>
    <phoneticPr fontId="165" type="noConversion"/>
  </si>
  <si>
    <r>
      <rPr>
        <b/>
        <sz val="10"/>
        <color indexed="8"/>
        <rFont val="楷体_GB2312"/>
        <charset val="134"/>
      </rPr>
      <t>验证</t>
    </r>
    <phoneticPr fontId="165" type="noConversion"/>
  </si>
  <si>
    <t>综合</t>
    <phoneticPr fontId="1" type="noConversion"/>
  </si>
  <si>
    <t>2017-2</t>
    <phoneticPr fontId="1" type="noConversion"/>
  </si>
  <si>
    <t>2017-1</t>
    <phoneticPr fontId="1" type="noConversion"/>
  </si>
  <si>
    <t>2013-4</t>
    <phoneticPr fontId="161" type="noConversion"/>
  </si>
  <si>
    <t>2013-3</t>
    <phoneticPr fontId="161" type="noConversion"/>
  </si>
  <si>
    <t>2013-2</t>
    <phoneticPr fontId="161" type="noConversion"/>
  </si>
  <si>
    <t>2013-1</t>
    <phoneticPr fontId="161" type="noConversion"/>
  </si>
  <si>
    <r>
      <t>2</t>
    </r>
    <r>
      <rPr>
        <sz val="10"/>
        <color indexed="8"/>
        <rFont val="Arial"/>
        <family val="2"/>
      </rPr>
      <t>012-4</t>
    </r>
    <phoneticPr fontId="161" type="noConversion"/>
  </si>
  <si>
    <r>
      <t>2</t>
    </r>
    <r>
      <rPr>
        <sz val="10"/>
        <color indexed="8"/>
        <rFont val="Arial"/>
        <family val="2"/>
      </rPr>
      <t>012-3</t>
    </r>
    <phoneticPr fontId="161" type="noConversion"/>
  </si>
  <si>
    <r>
      <t>2</t>
    </r>
    <r>
      <rPr>
        <sz val="10"/>
        <color indexed="8"/>
        <rFont val="Arial"/>
        <family val="2"/>
      </rPr>
      <t>012-2</t>
    </r>
    <phoneticPr fontId="161" type="noConversion"/>
  </si>
  <si>
    <r>
      <t>2</t>
    </r>
    <r>
      <rPr>
        <sz val="10"/>
        <color indexed="8"/>
        <rFont val="Arial"/>
        <family val="2"/>
      </rPr>
      <t>012-1</t>
    </r>
    <phoneticPr fontId="161" type="noConversion"/>
  </si>
  <si>
    <r>
      <t>2</t>
    </r>
    <r>
      <rPr>
        <sz val="10"/>
        <color indexed="8"/>
        <rFont val="Arial"/>
        <family val="2"/>
      </rPr>
      <t>011-4</t>
    </r>
    <phoneticPr fontId="161" type="noConversion"/>
  </si>
  <si>
    <r>
      <t>2</t>
    </r>
    <r>
      <rPr>
        <sz val="10"/>
        <color indexed="8"/>
        <rFont val="Arial"/>
        <family val="2"/>
      </rPr>
      <t>011-3</t>
    </r>
    <phoneticPr fontId="161" type="noConversion"/>
  </si>
  <si>
    <r>
      <t>2</t>
    </r>
    <r>
      <rPr>
        <sz val="10"/>
        <color indexed="8"/>
        <rFont val="Arial"/>
        <family val="2"/>
      </rPr>
      <t>011-2</t>
    </r>
    <phoneticPr fontId="161" type="noConversion"/>
  </si>
  <si>
    <r>
      <t>2</t>
    </r>
    <r>
      <rPr>
        <sz val="10"/>
        <color indexed="8"/>
        <rFont val="Arial"/>
        <family val="2"/>
      </rPr>
      <t>011-1</t>
    </r>
    <phoneticPr fontId="161" type="noConversion"/>
  </si>
  <si>
    <r>
      <t>2</t>
    </r>
    <r>
      <rPr>
        <sz val="10"/>
        <color indexed="8"/>
        <rFont val="Arial"/>
        <family val="2"/>
      </rPr>
      <t>010-4</t>
    </r>
    <phoneticPr fontId="161" type="noConversion"/>
  </si>
  <si>
    <r>
      <t>2</t>
    </r>
    <r>
      <rPr>
        <sz val="10"/>
        <color indexed="8"/>
        <rFont val="Arial"/>
        <family val="2"/>
      </rPr>
      <t>010-3</t>
    </r>
    <phoneticPr fontId="161" type="noConversion"/>
  </si>
  <si>
    <r>
      <t>2</t>
    </r>
    <r>
      <rPr>
        <sz val="10"/>
        <color indexed="8"/>
        <rFont val="Arial"/>
        <family val="2"/>
      </rPr>
      <t>010-2</t>
    </r>
    <phoneticPr fontId="161" type="noConversion"/>
  </si>
  <si>
    <r>
      <t>2</t>
    </r>
    <r>
      <rPr>
        <sz val="10"/>
        <color indexed="8"/>
        <rFont val="Arial"/>
        <family val="2"/>
      </rPr>
      <t>010-1</t>
    </r>
    <phoneticPr fontId="161" type="noConversion"/>
  </si>
  <si>
    <r>
      <t>2</t>
    </r>
    <r>
      <rPr>
        <sz val="10"/>
        <color indexed="8"/>
        <rFont val="Arial"/>
        <family val="2"/>
      </rPr>
      <t>009-4</t>
    </r>
    <phoneticPr fontId="161" type="noConversion"/>
  </si>
  <si>
    <r>
      <t>2</t>
    </r>
    <r>
      <rPr>
        <sz val="10"/>
        <color indexed="8"/>
        <rFont val="Arial"/>
        <family val="2"/>
      </rPr>
      <t>009-3</t>
    </r>
    <phoneticPr fontId="161" type="noConversion"/>
  </si>
  <si>
    <r>
      <t>2</t>
    </r>
    <r>
      <rPr>
        <sz val="10"/>
        <color indexed="8"/>
        <rFont val="Arial"/>
        <family val="2"/>
      </rPr>
      <t>009-2</t>
    </r>
    <phoneticPr fontId="161" type="noConversion"/>
  </si>
  <si>
    <r>
      <t>2</t>
    </r>
    <r>
      <rPr>
        <sz val="10"/>
        <color indexed="8"/>
        <rFont val="Arial"/>
        <family val="2"/>
      </rPr>
      <t>009-1</t>
    </r>
    <phoneticPr fontId="161" type="noConversion"/>
  </si>
  <si>
    <r>
      <t>2</t>
    </r>
    <r>
      <rPr>
        <sz val="10"/>
        <color indexed="8"/>
        <rFont val="Arial"/>
        <family val="2"/>
      </rPr>
      <t>008-4</t>
    </r>
    <phoneticPr fontId="161" type="noConversion"/>
  </si>
  <si>
    <r>
      <t>2</t>
    </r>
    <r>
      <rPr>
        <sz val="10"/>
        <color indexed="8"/>
        <rFont val="Arial"/>
        <family val="2"/>
      </rPr>
      <t>008-3</t>
    </r>
    <phoneticPr fontId="161" type="noConversion"/>
  </si>
  <si>
    <r>
      <t>2</t>
    </r>
    <r>
      <rPr>
        <sz val="10"/>
        <color indexed="8"/>
        <rFont val="Arial"/>
        <family val="2"/>
      </rPr>
      <t>008-2</t>
    </r>
    <phoneticPr fontId="161" type="noConversion"/>
  </si>
  <si>
    <r>
      <t>2</t>
    </r>
    <r>
      <rPr>
        <sz val="10"/>
        <color indexed="8"/>
        <rFont val="Arial"/>
        <family val="2"/>
      </rPr>
      <t>008-1</t>
    </r>
    <phoneticPr fontId="161" type="noConversion"/>
  </si>
  <si>
    <r>
      <t>2</t>
    </r>
    <r>
      <rPr>
        <sz val="10"/>
        <color indexed="8"/>
        <rFont val="Arial"/>
        <family val="2"/>
      </rPr>
      <t>007-4</t>
    </r>
    <phoneticPr fontId="161" type="noConversion"/>
  </si>
  <si>
    <r>
      <t>2</t>
    </r>
    <r>
      <rPr>
        <sz val="10"/>
        <color indexed="8"/>
        <rFont val="Arial"/>
        <family val="2"/>
      </rPr>
      <t>007-3</t>
    </r>
    <phoneticPr fontId="161" type="noConversion"/>
  </si>
  <si>
    <r>
      <t>2</t>
    </r>
    <r>
      <rPr>
        <sz val="10"/>
        <color indexed="8"/>
        <rFont val="Arial"/>
        <family val="2"/>
      </rPr>
      <t>007-2</t>
    </r>
    <phoneticPr fontId="161" type="noConversion"/>
  </si>
  <si>
    <r>
      <t>2</t>
    </r>
    <r>
      <rPr>
        <sz val="10"/>
        <color indexed="8"/>
        <rFont val="Arial"/>
        <family val="2"/>
      </rPr>
      <t>007-1</t>
    </r>
    <phoneticPr fontId="161" type="noConversion"/>
  </si>
  <si>
    <r>
      <t>2</t>
    </r>
    <r>
      <rPr>
        <sz val="10"/>
        <color indexed="8"/>
        <rFont val="Arial"/>
        <family val="2"/>
      </rPr>
      <t>006-4</t>
    </r>
    <phoneticPr fontId="161" type="noConversion"/>
  </si>
  <si>
    <t>2006-3</t>
    <phoneticPr fontId="161" type="noConversion"/>
  </si>
  <si>
    <t>2006-2</t>
    <phoneticPr fontId="161" type="noConversion"/>
  </si>
  <si>
    <t>2006-1</t>
    <phoneticPr fontId="161" type="noConversion"/>
  </si>
  <si>
    <r>
      <t>2</t>
    </r>
    <r>
      <rPr>
        <sz val="10"/>
        <color indexed="8"/>
        <rFont val="Arial"/>
        <family val="2"/>
      </rPr>
      <t>005-4</t>
    </r>
    <phoneticPr fontId="161" type="noConversion"/>
  </si>
  <si>
    <r>
      <t>2</t>
    </r>
    <r>
      <rPr>
        <sz val="10"/>
        <color indexed="8"/>
        <rFont val="Arial"/>
        <family val="2"/>
      </rPr>
      <t>005-3</t>
    </r>
    <phoneticPr fontId="161" type="noConversion"/>
  </si>
  <si>
    <r>
      <t>2</t>
    </r>
    <r>
      <rPr>
        <sz val="10"/>
        <color indexed="8"/>
        <rFont val="Arial"/>
        <family val="2"/>
      </rPr>
      <t>005-2</t>
    </r>
    <phoneticPr fontId="161" type="noConversion"/>
  </si>
  <si>
    <r>
      <t>2</t>
    </r>
    <r>
      <rPr>
        <sz val="10"/>
        <color indexed="8"/>
        <rFont val="Arial"/>
        <family val="2"/>
      </rPr>
      <t>005-1</t>
    </r>
    <phoneticPr fontId="161" type="noConversion"/>
  </si>
  <si>
    <r>
      <t>2</t>
    </r>
    <r>
      <rPr>
        <sz val="10"/>
        <color indexed="8"/>
        <rFont val="Arial"/>
        <family val="2"/>
      </rPr>
      <t>004-4</t>
    </r>
    <phoneticPr fontId="161" type="noConversion"/>
  </si>
  <si>
    <r>
      <t>2</t>
    </r>
    <r>
      <rPr>
        <sz val="10"/>
        <color indexed="8"/>
        <rFont val="Arial"/>
        <family val="2"/>
      </rPr>
      <t>004-3</t>
    </r>
    <phoneticPr fontId="161" type="noConversion"/>
  </si>
  <si>
    <r>
      <t>2</t>
    </r>
    <r>
      <rPr>
        <sz val="10"/>
        <color indexed="8"/>
        <rFont val="Arial"/>
        <family val="2"/>
      </rPr>
      <t>004-2</t>
    </r>
    <phoneticPr fontId="161" type="noConversion"/>
  </si>
  <si>
    <r>
      <t>2</t>
    </r>
    <r>
      <rPr>
        <sz val="10"/>
        <color indexed="8"/>
        <rFont val="Arial"/>
        <family val="2"/>
      </rPr>
      <t>004-1</t>
    </r>
    <phoneticPr fontId="161" type="noConversion"/>
  </si>
  <si>
    <r>
      <t>2</t>
    </r>
    <r>
      <rPr>
        <sz val="10"/>
        <color indexed="8"/>
        <rFont val="Arial"/>
        <family val="2"/>
      </rPr>
      <t>003-4</t>
    </r>
    <phoneticPr fontId="161" type="noConversion"/>
  </si>
  <si>
    <r>
      <t>2</t>
    </r>
    <r>
      <rPr>
        <sz val="10"/>
        <color indexed="8"/>
        <rFont val="Arial"/>
        <family val="2"/>
      </rPr>
      <t>003-3</t>
    </r>
    <phoneticPr fontId="161" type="noConversion"/>
  </si>
  <si>
    <r>
      <t>2</t>
    </r>
    <r>
      <rPr>
        <sz val="10"/>
        <color indexed="8"/>
        <rFont val="Arial"/>
        <family val="2"/>
      </rPr>
      <t>003-2</t>
    </r>
    <phoneticPr fontId="161" type="noConversion"/>
  </si>
  <si>
    <r>
      <t>2</t>
    </r>
    <r>
      <rPr>
        <sz val="10"/>
        <color indexed="8"/>
        <rFont val="Arial"/>
        <family val="2"/>
      </rPr>
      <t>003-1</t>
    </r>
    <phoneticPr fontId="161" type="noConversion"/>
  </si>
  <si>
    <r>
      <t>2</t>
    </r>
    <r>
      <rPr>
        <sz val="10"/>
        <color indexed="8"/>
        <rFont val="Arial"/>
        <family val="2"/>
      </rPr>
      <t>002-4</t>
    </r>
    <phoneticPr fontId="161" type="noConversion"/>
  </si>
  <si>
    <r>
      <t>2</t>
    </r>
    <r>
      <rPr>
        <sz val="10"/>
        <color indexed="8"/>
        <rFont val="Arial"/>
        <family val="2"/>
      </rPr>
      <t>002-3</t>
    </r>
    <phoneticPr fontId="161" type="noConversion"/>
  </si>
  <si>
    <r>
      <t>2</t>
    </r>
    <r>
      <rPr>
        <sz val="10"/>
        <color indexed="8"/>
        <rFont val="Arial"/>
        <family val="2"/>
      </rPr>
      <t>002-2</t>
    </r>
    <phoneticPr fontId="161" type="noConversion"/>
  </si>
  <si>
    <r>
      <t>2</t>
    </r>
    <r>
      <rPr>
        <sz val="10"/>
        <color indexed="8"/>
        <rFont val="Arial"/>
        <family val="2"/>
      </rPr>
      <t>002-1</t>
    </r>
    <phoneticPr fontId="161" type="noConversion"/>
  </si>
  <si>
    <t>说明</t>
    <phoneticPr fontId="161" type="noConversion"/>
  </si>
  <si>
    <r>
      <t>2008</t>
    </r>
    <r>
      <rPr>
        <sz val="10"/>
        <color indexed="10"/>
        <rFont val="宋体"/>
        <family val="3"/>
        <charset val="134"/>
      </rPr>
      <t>年</t>
    </r>
    <r>
      <rPr>
        <sz val="10"/>
        <color indexed="10"/>
        <rFont val="Arial"/>
        <family val="2"/>
      </rPr>
      <t>-</t>
    </r>
    <r>
      <rPr>
        <sz val="10"/>
        <color indexed="10"/>
        <rFont val="宋体"/>
        <family val="3"/>
        <charset val="134"/>
      </rPr>
      <t>至今，</t>
    </r>
    <r>
      <rPr>
        <sz val="10"/>
        <color indexed="10"/>
        <rFont val="Arial"/>
        <family val="2"/>
      </rPr>
      <t>4</t>
    </r>
    <r>
      <rPr>
        <sz val="10"/>
        <color indexed="10"/>
        <rFont val="宋体"/>
        <family val="3"/>
        <charset val="134"/>
      </rPr>
      <t>季度地价指数为地价监测网站公布数据，其余各季度指数按照公示增长率折算；</t>
    </r>
    <phoneticPr fontId="161" type="noConversion"/>
  </si>
  <si>
    <r>
      <t>2004-2007</t>
    </r>
    <r>
      <rPr>
        <sz val="10"/>
        <color indexed="10"/>
        <rFont val="宋体"/>
        <family val="3"/>
        <charset val="134"/>
      </rPr>
      <t>年，按公示地价指数计算的增长率与公示增长率不符，除</t>
    </r>
    <r>
      <rPr>
        <sz val="10"/>
        <color indexed="10"/>
        <rFont val="Arial"/>
        <family val="2"/>
      </rPr>
      <t>4</t>
    </r>
    <r>
      <rPr>
        <sz val="10"/>
        <color indexed="10"/>
        <rFont val="宋体"/>
        <family val="3"/>
        <charset val="134"/>
      </rPr>
      <t>季度以外的各季度地价指数的计算，是通过公示增长率的比例分配至年度间指数差值计算得出</t>
    </r>
    <phoneticPr fontId="161" type="noConversion"/>
  </si>
  <si>
    <r>
      <t>2002</t>
    </r>
    <r>
      <rPr>
        <sz val="10"/>
        <color indexed="10"/>
        <rFont val="宋体"/>
        <family val="3"/>
        <charset val="134"/>
      </rPr>
      <t>及</t>
    </r>
    <r>
      <rPr>
        <sz val="10"/>
        <color indexed="10"/>
        <rFont val="Arial"/>
        <family val="2"/>
      </rPr>
      <t>2003</t>
    </r>
    <r>
      <rPr>
        <sz val="10"/>
        <color indexed="10"/>
        <rFont val="宋体"/>
        <family val="3"/>
        <charset val="134"/>
      </rPr>
      <t>年，除</t>
    </r>
    <r>
      <rPr>
        <sz val="10"/>
        <color indexed="10"/>
        <rFont val="Arial"/>
        <family val="2"/>
      </rPr>
      <t>4</t>
    </r>
    <r>
      <rPr>
        <sz val="10"/>
        <color indexed="10"/>
        <rFont val="宋体"/>
        <family val="3"/>
        <charset val="134"/>
      </rPr>
      <t>季度外的各季度地价指数是将年度指数差值平均分配计算得出</t>
    </r>
    <phoneticPr fontId="161" type="noConversion"/>
  </si>
  <si>
    <r>
      <rPr>
        <sz val="10"/>
        <color indexed="23"/>
        <rFont val="宋体"/>
        <family val="3"/>
        <charset val="134"/>
      </rPr>
      <t>年度</t>
    </r>
  </si>
  <si>
    <r>
      <rPr>
        <sz val="10"/>
        <color indexed="23"/>
        <rFont val="宋体"/>
        <family val="3"/>
        <charset val="134"/>
      </rPr>
      <t>综合</t>
    </r>
  </si>
  <si>
    <r>
      <rPr>
        <sz val="10"/>
        <color indexed="23"/>
        <rFont val="宋体"/>
        <family val="3"/>
        <charset val="134"/>
      </rPr>
      <t>商服</t>
    </r>
  </si>
  <si>
    <r>
      <rPr>
        <sz val="10"/>
        <color indexed="23"/>
        <rFont val="宋体"/>
        <family val="3"/>
        <charset val="134"/>
      </rPr>
      <t>住宅</t>
    </r>
  </si>
  <si>
    <t>季度连乘</t>
    <phoneticPr fontId="161" type="noConversion"/>
  </si>
  <si>
    <t>基准季度</t>
    <phoneticPr fontId="161" type="noConversion"/>
  </si>
  <si>
    <r>
      <rPr>
        <sz val="11"/>
        <color indexed="8"/>
        <rFont val="楷体_GB2312"/>
        <charset val="134"/>
      </rPr>
      <t>商业</t>
    </r>
    <phoneticPr fontId="1" type="noConversion"/>
  </si>
  <si>
    <r>
      <rPr>
        <sz val="11"/>
        <color indexed="8"/>
        <rFont val="楷体_GB2312"/>
        <charset val="134"/>
      </rPr>
      <t>工业</t>
    </r>
    <phoneticPr fontId="1" type="noConversion"/>
  </si>
  <si>
    <t>平均增幅</t>
    <phoneticPr fontId="161" type="noConversion"/>
  </si>
  <si>
    <t>自定义涨幅</t>
    <phoneticPr fontId="123" type="noConversion"/>
  </si>
  <si>
    <t>季度增幅</t>
    <phoneticPr fontId="12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</si>
  <si>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</si>
  <si>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t>综合</t>
  </si>
  <si>
    <t>综合</t>
    <phoneticPr fontId="123" type="noConversion"/>
  </si>
  <si>
    <t>工业</t>
    <phoneticPr fontId="26" type="noConversion"/>
  </si>
  <si>
    <t>平均季度涨幅（公示）</t>
    <phoneticPr fontId="123" type="noConversion"/>
  </si>
  <si>
    <t>万元</t>
    <phoneticPr fontId="1" type="noConversion"/>
  </si>
  <si>
    <r>
      <t>1 .</t>
    </r>
    <r>
      <rPr>
        <b/>
        <sz val="12"/>
        <color indexed="8"/>
        <rFont val="仿宋_GB2312"/>
        <family val="3"/>
        <charset val="134"/>
      </rPr>
      <t>不动产总价</t>
    </r>
    <phoneticPr fontId="12" type="noConversion"/>
  </si>
  <si>
    <t>11111111111</t>
    <phoneticPr fontId="135" type="noConversion"/>
  </si>
  <si>
    <t>京国土字第111号</t>
    <phoneticPr fontId="135" type="noConversion"/>
  </si>
  <si>
    <t>中信开发</t>
    <phoneticPr fontId="135" type="noConversion"/>
  </si>
  <si>
    <t>顺序</t>
    <phoneticPr fontId="161" type="noConversion"/>
  </si>
  <si>
    <t>致函-估价对象-1</t>
    <phoneticPr fontId="161" type="noConversion"/>
  </si>
  <si>
    <t>致函-估价对象-2</t>
  </si>
  <si>
    <t>致函-估价期日</t>
    <phoneticPr fontId="161" type="noConversion"/>
  </si>
  <si>
    <t>封皮-估价项目名称</t>
    <phoneticPr fontId="167" type="noConversion"/>
  </si>
  <si>
    <t>封皮-委托估价方</t>
    <phoneticPr fontId="167" type="noConversion"/>
  </si>
  <si>
    <t>封皮-土地估价师</t>
    <phoneticPr fontId="167" type="noConversion"/>
  </si>
  <si>
    <t>封皮-土地估价报告编号</t>
    <phoneticPr fontId="167" type="noConversion"/>
  </si>
  <si>
    <t>致函-地价定义-规划</t>
    <phoneticPr fontId="161" type="noConversion"/>
  </si>
  <si>
    <t>致函-地价定义-用途-1</t>
    <phoneticPr fontId="161" type="noConversion"/>
  </si>
  <si>
    <t>致函-地价定义-用途-2</t>
    <phoneticPr fontId="161" type="noConversion"/>
  </si>
  <si>
    <t>致函-地价定义-开发程度-1</t>
    <phoneticPr fontId="161" type="noConversion"/>
  </si>
  <si>
    <t>致函-地价定义-开发程度-2</t>
    <phoneticPr fontId="161" type="noConversion"/>
  </si>
  <si>
    <t>致函-地价定义-年限-1</t>
    <phoneticPr fontId="161" type="noConversion"/>
  </si>
  <si>
    <t>致函-地价定义-年限-2</t>
    <phoneticPr fontId="161" type="noConversion"/>
  </si>
  <si>
    <t>致函-地价定义-1</t>
    <phoneticPr fontId="161" type="noConversion"/>
  </si>
  <si>
    <t>致函-地价定义-2</t>
    <phoneticPr fontId="161" type="noConversion"/>
  </si>
  <si>
    <t>致函-地价定义-3</t>
    <phoneticPr fontId="161" type="noConversion"/>
  </si>
  <si>
    <t>致函-地价定义-4</t>
    <phoneticPr fontId="161" type="noConversion"/>
  </si>
  <si>
    <t>致函-估价结果</t>
    <phoneticPr fontId="161" type="noConversion"/>
  </si>
  <si>
    <t>致函-估价结果-表-1</t>
    <phoneticPr fontId="161" type="noConversion"/>
  </si>
  <si>
    <t>致函-估价结果-表-2</t>
  </si>
  <si>
    <t>致函-限定条件-1</t>
    <phoneticPr fontId="167" type="noConversion"/>
  </si>
  <si>
    <t>致函-限定条件-2</t>
  </si>
  <si>
    <t>致函-限定条件-3</t>
  </si>
  <si>
    <t>致函-其他事项-1</t>
    <phoneticPr fontId="161" type="noConversion"/>
  </si>
  <si>
    <t>致函-其他事项-2</t>
  </si>
  <si>
    <t>致函-其他事项-优先受偿-1</t>
    <phoneticPr fontId="161" type="noConversion"/>
  </si>
  <si>
    <t>致函-其他事项-优先受偿</t>
    <phoneticPr fontId="161" type="noConversion"/>
  </si>
  <si>
    <t>致函-其他事项-优先受偿-2</t>
  </si>
  <si>
    <t>致函-其他事项-优先受偿-3</t>
  </si>
  <si>
    <t>致函-其他事项-优先受偿-4</t>
  </si>
  <si>
    <t>致函-其他事项-4</t>
    <phoneticPr fontId="161" type="noConversion"/>
  </si>
  <si>
    <t>致函-其他事项-5</t>
  </si>
  <si>
    <t>致函-估价师签字-1</t>
    <phoneticPr fontId="161" type="noConversion"/>
  </si>
  <si>
    <t>致函-估价师签字-2</t>
    <phoneticPr fontId="161" type="noConversion"/>
  </si>
  <si>
    <t>致函-出具日期</t>
    <phoneticPr fontId="161" type="noConversion"/>
  </si>
  <si>
    <r>
      <rPr>
        <b/>
        <sz val="11"/>
        <rFont val="仿宋_GB2312"/>
        <family val="3"/>
        <charset val="134"/>
      </rPr>
      <t>比较价格（元</t>
    </r>
    <r>
      <rPr>
        <b/>
        <sz val="11"/>
        <rFont val="Arial"/>
        <family val="2"/>
      </rPr>
      <t>/</t>
    </r>
    <r>
      <rPr>
        <b/>
        <sz val="11"/>
        <rFont val="仿宋_GB2312"/>
        <family val="3"/>
        <charset val="134"/>
      </rPr>
      <t>平方米）</t>
    </r>
    <phoneticPr fontId="1" type="noConversion"/>
  </si>
  <si>
    <t>注册房地产估价师</t>
  </si>
  <si>
    <t>姓名</t>
  </si>
  <si>
    <t>注册号</t>
  </si>
  <si>
    <t>签名</t>
  </si>
  <si>
    <t>签名日期</t>
  </si>
  <si>
    <t>其他评估专业人员</t>
  </si>
  <si>
    <t>相关资格或职称</t>
  </si>
  <si>
    <t>XX</t>
  </si>
  <si>
    <r>
      <t>三、参与本次估价工作的评估专业人员：</t>
    </r>
    <r>
      <rPr>
        <i/>
        <sz val="12"/>
        <color indexed="62"/>
        <rFont val="仿宋_GB2312"/>
        <family val="3"/>
        <charset val="134"/>
      </rPr>
      <t>（仅华夏银行，且需附有测算过程）</t>
    </r>
    <phoneticPr fontId="135" type="noConversion"/>
  </si>
  <si>
    <t xml:space="preserve">  年   月   日</t>
    <phoneticPr fontId="135" type="noConversion"/>
  </si>
  <si>
    <t xml:space="preserve">  年   月   日</t>
    <phoneticPr fontId="135" type="noConversion"/>
  </si>
  <si>
    <t>致函-委托事项</t>
    <phoneticPr fontId="167" type="noConversion"/>
  </si>
  <si>
    <r>
      <t>金融机构</t>
    </r>
    <r>
      <rPr>
        <sz val="10"/>
        <color indexed="8"/>
        <rFont val="仿宋_GB2312"/>
        <family val="3"/>
        <charset val="134"/>
      </rPr>
      <t>(贷款方)</t>
    </r>
    <phoneticPr fontId="1" type="noConversion"/>
  </si>
  <si>
    <t>借款方</t>
    <phoneticPr fontId="4" type="noConversion"/>
  </si>
  <si>
    <t>致函-估价目的</t>
    <phoneticPr fontId="161" type="noConversion"/>
  </si>
  <si>
    <t>致函-估价结果-表-使用者</t>
    <phoneticPr fontId="167" type="noConversion"/>
  </si>
  <si>
    <t>致函-估价结果-表-地号</t>
    <phoneticPr fontId="167" type="noConversion"/>
  </si>
  <si>
    <t>致函-估价结果-表-权属证号</t>
    <phoneticPr fontId="167" type="noConversion"/>
  </si>
  <si>
    <t>致函-估价结果-表-用途-1</t>
    <phoneticPr fontId="167" type="noConversion"/>
  </si>
  <si>
    <t>致函-估价结果-表-用途-2</t>
  </si>
  <si>
    <t>致函-估价结果-表-用途-3</t>
  </si>
  <si>
    <t>致函-估价结果-表-容积率-1</t>
    <phoneticPr fontId="167" type="noConversion"/>
  </si>
  <si>
    <t>致函-估价结果-表-容积率-2</t>
  </si>
  <si>
    <t>致函-估价结果-表-容积率-3</t>
  </si>
  <si>
    <t>致函-估价结果-表-开发程度-1</t>
    <phoneticPr fontId="167" type="noConversion"/>
  </si>
  <si>
    <t>致函-估价结果-表-开发程度-2</t>
  </si>
  <si>
    <t>致函-估价结果-表-年限</t>
    <phoneticPr fontId="167" type="noConversion"/>
  </si>
  <si>
    <t>致函-估价结果-表-土地</t>
    <phoneticPr fontId="167" type="noConversion"/>
  </si>
  <si>
    <t>致函-估价结果-表-建筑</t>
    <phoneticPr fontId="167" type="noConversion"/>
  </si>
  <si>
    <t>致函-估价结果-表-地面价</t>
    <phoneticPr fontId="167" type="noConversion"/>
  </si>
  <si>
    <t>致函-估价结果-表-楼面价</t>
    <phoneticPr fontId="167" type="noConversion"/>
  </si>
  <si>
    <t>致函-估价结果-表-总额</t>
    <phoneticPr fontId="167" type="noConversion"/>
  </si>
  <si>
    <t>致函-估价结果-表-抵押</t>
    <phoneticPr fontId="167" type="noConversion"/>
  </si>
  <si>
    <t>致函-估价结果-表-已注</t>
    <phoneticPr fontId="167" type="noConversion"/>
  </si>
  <si>
    <t>致函-估价结果-表-净值</t>
    <phoneticPr fontId="167" type="noConversion"/>
  </si>
  <si>
    <t>致函-限定条件-4</t>
  </si>
  <si>
    <t>2.估价师知悉的法定优先受偿款</t>
  </si>
  <si>
    <r>
      <t>宗地编号</t>
    </r>
    <r>
      <rPr>
        <i/>
        <sz val="10.5"/>
        <color indexed="53"/>
        <rFont val="仿宋_GB2312"/>
        <family val="3"/>
        <charset val="134"/>
      </rPr>
      <t>/不动产单元号</t>
    </r>
    <phoneticPr fontId="135" type="noConversion"/>
  </si>
  <si>
    <t>（剩余）土地使用年限/年</t>
    <phoneticPr fontId="135" type="noConversion"/>
  </si>
  <si>
    <t>致函-估价结果-表-使用者(标题）</t>
    <phoneticPr fontId="167" type="noConversion"/>
  </si>
  <si>
    <t>致函-估价结果-表-地号(标题）</t>
    <phoneticPr fontId="167" type="noConversion"/>
  </si>
  <si>
    <t>土地使用证编号/不动产权证书编号</t>
    <phoneticPr fontId="135" type="noConversion"/>
  </si>
  <si>
    <t>致函-估价结果-表-宗地名称</t>
    <phoneticPr fontId="167" type="noConversion"/>
  </si>
  <si>
    <t>致函-估价结果-表-权属证号(标题）</t>
    <phoneticPr fontId="167" type="noConversion"/>
  </si>
  <si>
    <t>致函-估价结果-表-年限(标题）</t>
    <phoneticPr fontId="167" type="noConversion"/>
  </si>
  <si>
    <t>致函-估价结果-表-土地(标题）</t>
    <phoneticPr fontId="167" type="noConversion"/>
  </si>
  <si>
    <t>致函-估价结果-表-建筑(标题）</t>
    <phoneticPr fontId="167" type="noConversion"/>
  </si>
  <si>
    <t>致函-估价结果-表-抵押（名称）</t>
    <phoneticPr fontId="167" type="noConversion"/>
  </si>
  <si>
    <t>致函-估价结果-表-已注（名称）</t>
    <phoneticPr fontId="167" type="noConversion"/>
  </si>
  <si>
    <t>致函-估价结果-表-净值（名称）</t>
    <phoneticPr fontId="167" type="noConversion"/>
  </si>
  <si>
    <r>
      <t>实际</t>
    </r>
    <r>
      <rPr>
        <i/>
        <sz val="10.5"/>
        <color indexed="62"/>
        <rFont val="仿宋_GB2312"/>
        <family val="3"/>
        <charset val="134"/>
      </rPr>
      <t>（证载）</t>
    </r>
    <phoneticPr fontId="135" type="noConversion"/>
  </si>
  <si>
    <r>
      <t>实际</t>
    </r>
    <r>
      <rPr>
        <i/>
        <sz val="10.5"/>
        <color indexed="62"/>
        <rFont val="仿宋_GB2312"/>
        <family val="3"/>
        <charset val="134"/>
      </rPr>
      <t>（工程规划）</t>
    </r>
    <phoneticPr fontId="135" type="noConversion"/>
  </si>
  <si>
    <t>（3）。</t>
    <phoneticPr fontId="135" type="noConversion"/>
  </si>
  <si>
    <t xml:space="preserve">简述项目推广名，项目类型（用途），估价对象分布，各用途面积明细情况：XX用途建筑面积XX平方米，XX用途建筑面积XX平方米，……。复杂面积清单需设‘附表’列示：抵押物清单详见附表。        </t>
    <phoneticPr fontId="1"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</si>
  <si>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5" type="noConversion"/>
  </si>
  <si>
    <t>本次估价对象国有建设用地使用权类型为储备，无土地使用年限限制。</t>
  </si>
  <si>
    <t>储备-补1</t>
    <phoneticPr fontId="167" type="noConversion"/>
  </si>
  <si>
    <t>储备-补2</t>
  </si>
  <si>
    <t>储备-补3</t>
  </si>
  <si>
    <r>
      <rPr>
        <b/>
        <sz val="12"/>
        <color indexed="8"/>
        <rFont val="宋体"/>
        <family val="3"/>
        <charset val="134"/>
      </rPr>
      <t>复制粘帖</t>
    </r>
    <r>
      <rPr>
        <b/>
        <i/>
        <sz val="12"/>
        <color indexed="53"/>
        <rFont val="Arial"/>
        <family val="2"/>
      </rPr>
      <t>“</t>
    </r>
    <r>
      <rPr>
        <b/>
        <i/>
        <sz val="12"/>
        <color indexed="53"/>
        <rFont val="宋体"/>
        <family val="3"/>
        <charset val="134"/>
      </rPr>
      <t>值</t>
    </r>
    <r>
      <rPr>
        <b/>
        <i/>
        <sz val="12"/>
        <color indexed="53"/>
        <rFont val="Arial"/>
        <family val="2"/>
      </rPr>
      <t>(V)”</t>
    </r>
    <r>
      <rPr>
        <b/>
        <sz val="12"/>
        <color indexed="8"/>
        <rFont val="宋体"/>
        <family val="3"/>
        <charset val="134"/>
      </rPr>
      <t>至</t>
    </r>
    <r>
      <rPr>
        <b/>
        <i/>
        <sz val="12"/>
        <color indexed="62"/>
        <rFont val="Arial"/>
        <family val="2"/>
      </rPr>
      <t>“</t>
    </r>
    <r>
      <rPr>
        <b/>
        <i/>
        <sz val="12"/>
        <color indexed="62"/>
        <rFont val="宋体"/>
        <family val="3"/>
        <charset val="134"/>
      </rPr>
      <t>致函链接表</t>
    </r>
    <r>
      <rPr>
        <b/>
        <i/>
        <sz val="12"/>
        <color indexed="62"/>
        <rFont val="Arial"/>
        <family val="2"/>
      </rPr>
      <t>”</t>
    </r>
    <phoneticPr fontId="165" type="noConversion"/>
  </si>
  <si>
    <t>区域因素</t>
    <phoneticPr fontId="24" type="noConversion"/>
  </si>
  <si>
    <t>个别因素</t>
    <phoneticPr fontId="24" type="noConversion"/>
  </si>
  <si>
    <r>
      <rPr>
        <b/>
        <sz val="11"/>
        <color indexed="8"/>
        <rFont val="仿宋_GB2312"/>
        <family val="3"/>
        <charset val="134"/>
      </rPr>
      <t>用途</t>
    </r>
    <phoneticPr fontId="1" type="noConversion"/>
  </si>
  <si>
    <r>
      <rPr>
        <b/>
        <sz val="11"/>
        <color indexed="8"/>
        <rFont val="仿宋_GB2312"/>
        <family val="3"/>
        <charset val="134"/>
      </rPr>
      <t>土地使用年限（年）</t>
    </r>
    <phoneticPr fontId="1" type="noConversion"/>
  </si>
  <si>
    <r>
      <rPr>
        <b/>
        <sz val="11"/>
        <color indexed="8"/>
        <rFont val="仿宋_GB2312"/>
        <family val="3"/>
        <charset val="134"/>
      </rPr>
      <t>容积率</t>
    </r>
    <phoneticPr fontId="1" type="noConversion"/>
  </si>
  <si>
    <r>
      <rPr>
        <b/>
        <sz val="11"/>
        <color indexed="8"/>
        <rFont val="仿宋_GB2312"/>
        <family val="3"/>
        <charset val="134"/>
      </rPr>
      <t>配建</t>
    </r>
    <phoneticPr fontId="24" type="noConversion"/>
  </si>
  <si>
    <r>
      <rPr>
        <b/>
        <sz val="11"/>
        <rFont val="仿宋_GB2312"/>
        <family val="3"/>
        <charset val="134"/>
      </rPr>
      <t>比较价格（元</t>
    </r>
    <r>
      <rPr>
        <b/>
        <sz val="11"/>
        <rFont val="Arial"/>
        <family val="2"/>
      </rPr>
      <t>/</t>
    </r>
    <r>
      <rPr>
        <b/>
        <sz val="11"/>
        <rFont val="仿宋_GB2312"/>
        <family val="3"/>
        <charset val="134"/>
      </rPr>
      <t>平方米）</t>
    </r>
    <phoneticPr fontId="1" type="noConversion"/>
  </si>
  <si>
    <t>商业多楼层</t>
    <phoneticPr fontId="123" type="noConversion"/>
  </si>
  <si>
    <t>楼层修正系数</t>
    <phoneticPr fontId="123" type="noConversion"/>
  </si>
  <si>
    <r>
      <t>商业R</t>
    </r>
    <r>
      <rPr>
        <sz val="10"/>
        <color indexed="8"/>
        <rFont val="仿宋_GB2312"/>
        <family val="3"/>
        <charset val="134"/>
      </rPr>
      <t>≥</t>
    </r>
    <r>
      <rPr>
        <sz val="10"/>
        <color indexed="8"/>
        <rFont val="宋体"/>
        <family val="3"/>
        <charset val="134"/>
      </rPr>
      <t>1</t>
    </r>
    <phoneticPr fontId="123" type="noConversion"/>
  </si>
  <si>
    <r>
      <rPr>
        <sz val="10"/>
        <rFont val="仿宋_GB2312"/>
        <family val="3"/>
        <charset val="134"/>
      </rPr>
      <t>估价对象级别</t>
    </r>
    <phoneticPr fontId="123" type="noConversion"/>
  </si>
  <si>
    <r>
      <rPr>
        <sz val="10"/>
        <rFont val="仿宋_GB2312"/>
        <family val="3"/>
        <charset val="134"/>
      </rPr>
      <t>容积率</t>
    </r>
    <phoneticPr fontId="123" type="noConversion"/>
  </si>
  <si>
    <r>
      <rPr>
        <sz val="10"/>
        <color indexed="8"/>
        <rFont val="宋体"/>
        <family val="3"/>
        <charset val="134"/>
      </rPr>
      <t>一级</t>
    </r>
    <phoneticPr fontId="123" type="noConversion"/>
  </si>
  <si>
    <r>
      <rPr>
        <sz val="10"/>
        <color indexed="8"/>
        <rFont val="宋体"/>
        <family val="3"/>
        <charset val="134"/>
      </rPr>
      <t>二级</t>
    </r>
    <phoneticPr fontId="123" type="noConversion"/>
  </si>
  <si>
    <r>
      <rPr>
        <sz val="10"/>
        <color indexed="8"/>
        <rFont val="宋体"/>
        <family val="3"/>
        <charset val="134"/>
      </rPr>
      <t>三级</t>
    </r>
    <phoneticPr fontId="123" type="noConversion"/>
  </si>
  <si>
    <r>
      <rPr>
        <sz val="10"/>
        <color indexed="8"/>
        <rFont val="宋体"/>
        <family val="3"/>
        <charset val="134"/>
      </rPr>
      <t>四级</t>
    </r>
    <phoneticPr fontId="123" type="noConversion"/>
  </si>
  <si>
    <r>
      <rPr>
        <sz val="10"/>
        <color indexed="8"/>
        <rFont val="宋体"/>
        <family val="3"/>
        <charset val="134"/>
      </rPr>
      <t>五级</t>
    </r>
    <phoneticPr fontId="123" type="noConversion"/>
  </si>
  <si>
    <r>
      <rPr>
        <sz val="10"/>
        <color indexed="8"/>
        <rFont val="宋体"/>
        <family val="3"/>
        <charset val="134"/>
      </rPr>
      <t>六级</t>
    </r>
    <phoneticPr fontId="123" type="noConversion"/>
  </si>
  <si>
    <r>
      <rPr>
        <sz val="10"/>
        <color indexed="8"/>
        <rFont val="宋体"/>
        <family val="3"/>
        <charset val="134"/>
      </rPr>
      <t>七级</t>
    </r>
    <phoneticPr fontId="123" type="noConversion"/>
  </si>
  <si>
    <r>
      <rPr>
        <sz val="10"/>
        <color indexed="8"/>
        <rFont val="宋体"/>
        <family val="3"/>
        <charset val="134"/>
      </rPr>
      <t>八级</t>
    </r>
    <phoneticPr fontId="123" type="noConversion"/>
  </si>
  <si>
    <r>
      <rPr>
        <sz val="10"/>
        <color indexed="8"/>
        <rFont val="宋体"/>
        <family val="3"/>
        <charset val="134"/>
      </rPr>
      <t>九级</t>
    </r>
    <phoneticPr fontId="123" type="noConversion"/>
  </si>
  <si>
    <r>
      <rPr>
        <sz val="10"/>
        <color indexed="8"/>
        <rFont val="宋体"/>
        <family val="3"/>
        <charset val="134"/>
      </rPr>
      <t>十级</t>
    </r>
    <phoneticPr fontId="123" type="noConversion"/>
  </si>
  <si>
    <r>
      <rPr>
        <sz val="10"/>
        <color indexed="8"/>
        <rFont val="宋体"/>
        <family val="3"/>
        <charset val="134"/>
      </rPr>
      <t>十一级</t>
    </r>
    <phoneticPr fontId="123" type="noConversion"/>
  </si>
  <si>
    <r>
      <rPr>
        <sz val="10"/>
        <color indexed="8"/>
        <rFont val="宋体"/>
        <family val="3"/>
        <charset val="134"/>
      </rPr>
      <t>十二级</t>
    </r>
    <phoneticPr fontId="123"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</si>
  <si>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3" type="noConversion"/>
  </si>
  <si>
    <r>
      <t>7</t>
    </r>
    <r>
      <rPr>
        <sz val="10"/>
        <color indexed="8"/>
        <rFont val="宋体"/>
        <family val="3"/>
        <charset val="134"/>
      </rPr>
      <t>层及以上</t>
    </r>
    <phoneticPr fontId="123" type="noConversion"/>
  </si>
  <si>
    <r>
      <rPr>
        <sz val="10"/>
        <rFont val="仿宋_GB2312"/>
        <family val="3"/>
        <charset val="134"/>
      </rPr>
      <t>商业</t>
    </r>
    <r>
      <rPr>
        <sz val="10"/>
        <rFont val="Arial"/>
        <family val="2"/>
      </rPr>
      <t>R&lt;1</t>
    </r>
    <phoneticPr fontId="123" type="noConversion"/>
  </si>
  <si>
    <r>
      <rPr>
        <sz val="10"/>
        <color indexed="8"/>
        <rFont val="宋体"/>
        <family val="3"/>
        <charset val="134"/>
      </rPr>
      <t>地上第</t>
    </r>
    <r>
      <rPr>
        <sz val="10"/>
        <color indexed="8"/>
        <rFont val="Arial"/>
        <family val="2"/>
      </rPr>
      <t>7</t>
    </r>
    <r>
      <rPr>
        <sz val="10"/>
        <color indexed="8"/>
        <rFont val="宋体"/>
        <family val="3"/>
        <charset val="134"/>
      </rPr>
      <t>层及以上各层</t>
    </r>
    <phoneticPr fontId="123" type="noConversion"/>
  </si>
  <si>
    <t>容积率             级别</t>
    <phoneticPr fontId="123" type="noConversion"/>
  </si>
  <si>
    <t>楼面熟地单价</t>
    <phoneticPr fontId="123" type="noConversion"/>
  </si>
  <si>
    <t>层面积</t>
    <phoneticPr fontId="123" type="noConversion"/>
  </si>
  <si>
    <t>总额</t>
    <phoneticPr fontId="123" type="noConversion"/>
  </si>
  <si>
    <t>致函-其他专业人员</t>
    <phoneticPr fontId="167" type="noConversion"/>
  </si>
  <si>
    <t>价值时点</t>
    <phoneticPr fontId="1" type="noConversion"/>
  </si>
  <si>
    <t>贷款利率</t>
    <phoneticPr fontId="1" type="noConversion"/>
  </si>
  <si>
    <t>贷款利率</t>
    <phoneticPr fontId="161" type="noConversion"/>
  </si>
  <si>
    <t>存款利率</t>
    <phoneticPr fontId="161" type="noConversion"/>
  </si>
  <si>
    <t>半年以内（含）</t>
    <phoneticPr fontId="1" type="noConversion"/>
  </si>
  <si>
    <t>0.5-1年（含）</t>
    <phoneticPr fontId="1" type="noConversion"/>
  </si>
  <si>
    <t>1-3年（含）</t>
    <phoneticPr fontId="1" type="noConversion"/>
  </si>
  <si>
    <t>3-5年（含）</t>
    <phoneticPr fontId="1" type="noConversion"/>
  </si>
  <si>
    <t>5年以上</t>
    <phoneticPr fontId="1" type="noConversion"/>
  </si>
  <si>
    <t>更新利率时，不要插入或删减行，会影响公式判断。当期行（13行）为固定行，只录入当期数据，如有更新，需要将历史数据从第14行起复制黏贴</t>
    <phoneticPr fontId="16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</si>
  <si>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</si>
  <si>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</si>
  <si>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1" type="noConversion"/>
  </si>
  <si>
    <t>日期</t>
  </si>
  <si>
    <t>短期</t>
  </si>
  <si>
    <t>中长期</t>
  </si>
  <si>
    <t>个人住房公积金</t>
  </si>
  <si>
    <t>活期</t>
  </si>
  <si>
    <t>整存整取</t>
  </si>
  <si>
    <t>零存整取</t>
    <phoneticPr fontId="1" type="noConversion"/>
  </si>
  <si>
    <t>协定</t>
  </si>
  <si>
    <t>一天通</t>
  </si>
  <si>
    <t>七天通</t>
  </si>
  <si>
    <t>0半年以内（含）</t>
    <phoneticPr fontId="1" type="noConversion"/>
  </si>
  <si>
    <t>0.5-1年（含）</t>
    <phoneticPr fontId="1" type="noConversion"/>
  </si>
  <si>
    <t>1-3年（含）</t>
    <phoneticPr fontId="1" type="noConversion"/>
  </si>
  <si>
    <t>3-5年（含）</t>
    <phoneticPr fontId="1" type="noConversion"/>
  </si>
  <si>
    <t>5年以</t>
  </si>
  <si>
    <t>3个月</t>
  </si>
  <si>
    <t>当期</t>
  </si>
  <si>
    <t>--</t>
  </si>
  <si>
    <t>项目开发期</t>
    <phoneticPr fontId="161" type="noConversion"/>
  </si>
  <si>
    <t>1年期存款利率</t>
    <phoneticPr fontId="1" type="noConversion"/>
  </si>
  <si>
    <t>土地开发期</t>
    <phoneticPr fontId="161" type="noConversion"/>
  </si>
  <si>
    <t>不动产未来第一年净收益</t>
    <phoneticPr fontId="1" type="noConversion"/>
  </si>
  <si>
    <r>
      <t>建筑物重置价格（P</t>
    </r>
    <r>
      <rPr>
        <vertAlign val="subscript"/>
        <sz val="10"/>
        <color indexed="8"/>
        <rFont val="仿宋_GB2312"/>
        <family val="3"/>
        <charset val="134"/>
      </rPr>
      <t>建</t>
    </r>
    <r>
      <rPr>
        <sz val="10"/>
        <color indexed="8"/>
        <rFont val="仿宋_GB2312"/>
        <family val="3"/>
        <charset val="134"/>
      </rPr>
      <t>）</t>
    </r>
    <phoneticPr fontId="1" type="noConversion"/>
  </si>
  <si>
    <t>折现价格</t>
    <phoneticPr fontId="1" type="noConversion"/>
  </si>
  <si>
    <t>建筑物重置价格</t>
    <phoneticPr fontId="1" type="noConversion"/>
  </si>
  <si>
    <t>建筑物重置价格</t>
    <phoneticPr fontId="1" type="noConversion"/>
  </si>
  <si>
    <t>租约外不动产总价</t>
    <phoneticPr fontId="1" type="noConversion"/>
  </si>
  <si>
    <r>
      <t>P</t>
    </r>
    <r>
      <rPr>
        <b/>
        <vertAlign val="subscript"/>
        <sz val="11"/>
        <color indexed="8"/>
        <rFont val="仿宋_GB2312"/>
        <family val="3"/>
        <charset val="134"/>
      </rPr>
      <t>土</t>
    </r>
    <phoneticPr fontId="12" type="noConversion"/>
  </si>
  <si>
    <r>
      <t>P</t>
    </r>
    <r>
      <rPr>
        <b/>
        <vertAlign val="subscript"/>
        <sz val="11"/>
        <color indexed="8"/>
        <rFont val="仿宋_GB2312"/>
        <family val="3"/>
        <charset val="134"/>
      </rPr>
      <t>建</t>
    </r>
    <phoneticPr fontId="39" type="noConversion"/>
  </si>
  <si>
    <t>投资利润</t>
    <phoneticPr fontId="12" type="noConversion"/>
  </si>
  <si>
    <t>投资利润</t>
    <phoneticPr fontId="12" type="noConversion"/>
  </si>
  <si>
    <t>（10）</t>
    <phoneticPr fontId="13" type="noConversion"/>
  </si>
  <si>
    <t>管理费用</t>
    <phoneticPr fontId="12" type="noConversion"/>
  </si>
  <si>
    <t>购地税费</t>
    <phoneticPr fontId="12" type="noConversion"/>
  </si>
  <si>
    <t>投资利息</t>
    <phoneticPr fontId="12" type="noConversion"/>
  </si>
  <si>
    <r>
      <rPr>
        <b/>
        <sz val="10"/>
        <color indexed="8"/>
        <rFont val="楷体_GB2312"/>
        <charset val="134"/>
      </rPr>
      <t>销售费用</t>
    </r>
    <phoneticPr fontId="12"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</si>
  <si>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2" type="noConversion"/>
  </si>
  <si>
    <t>（1）-（5）项及销售费用产生的利息</t>
    <phoneticPr fontId="1"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</si>
  <si>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2" type="noConversion"/>
  </si>
  <si>
    <t>基准日地价指数</t>
    <phoneticPr fontId="1" type="noConversion"/>
  </si>
  <si>
    <t>所在季度地价指数</t>
    <phoneticPr fontId="1" type="noConversion"/>
  </si>
  <si>
    <t>此处对应不动产收益法中未来第一年总收益</t>
    <phoneticPr fontId="161"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</si>
  <si>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</si>
  <si>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</si>
  <si>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</si>
  <si>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</si>
  <si>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</si>
  <si>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</si>
  <si>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</si>
  <si>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</si>
  <si>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</si>
  <si>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</si>
  <si>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</si>
  <si>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</si>
  <si>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</si>
  <si>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</si>
  <si>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</si>
  <si>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</si>
  <si>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</si>
  <si>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</si>
  <si>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</si>
  <si>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</si>
  <si>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</si>
  <si>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</si>
  <si>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</si>
  <si>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</si>
  <si>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</si>
  <si>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</si>
  <si>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161" type="noConversion"/>
  </si>
  <si>
    <t>楼面单价（元/平方米）</t>
    <phoneticPr fontId="161" type="noConversion"/>
  </si>
  <si>
    <t>项目名称</t>
    <phoneticPr fontId="161" type="noConversion"/>
  </si>
  <si>
    <t>重置成新价</t>
    <phoneticPr fontId="161" type="noConversion"/>
  </si>
  <si>
    <t>其他处置费用</t>
  </si>
  <si>
    <t>律师费</t>
  </si>
  <si>
    <t>诉讼费</t>
  </si>
  <si>
    <r>
      <rPr>
        <sz val="10"/>
        <color indexed="8"/>
        <rFont val="楷体_GB2312"/>
        <charset val="134"/>
      </rPr>
      <t>最低</t>
    </r>
    <r>
      <rPr>
        <sz val="10"/>
        <color indexed="8"/>
        <rFont val="Arial"/>
        <family val="2"/>
      </rPr>
      <t>50</t>
    </r>
    <r>
      <rPr>
        <sz val="10"/>
        <color indexed="8"/>
        <rFont val="楷体_GB2312"/>
        <charset val="134"/>
      </rPr>
      <t>元</t>
    </r>
    <phoneticPr fontId="1" type="noConversion"/>
  </si>
  <si>
    <t>执行费</t>
  </si>
  <si>
    <t>诉讼保全费</t>
  </si>
  <si>
    <r>
      <rPr>
        <sz val="10"/>
        <color indexed="8"/>
        <rFont val="楷体_GB2312"/>
        <charset val="134"/>
      </rPr>
      <t>最高</t>
    </r>
    <r>
      <rPr>
        <sz val="10"/>
        <color indexed="8"/>
        <rFont val="Arial"/>
        <family val="2"/>
      </rPr>
      <t>5000</t>
    </r>
    <r>
      <rPr>
        <sz val="10"/>
        <color indexed="8"/>
        <rFont val="楷体_GB2312"/>
        <charset val="134"/>
      </rPr>
      <t>元</t>
    </r>
    <phoneticPr fontId="1" type="noConversion"/>
  </si>
  <si>
    <t>评估费</t>
  </si>
  <si>
    <t>拍卖费</t>
  </si>
  <si>
    <t>土地抵押价格</t>
    <phoneticPr fontId="6" type="noConversion"/>
  </si>
  <si>
    <r>
      <rPr>
        <sz val="10"/>
        <color indexed="8"/>
        <rFont val="仿宋_GB2312"/>
        <family val="3"/>
        <charset val="134"/>
      </rPr>
      <t>合计</t>
    </r>
    <phoneticPr fontId="6" type="noConversion"/>
  </si>
  <si>
    <r>
      <rPr>
        <sz val="10"/>
        <color indexed="8"/>
        <rFont val="仿宋_GB2312"/>
        <family val="3"/>
        <charset val="134"/>
      </rPr>
      <t>抵押净值</t>
    </r>
    <phoneticPr fontId="6" type="noConversion"/>
  </si>
  <si>
    <r>
      <rPr>
        <sz val="10"/>
        <color indexed="8"/>
        <rFont val="仿宋_GB2312"/>
        <family val="3"/>
        <charset val="134"/>
      </rPr>
      <t>抵押净值单价</t>
    </r>
    <phoneticPr fontId="6" type="noConversion"/>
  </si>
  <si>
    <r>
      <rPr>
        <b/>
        <sz val="10"/>
        <color indexed="8"/>
        <rFont val="仿宋_GB2312"/>
        <family val="3"/>
        <charset val="134"/>
      </rPr>
      <t>处置时需缴纳的相关税费</t>
    </r>
    <phoneticPr fontId="7" type="noConversion"/>
  </si>
  <si>
    <t>土地估价师</t>
  </si>
  <si>
    <t>《国有土地使用证》[]</t>
    <phoneticPr fontId="4" type="noConversion"/>
  </si>
  <si>
    <t>《国有建设用地使用权出让合同》[]及附件、《北京市规划委员会关于同意XX项目的规划设计方案的规划意见复函》[]以及《建设工程规划许可证》[]</t>
    <phoneticPr fontId="4" type="noConversion"/>
  </si>
  <si>
    <t>《国有土地使用证》[]</t>
    <phoneticPr fontId="1" type="noConversion"/>
  </si>
  <si>
    <t>虚线以上为必填</t>
    <phoneticPr fontId="4" type="noConversion"/>
  </si>
  <si>
    <t>北京</t>
    <phoneticPr fontId="1" type="noConversion"/>
  </si>
  <si>
    <t>一级</t>
    <phoneticPr fontId="1" type="noConversion"/>
  </si>
  <si>
    <t>二级</t>
    <phoneticPr fontId="1" type="noConversion"/>
  </si>
  <si>
    <t>三级</t>
    <phoneticPr fontId="1" type="noConversion"/>
  </si>
  <si>
    <t>四级</t>
    <phoneticPr fontId="1" type="noConversion"/>
  </si>
  <si>
    <t>五级</t>
    <phoneticPr fontId="1" type="noConversion"/>
  </si>
  <si>
    <t>六级</t>
    <phoneticPr fontId="1" type="noConversion"/>
  </si>
  <si>
    <t>七级</t>
    <phoneticPr fontId="1" type="noConversion"/>
  </si>
  <si>
    <t>八级</t>
    <phoneticPr fontId="1" type="noConversion"/>
  </si>
  <si>
    <t>九级</t>
    <phoneticPr fontId="1" type="noConversion"/>
  </si>
  <si>
    <t>十级</t>
    <phoneticPr fontId="1" type="noConversion"/>
  </si>
  <si>
    <r>
      <rPr>
        <sz val="11"/>
        <color indexed="53"/>
        <rFont val="仿宋_GB2312"/>
        <family val="3"/>
        <charset val="134"/>
      </rPr>
      <t>估价对象所在区域基础设施水平</t>
    </r>
    <phoneticPr fontId="1" type="noConversion"/>
  </si>
  <si>
    <r>
      <rPr>
        <sz val="11"/>
        <color indexed="53"/>
        <rFont val="仿宋_GB2312"/>
        <family val="3"/>
        <charset val="134"/>
      </rPr>
      <t>估价对象周边居住用地比例、居住小区规模和社区发展完善程度，综合评价居住社区成熟度一般</t>
    </r>
    <phoneticPr fontId="1" type="noConversion"/>
  </si>
  <si>
    <r>
      <rPr>
        <sz val="11"/>
        <color indexed="53"/>
        <rFont val="仿宋_GB2312"/>
        <family val="3"/>
        <charset val="134"/>
      </rPr>
      <t>估价对象位于</t>
    </r>
    <r>
      <rPr>
        <sz val="11"/>
        <color indexed="53"/>
        <rFont val="Arial"/>
        <family val="2"/>
      </rPr>
      <t>XX</t>
    </r>
    <r>
      <rPr>
        <sz val="11"/>
        <color indexed="53"/>
        <rFont val="仿宋_GB2312"/>
        <family val="3"/>
        <charset val="134"/>
      </rPr>
      <t>商圈，周边商业氛围成熟，人流量大，商业繁华度好</t>
    </r>
    <phoneticPr fontId="1" type="noConversion"/>
  </si>
  <si>
    <r>
      <rPr>
        <sz val="11"/>
        <color indexed="53"/>
        <rFont val="仿宋_GB2312"/>
        <family val="3"/>
        <charset val="134"/>
      </rPr>
      <t>估价对象位于</t>
    </r>
    <r>
      <rPr>
        <sz val="11"/>
        <color indexed="53"/>
        <rFont val="Arial"/>
        <family val="2"/>
      </rPr>
      <t>XX</t>
    </r>
    <r>
      <rPr>
        <sz val="11"/>
        <color indexed="53"/>
        <rFont val="仿宋_GB2312"/>
        <family val="3"/>
        <charset val="134"/>
      </rPr>
      <t>商圈，周边办公楼项目较多，入驻率高，办公集聚程度较好</t>
    </r>
    <phoneticPr fontId="1" type="noConversion"/>
  </si>
  <si>
    <r>
      <rPr>
        <sz val="10"/>
        <color indexed="53"/>
        <rFont val="楷体_GB2312"/>
        <charset val="134"/>
      </rPr>
      <t>修正项</t>
    </r>
    <r>
      <rPr>
        <sz val="10"/>
        <color indexed="53"/>
        <rFont val="Arial"/>
        <family val="2"/>
      </rPr>
      <t>7</t>
    </r>
    <phoneticPr fontId="1" type="noConversion"/>
  </si>
  <si>
    <r>
      <rPr>
        <sz val="10"/>
        <color indexed="53"/>
        <rFont val="楷体_GB2312"/>
        <charset val="134"/>
      </rPr>
      <t>修正项</t>
    </r>
    <r>
      <rPr>
        <sz val="10"/>
        <color indexed="53"/>
        <rFont val="Arial"/>
        <family val="2"/>
      </rPr>
      <t>6</t>
    </r>
    <phoneticPr fontId="1" type="noConversion"/>
  </si>
  <si>
    <r>
      <rPr>
        <sz val="10"/>
        <color indexed="53"/>
        <rFont val="楷体_GB2312"/>
        <charset val="134"/>
      </rPr>
      <t>修正项</t>
    </r>
    <r>
      <rPr>
        <sz val="10"/>
        <color indexed="53"/>
        <rFont val="Arial"/>
        <family val="2"/>
      </rPr>
      <t>4</t>
    </r>
    <phoneticPr fontId="1" type="noConversion"/>
  </si>
  <si>
    <r>
      <rPr>
        <sz val="10"/>
        <color indexed="53"/>
        <rFont val="楷体_GB2312"/>
        <charset val="134"/>
      </rPr>
      <t>修正项</t>
    </r>
    <r>
      <rPr>
        <sz val="10"/>
        <color indexed="53"/>
        <rFont val="Arial"/>
        <family val="2"/>
      </rPr>
      <t>3</t>
    </r>
    <phoneticPr fontId="1" type="noConversion"/>
  </si>
  <si>
    <r>
      <rPr>
        <sz val="10"/>
        <color indexed="53"/>
        <rFont val="楷体_GB2312"/>
        <charset val="134"/>
      </rPr>
      <t>修正项</t>
    </r>
    <r>
      <rPr>
        <sz val="10"/>
        <color indexed="53"/>
        <rFont val="Arial"/>
        <family val="2"/>
      </rPr>
      <t>2</t>
    </r>
    <phoneticPr fontId="1" type="noConversion"/>
  </si>
  <si>
    <r>
      <rPr>
        <sz val="11"/>
        <color indexed="53"/>
        <rFont val="仿宋_GB2312"/>
        <family val="3"/>
        <charset val="134"/>
      </rPr>
      <t>估价对象名称</t>
    </r>
    <phoneticPr fontId="1" type="noConversion"/>
  </si>
  <si>
    <r>
      <rPr>
        <sz val="11"/>
        <color indexed="53"/>
        <rFont val="仿宋_GB2312"/>
        <family val="3"/>
        <charset val="134"/>
      </rPr>
      <t>案例</t>
    </r>
    <r>
      <rPr>
        <sz val="11"/>
        <color indexed="53"/>
        <rFont val="Arial"/>
        <family val="2"/>
      </rPr>
      <t>A</t>
    </r>
    <r>
      <rPr>
        <sz val="11"/>
        <color indexed="53"/>
        <rFont val="仿宋_GB2312"/>
        <family val="3"/>
        <charset val="134"/>
      </rPr>
      <t>名称</t>
    </r>
    <phoneticPr fontId="1" type="noConversion"/>
  </si>
  <si>
    <r>
      <rPr>
        <sz val="11"/>
        <color indexed="53"/>
        <rFont val="仿宋_GB2312"/>
        <family val="3"/>
        <charset val="134"/>
      </rPr>
      <t>案例</t>
    </r>
    <r>
      <rPr>
        <sz val="11"/>
        <color indexed="53"/>
        <rFont val="Arial"/>
        <family val="2"/>
      </rPr>
      <t>B</t>
    </r>
    <r>
      <rPr>
        <sz val="11"/>
        <color indexed="53"/>
        <rFont val="仿宋_GB2312"/>
        <family val="3"/>
        <charset val="134"/>
      </rPr>
      <t>名称</t>
    </r>
    <phoneticPr fontId="1" type="noConversion"/>
  </si>
  <si>
    <r>
      <rPr>
        <sz val="11"/>
        <color indexed="53"/>
        <rFont val="仿宋_GB2312"/>
        <family val="3"/>
        <charset val="134"/>
      </rPr>
      <t>案例</t>
    </r>
    <r>
      <rPr>
        <sz val="11"/>
        <color indexed="53"/>
        <rFont val="Arial"/>
        <family val="2"/>
      </rPr>
      <t>C</t>
    </r>
    <r>
      <rPr>
        <sz val="11"/>
        <color indexed="53"/>
        <rFont val="仿宋_GB2312"/>
        <family val="3"/>
        <charset val="134"/>
      </rPr>
      <t>名称</t>
    </r>
    <phoneticPr fontId="1" type="noConversion"/>
  </si>
  <si>
    <r>
      <rPr>
        <sz val="11"/>
        <color indexed="53"/>
        <rFont val="仿宋_GB2312"/>
        <family val="3"/>
        <charset val="134"/>
      </rPr>
      <t>项目位置</t>
    </r>
    <phoneticPr fontId="1" type="noConversion"/>
  </si>
  <si>
    <t>单价内涵</t>
  </si>
  <si>
    <r>
      <rPr>
        <b/>
        <sz val="11"/>
        <rFont val="仿宋_GB2312"/>
        <family val="3"/>
        <charset val="134"/>
      </rPr>
      <t>估价对象</t>
    </r>
    <r>
      <rPr>
        <b/>
        <sz val="11"/>
        <color indexed="53"/>
        <rFont val="Arial"/>
        <family val="2"/>
      </rPr>
      <t>XX</t>
    </r>
    <r>
      <rPr>
        <b/>
        <sz val="11"/>
        <color indexed="5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1" type="noConversion"/>
  </si>
  <si>
    <t>宗地形状不规则，但对宗地利用影响较小</t>
  </si>
  <si>
    <t>宽度XX米，深度XX米,临街宽度及深度比例适宜程度？对土地利用的影响？</t>
    <phoneticPr fontId="1" type="noConversion"/>
  </si>
  <si>
    <t>宽度XX米，深度XX米,临街宽度及深度比例适宜程度？对土地利用的影响？</t>
    <phoneticPr fontId="1" type="noConversion"/>
  </si>
  <si>
    <r>
      <rPr>
        <sz val="10"/>
        <color indexed="53"/>
        <rFont val="楷体_GB2312"/>
        <charset val="134"/>
      </rPr>
      <t>修正项</t>
    </r>
    <r>
      <rPr>
        <sz val="10"/>
        <color indexed="53"/>
        <rFont val="Arial"/>
        <family val="2"/>
      </rPr>
      <t>5</t>
    </r>
    <phoneticPr fontId="1" type="noConversion"/>
  </si>
  <si>
    <r>
      <t>2016</t>
    </r>
    <r>
      <rPr>
        <sz val="10"/>
        <color indexed="10"/>
        <rFont val="宋体"/>
        <family val="3"/>
        <charset val="134"/>
      </rPr>
      <t>年</t>
    </r>
    <r>
      <rPr>
        <sz val="10"/>
        <color indexed="10"/>
        <rFont val="Arial"/>
        <family val="2"/>
      </rPr>
      <t>5</t>
    </r>
    <r>
      <rPr>
        <sz val="10"/>
        <color indexed="10"/>
        <rFont val="宋体"/>
        <family val="3"/>
        <charset val="134"/>
      </rPr>
      <t>月</t>
    </r>
    <r>
      <rPr>
        <sz val="10"/>
        <color indexed="10"/>
        <rFont val="Arial"/>
        <family val="2"/>
      </rPr>
      <t>1</t>
    </r>
    <r>
      <rPr>
        <sz val="10"/>
        <color indexed="10"/>
        <rFont val="宋体"/>
        <family val="3"/>
        <charset val="134"/>
      </rPr>
      <t>日后购买的房地产请按原购房价</t>
    </r>
    <r>
      <rPr>
        <sz val="10"/>
        <color indexed="10"/>
        <rFont val="Arial"/>
        <family val="2"/>
      </rPr>
      <t>/1.05</t>
    </r>
    <r>
      <rPr>
        <sz val="10"/>
        <color indexed="10"/>
        <rFont val="宋体"/>
        <family val="3"/>
        <charset val="134"/>
      </rPr>
      <t>录入</t>
    </r>
    <phoneticPr fontId="1" type="noConversion"/>
  </si>
  <si>
    <t>1.用途</t>
    <phoneticPr fontId="1" type="noConversion"/>
  </si>
  <si>
    <t>残值率</t>
    <phoneticPr fontId="1" type="noConversion"/>
  </si>
  <si>
    <t>总价</t>
  </si>
  <si>
    <t>万元</t>
  </si>
  <si>
    <t>汇总建筑面积</t>
  </si>
  <si>
    <t>估价结果</t>
  </si>
  <si>
    <t>建筑面积</t>
  </si>
  <si>
    <t>基准地价（汇总）</t>
    <phoneticPr fontId="1" type="noConversion"/>
  </si>
  <si>
    <t>本次评估所采用的基准地价系数修正法</t>
    <phoneticPr fontId="161" type="noConversion"/>
  </si>
  <si>
    <t>土地面积</t>
    <phoneticPr fontId="161" type="noConversion"/>
  </si>
  <si>
    <t>单位面积地价</t>
    <phoneticPr fontId="161" type="noConversion"/>
  </si>
  <si>
    <t>汇总土地面积</t>
    <phoneticPr fontId="161" type="noConversion"/>
  </si>
  <si>
    <t>基准地价（汇总）</t>
    <phoneticPr fontId="12" type="noConversion"/>
  </si>
  <si>
    <t>综合</t>
    <phoneticPr fontId="1" type="noConversion"/>
  </si>
  <si>
    <t>商服</t>
    <phoneticPr fontId="1" type="noConversion"/>
  </si>
  <si>
    <t>商服</t>
    <phoneticPr fontId="1" type="noConversion"/>
  </si>
  <si>
    <t>住宅</t>
    <phoneticPr fontId="1" type="noConversion"/>
  </si>
  <si>
    <r>
      <rPr>
        <sz val="11"/>
        <color indexed="8"/>
        <rFont val="楷体_GB2312"/>
        <charset val="134"/>
      </rPr>
      <t>工业</t>
    </r>
    <phoneticPr fontId="1" type="noConversion"/>
  </si>
  <si>
    <t>建筑物资本化率</t>
    <phoneticPr fontId="59" type="noConversion"/>
  </si>
  <si>
    <t>收益还原法</t>
    <phoneticPr fontId="12" type="noConversion"/>
  </si>
  <si>
    <t>收益年期(n)</t>
    <phoneticPr fontId="1" type="noConversion"/>
  </si>
  <si>
    <r>
      <rPr>
        <sz val="10"/>
        <color indexed="10"/>
        <rFont val="宋体"/>
        <family val="3"/>
        <charset val="134"/>
      </rPr>
      <t>★当剩余土地短于建筑物耐用年限时，</t>
    </r>
    <r>
      <rPr>
        <sz val="10"/>
        <color indexed="10"/>
        <rFont val="宋体"/>
        <family val="3"/>
        <charset val="134"/>
      </rPr>
      <t>未建项目的收益期计算公式为：剩余土地年限</t>
    </r>
    <r>
      <rPr>
        <sz val="10"/>
        <color indexed="10"/>
        <rFont val="Arial"/>
        <family val="2"/>
      </rPr>
      <t>-</t>
    </r>
    <r>
      <rPr>
        <sz val="10"/>
        <color indexed="10"/>
        <rFont val="宋体"/>
        <family val="3"/>
        <charset val="134"/>
      </rPr>
      <t>建设期</t>
    </r>
    <phoneticPr fontId="1" type="noConversion"/>
  </si>
  <si>
    <t>2017-4</t>
    <phoneticPr fontId="1" type="noConversion"/>
  </si>
  <si>
    <t>本行不参与计算</t>
    <phoneticPr fontId="161" type="noConversion"/>
  </si>
  <si>
    <r>
      <rPr>
        <sz val="10"/>
        <color indexed="10"/>
        <rFont val="宋体"/>
        <family val="3"/>
        <charset val="134"/>
      </rPr>
      <t>当前季度，自</t>
    </r>
    <r>
      <rPr>
        <sz val="10"/>
        <color indexed="10"/>
        <rFont val="Arial"/>
        <family val="2"/>
      </rPr>
      <t>2018</t>
    </r>
    <r>
      <rPr>
        <sz val="10"/>
        <color indexed="10"/>
        <rFont val="宋体"/>
        <family val="3"/>
        <charset val="134"/>
      </rPr>
      <t>年</t>
    </r>
    <r>
      <rPr>
        <sz val="10"/>
        <color indexed="10"/>
        <rFont val="Arial"/>
        <family val="2"/>
      </rPr>
      <t>1</t>
    </r>
    <r>
      <rPr>
        <sz val="10"/>
        <color indexed="10"/>
        <rFont val="宋体"/>
        <family val="3"/>
        <charset val="134"/>
      </rPr>
      <t>季度起不计预测值</t>
    </r>
    <phoneticPr fontId="161" type="noConversion"/>
  </si>
  <si>
    <t>2017-3</t>
    <phoneticPr fontId="1" type="noConversion"/>
  </si>
  <si>
    <t>前8项之和</t>
    <phoneticPr fontId="13" type="noConversion"/>
  </si>
  <si>
    <t>(1-2-3)/[(1+（(1+利率）^建设期-1）+利润）*（1+契税及印花税率）]</t>
    <phoneticPr fontId="12" type="noConversion"/>
  </si>
  <si>
    <t>押金*一年期存款利率</t>
    <phoneticPr fontId="1" type="noConversion"/>
  </si>
  <si>
    <t>押金*一年期存款利率</t>
    <phoneticPr fontId="1" type="noConversion"/>
  </si>
  <si>
    <t>2018-1</t>
    <phoneticPr fontId="1" type="noConversion"/>
  </si>
  <si>
    <t>楼面地价</t>
    <phoneticPr fontId="161" type="noConversion"/>
  </si>
  <si>
    <t>收益期（按照规范取最低值，住宅取高）</t>
    <phoneticPr fontId="1" type="noConversion"/>
  </si>
  <si>
    <t>2018-3</t>
    <phoneticPr fontId="1" type="noConversion"/>
  </si>
  <si>
    <t>2018-2</t>
    <phoneticPr fontId="1" type="noConversion"/>
  </si>
  <si>
    <t>苏海</t>
    <phoneticPr fontId="1" type="noConversion"/>
  </si>
  <si>
    <t>苏海</t>
    <phoneticPr fontId="1" type="noConversion"/>
  </si>
  <si>
    <r>
      <rPr>
        <sz val="10"/>
        <rFont val="宋体"/>
        <family val="3"/>
        <charset val="134"/>
      </rPr>
      <t>土地还原率</t>
    </r>
    <phoneticPr fontId="1" type="noConversion"/>
  </si>
  <si>
    <r>
      <rPr>
        <sz val="10"/>
        <rFont val="宋体"/>
        <family val="3"/>
        <charset val="134"/>
      </rPr>
      <t>剩余使用年限</t>
    </r>
    <phoneticPr fontId="1" type="noConversion"/>
  </si>
  <si>
    <t>地下车库及仓储年期修正</t>
    <phoneticPr fontId="1" type="noConversion"/>
  </si>
  <si>
    <t>2018-4</t>
    <phoneticPr fontId="1" type="noConversion"/>
  </si>
  <si>
    <t>级别开发程度</t>
    <phoneticPr fontId="1" type="noConversion"/>
  </si>
  <si>
    <t>2019-1</t>
    <phoneticPr fontId="1" type="noConversion"/>
  </si>
  <si>
    <t>2019-2</t>
    <phoneticPr fontId="1" type="noConversion"/>
  </si>
  <si>
    <t>2019-3</t>
    <phoneticPr fontId="1" type="noConversion"/>
  </si>
  <si>
    <t>2019-4</t>
    <phoneticPr fontId="1" type="noConversion"/>
  </si>
  <si>
    <t>2019A-027</t>
    <phoneticPr fontId="1" type="noConversion"/>
  </si>
  <si>
    <t>刘俊财</t>
    <phoneticPr fontId="1" type="noConversion"/>
  </si>
  <si>
    <t>2020-1</t>
    <phoneticPr fontId="1" type="noConversion"/>
  </si>
  <si>
    <t>土地征用及拆迁补偿费</t>
    <phoneticPr fontId="7" type="noConversion"/>
  </si>
  <si>
    <t>2020-2</t>
    <phoneticPr fontId="1" type="noConversion"/>
  </si>
  <si>
    <t>2020-3</t>
    <phoneticPr fontId="1" type="noConversion"/>
  </si>
  <si>
    <t>★此处仍为计算过程，权重结果非最终结果，总价和单价分别为各自权重值，无直接关联★</t>
    <phoneticPr fontId="1" type="noConversion"/>
  </si>
  <si>
    <t>★合计部分请自行录入公式，很重要，与C32结果相关★</t>
    <phoneticPr fontId="1" type="noConversion"/>
  </si>
  <si>
    <t>★此线以下显示的为最终结果★</t>
    <phoneticPr fontId="7" type="noConversion"/>
  </si>
  <si>
    <t>北京普宅标准：</t>
    <phoneticPr fontId="1"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</si>
  <si>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1"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</si>
  <si>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1" type="noConversion"/>
  </si>
  <si>
    <t>北京标准</t>
    <phoneticPr fontId="1" type="noConversion"/>
  </si>
  <si>
    <t>简单平均</t>
  </si>
  <si>
    <t>加权平均</t>
  </si>
  <si>
    <t>延期至2020年底</t>
    <phoneticPr fontId="1" type="noConversion"/>
  </si>
  <si>
    <t>典型户型修正</t>
    <phoneticPr fontId="12" type="noConversion"/>
  </si>
  <si>
    <t>成本逼近法有限年期修正</t>
    <phoneticPr fontId="1" type="noConversion"/>
  </si>
  <si>
    <r>
      <rPr>
        <sz val="10"/>
        <color indexed="10"/>
        <rFont val="楷体_GB2312"/>
        <charset val="134"/>
      </rPr>
      <t>范围：</t>
    </r>
    <r>
      <rPr>
        <sz val="10"/>
        <color indexed="10"/>
        <rFont val="Arial"/>
        <family val="2"/>
      </rPr>
      <t>3%-5%</t>
    </r>
    <phoneticPr fontId="1" type="noConversion"/>
  </si>
  <si>
    <r>
      <rPr>
        <sz val="10"/>
        <color indexed="10"/>
        <rFont val="楷体_GB2312"/>
        <charset val="134"/>
      </rPr>
      <t>范围：</t>
    </r>
    <r>
      <rPr>
        <sz val="10"/>
        <color indexed="10"/>
        <rFont val="Arial"/>
        <family val="2"/>
      </rPr>
      <t>0-10%</t>
    </r>
    <phoneticPr fontId="1" type="noConversion"/>
  </si>
  <si>
    <r>
      <rPr>
        <sz val="10"/>
        <color indexed="10"/>
        <rFont val="楷体_GB2312"/>
        <charset val="134"/>
      </rPr>
      <t>变化</t>
    </r>
    <phoneticPr fontId="1" type="noConversion"/>
  </si>
  <si>
    <r>
      <rPr>
        <sz val="10"/>
        <color indexed="10"/>
        <rFont val="楷体_GB2312"/>
        <charset val="134"/>
      </rPr>
      <t>定值：</t>
    </r>
    <r>
      <rPr>
        <sz val="10"/>
        <color indexed="10"/>
        <rFont val="Arial"/>
        <family val="2"/>
      </rPr>
      <t>1.5%</t>
    </r>
    <phoneticPr fontId="1" type="noConversion"/>
  </si>
  <si>
    <r>
      <rPr>
        <sz val="10"/>
        <color indexed="10"/>
        <rFont val="楷体_GB2312"/>
        <charset val="134"/>
      </rPr>
      <t>范围：</t>
    </r>
    <r>
      <rPr>
        <sz val="10"/>
        <color indexed="10"/>
        <rFont val="Arial"/>
        <family val="2"/>
      </rPr>
      <t>1%-3%</t>
    </r>
    <phoneticPr fontId="1" type="noConversion"/>
  </si>
  <si>
    <r>
      <rPr>
        <sz val="10"/>
        <color indexed="10"/>
        <rFont val="仿宋_GB2312"/>
        <family val="3"/>
        <charset val="134"/>
      </rPr>
      <t>当前利率</t>
    </r>
    <r>
      <rPr>
        <sz val="10"/>
        <color indexed="10"/>
        <rFont val="Arial"/>
        <family val="2"/>
      </rPr>
      <t>,</t>
    </r>
    <r>
      <rPr>
        <sz val="10"/>
        <color indexed="10"/>
        <rFont val="仿宋_GB2312"/>
        <family val="3"/>
        <charset val="134"/>
      </rPr>
      <t>对应项目开发期</t>
    </r>
    <phoneticPr fontId="1" type="noConversion"/>
  </si>
  <si>
    <r>
      <rPr>
        <sz val="11"/>
        <color indexed="10"/>
        <rFont val="楷体_GB2312"/>
        <charset val="134"/>
      </rPr>
      <t>北京：</t>
    </r>
    <r>
      <rPr>
        <sz val="11"/>
        <color indexed="10"/>
        <rFont val="Arial"/>
        <family val="2"/>
      </rPr>
      <t>3%</t>
    </r>
    <phoneticPr fontId="1" type="noConversion"/>
  </si>
  <si>
    <r>
      <rPr>
        <sz val="11"/>
        <color indexed="10"/>
        <rFont val="楷体_GB2312"/>
        <charset val="134"/>
      </rPr>
      <t>北京：</t>
    </r>
    <r>
      <rPr>
        <sz val="11"/>
        <color indexed="10"/>
        <rFont val="Arial"/>
        <family val="2"/>
      </rPr>
      <t>2%</t>
    </r>
    <phoneticPr fontId="1" type="noConversion"/>
  </si>
  <si>
    <r>
      <rPr>
        <sz val="11"/>
        <color indexed="10"/>
        <rFont val="楷体_GB2312"/>
        <charset val="134"/>
      </rPr>
      <t>北京：</t>
    </r>
    <r>
      <rPr>
        <sz val="11"/>
        <color indexed="10"/>
        <rFont val="Arial"/>
        <family val="2"/>
      </rPr>
      <t>0.05%</t>
    </r>
    <phoneticPr fontId="1" type="noConversion"/>
  </si>
  <si>
    <r>
      <rPr>
        <sz val="11"/>
        <color indexed="10"/>
        <rFont val="宋体"/>
        <family val="3"/>
        <charset val="134"/>
      </rPr>
      <t>★非住宅项目及用公共配套计算实为</t>
    </r>
    <r>
      <rPr>
        <sz val="11"/>
        <color indexed="10"/>
        <rFont val="Arial"/>
        <family val="2"/>
      </rPr>
      <t>0</t>
    </r>
    <r>
      <rPr>
        <sz val="11"/>
        <color indexed="10"/>
        <rFont val="宋体"/>
        <family val="3"/>
        <charset val="134"/>
      </rPr>
      <t>★</t>
    </r>
    <phoneticPr fontId="1" type="noConversion"/>
  </si>
  <si>
    <r>
      <rPr>
        <sz val="10"/>
        <color indexed="10"/>
        <rFont val="宋体"/>
        <family val="3"/>
        <charset val="134"/>
      </rPr>
      <t>★看各地政策。市区</t>
    </r>
    <r>
      <rPr>
        <sz val="10"/>
        <color indexed="10"/>
        <rFont val="Arial"/>
        <family val="2"/>
      </rPr>
      <t>7%</t>
    </r>
    <r>
      <rPr>
        <sz val="10"/>
        <color indexed="10"/>
        <rFont val="宋体"/>
        <family val="3"/>
        <charset val="134"/>
      </rPr>
      <t>，县城和镇</t>
    </r>
    <r>
      <rPr>
        <sz val="10"/>
        <color indexed="10"/>
        <rFont val="Arial"/>
        <family val="2"/>
      </rPr>
      <t>5%</t>
    </r>
    <r>
      <rPr>
        <sz val="10"/>
        <color indexed="10"/>
        <rFont val="宋体"/>
        <family val="3"/>
        <charset val="134"/>
      </rPr>
      <t>，乡村</t>
    </r>
    <r>
      <rPr>
        <sz val="10"/>
        <color indexed="10"/>
        <rFont val="Arial"/>
        <family val="2"/>
      </rPr>
      <t>1%</t>
    </r>
    <r>
      <rPr>
        <sz val="10"/>
        <color indexed="10"/>
        <rFont val="宋体"/>
        <family val="3"/>
        <charset val="134"/>
      </rPr>
      <t>。大中型工矿企业所在地不在城市市区、县城、建制镇的，税率为</t>
    </r>
    <r>
      <rPr>
        <sz val="10"/>
        <color indexed="10"/>
        <rFont val="Arial"/>
        <family val="2"/>
      </rPr>
      <t>1%</t>
    </r>
    <r>
      <rPr>
        <sz val="10"/>
        <color indexed="10"/>
        <rFont val="宋体"/>
        <family val="3"/>
        <charset val="134"/>
      </rPr>
      <t>★</t>
    </r>
    <phoneticPr fontId="1" type="noConversion"/>
  </si>
  <si>
    <r>
      <rPr>
        <sz val="11"/>
        <color indexed="10"/>
        <rFont val="宋体"/>
        <family val="3"/>
        <charset val="134"/>
      </rPr>
      <t>★</t>
    </r>
    <r>
      <rPr>
        <sz val="11"/>
        <color indexed="10"/>
        <rFont val="楷体_GB2312"/>
        <charset val="134"/>
      </rPr>
      <t>其他省市请录依据文件名称★：</t>
    </r>
    <phoneticPr fontId="1" type="noConversion"/>
  </si>
  <si>
    <t>★默认为已完成的土地开发期★</t>
    <phoneticPr fontId="1" type="noConversion"/>
  </si>
  <si>
    <t>★外省请录依据文件名称★：</t>
    <phoneticPr fontId="1" type="noConversion"/>
  </si>
  <si>
    <t>★请录依据文件名称★：</t>
    <phoneticPr fontId="1" type="noConversion"/>
  </si>
  <si>
    <t>★取得土地使用权所支付的金额，是指纳税人为取得土地使用权所支付的地价款和按国家统一规定交纳的有关费用★</t>
    <phoneticPr fontId="1" type="noConversion"/>
  </si>
  <si>
    <t>★土地征用及拆迁补偿费，包括土地征用费、耕地占用税、劳动力安置费及有关地上、地下附着物拆迁补偿的净支出、安置动迁用房支出等★</t>
    <phoneticPr fontId="1" type="noConversion"/>
  </si>
  <si>
    <r>
      <rPr>
        <sz val="11"/>
        <color indexed="10"/>
        <rFont val="宋体"/>
        <family val="3"/>
        <charset val="134"/>
      </rPr>
      <t>★根据项目情况选择计算系数，待开发土地建议取值</t>
    </r>
    <r>
      <rPr>
        <sz val="11"/>
        <color indexed="10"/>
        <rFont val="Arial"/>
        <family val="2"/>
      </rPr>
      <t>0</t>
    </r>
    <r>
      <rPr>
        <sz val="11"/>
        <color indexed="10"/>
        <rFont val="宋体"/>
        <family val="3"/>
        <charset val="134"/>
      </rPr>
      <t>，在建及已建项目取</t>
    </r>
    <r>
      <rPr>
        <sz val="11"/>
        <color indexed="10"/>
        <rFont val="Arial"/>
        <family val="2"/>
      </rPr>
      <t>10%</t>
    </r>
    <r>
      <rPr>
        <sz val="11"/>
        <color indexed="10"/>
        <rFont val="宋体"/>
        <family val="3"/>
        <charset val="134"/>
      </rPr>
      <t>★</t>
    </r>
    <phoneticPr fontId="1" type="noConversion"/>
  </si>
  <si>
    <r>
      <rPr>
        <b/>
        <sz val="10"/>
        <color indexed="10"/>
        <rFont val="宋体"/>
        <family val="3"/>
        <charset val="134"/>
      </rPr>
      <t>★</t>
    </r>
    <r>
      <rPr>
        <b/>
        <sz val="10"/>
        <color indexed="10"/>
        <rFont val="仿宋_GB2312"/>
        <family val="3"/>
        <charset val="134"/>
      </rPr>
      <t>地下商业不考虑路线价修正★</t>
    </r>
    <phoneticPr fontId="1" type="noConversion"/>
  </si>
  <si>
    <r>
      <rPr>
        <b/>
        <sz val="10"/>
        <color indexed="10"/>
        <rFont val="宋体"/>
        <family val="3"/>
        <charset val="134"/>
      </rPr>
      <t>★北京：个人房产计综合税率：个人住宅月租</t>
    </r>
    <r>
      <rPr>
        <b/>
        <sz val="10"/>
        <color indexed="10"/>
        <rFont val="Arial"/>
        <family val="2"/>
      </rPr>
      <t>10</t>
    </r>
    <r>
      <rPr>
        <b/>
        <sz val="10"/>
        <color indexed="10"/>
        <rFont val="宋体"/>
        <family val="3"/>
        <charset val="134"/>
      </rPr>
      <t>万以上为</t>
    </r>
    <r>
      <rPr>
        <b/>
        <sz val="10"/>
        <color indexed="10"/>
        <rFont val="Arial"/>
        <family val="2"/>
      </rPr>
      <t>4%</t>
    </r>
    <r>
      <rPr>
        <b/>
        <sz val="10"/>
        <color indexed="10"/>
        <rFont val="宋体"/>
        <family val="3"/>
        <charset val="134"/>
      </rPr>
      <t>，以内为</t>
    </r>
    <r>
      <rPr>
        <b/>
        <sz val="10"/>
        <color indexed="10"/>
        <rFont val="Arial"/>
        <family val="2"/>
      </rPr>
      <t>2.5%</t>
    </r>
    <r>
      <rPr>
        <b/>
        <sz val="10"/>
        <color indexed="10"/>
        <rFont val="宋体"/>
        <family val="3"/>
        <charset val="134"/>
      </rPr>
      <t>；个人其他月租</t>
    </r>
    <r>
      <rPr>
        <b/>
        <sz val="10"/>
        <color indexed="10"/>
        <rFont val="Arial"/>
        <family val="2"/>
      </rPr>
      <t>10</t>
    </r>
    <r>
      <rPr>
        <b/>
        <sz val="10"/>
        <color indexed="10"/>
        <rFont val="宋体"/>
        <family val="3"/>
        <charset val="134"/>
      </rPr>
      <t>万以上为</t>
    </r>
    <r>
      <rPr>
        <b/>
        <sz val="10"/>
        <color indexed="10"/>
        <rFont val="Arial"/>
        <family val="2"/>
      </rPr>
      <t>12%</t>
    </r>
    <r>
      <rPr>
        <b/>
        <sz val="10"/>
        <color indexed="10"/>
        <rFont val="宋体"/>
        <family val="3"/>
        <charset val="134"/>
      </rPr>
      <t>，以下为</t>
    </r>
    <r>
      <rPr>
        <b/>
        <sz val="10"/>
        <color indexed="10"/>
        <rFont val="Arial"/>
        <family val="2"/>
      </rPr>
      <t>7%</t>
    </r>
    <r>
      <rPr>
        <b/>
        <sz val="10"/>
        <color indexed="10"/>
        <rFont val="宋体"/>
        <family val="3"/>
        <charset val="134"/>
      </rPr>
      <t>★</t>
    </r>
    <phoneticPr fontId="1" type="noConversion"/>
  </si>
  <si>
    <r>
      <rPr>
        <b/>
        <sz val="10"/>
        <color indexed="10"/>
        <rFont val="宋体"/>
        <family val="3"/>
        <charset val="134"/>
      </rPr>
      <t>★北京：个人房产计综合税率：个人住宅月租</t>
    </r>
    <r>
      <rPr>
        <b/>
        <sz val="10"/>
        <color indexed="10"/>
        <rFont val="Arial"/>
        <family val="2"/>
      </rPr>
      <t>10</t>
    </r>
    <r>
      <rPr>
        <b/>
        <sz val="10"/>
        <color indexed="10"/>
        <rFont val="宋体"/>
        <family val="3"/>
        <charset val="134"/>
      </rPr>
      <t>万以上为</t>
    </r>
    <r>
      <rPr>
        <b/>
        <sz val="10"/>
        <color indexed="10"/>
        <rFont val="Arial"/>
        <family val="2"/>
      </rPr>
      <t>4%</t>
    </r>
    <r>
      <rPr>
        <b/>
        <sz val="10"/>
        <color indexed="10"/>
        <rFont val="宋体"/>
        <family val="3"/>
        <charset val="134"/>
      </rPr>
      <t>，以内为</t>
    </r>
    <r>
      <rPr>
        <b/>
        <sz val="10"/>
        <color indexed="10"/>
        <rFont val="Arial"/>
        <family val="2"/>
      </rPr>
      <t>2.5%</t>
    </r>
    <r>
      <rPr>
        <b/>
        <sz val="10"/>
        <color indexed="10"/>
        <rFont val="宋体"/>
        <family val="3"/>
        <charset val="134"/>
      </rPr>
      <t>；个人其他月租</t>
    </r>
    <r>
      <rPr>
        <b/>
        <sz val="10"/>
        <color indexed="10"/>
        <rFont val="Arial"/>
        <family val="2"/>
      </rPr>
      <t>10</t>
    </r>
    <r>
      <rPr>
        <b/>
        <sz val="10"/>
        <color indexed="10"/>
        <rFont val="宋体"/>
        <family val="3"/>
        <charset val="134"/>
      </rPr>
      <t>万以上为</t>
    </r>
    <r>
      <rPr>
        <b/>
        <sz val="10"/>
        <color indexed="10"/>
        <rFont val="Arial"/>
        <family val="2"/>
      </rPr>
      <t>12%</t>
    </r>
    <r>
      <rPr>
        <b/>
        <sz val="10"/>
        <color indexed="10"/>
        <rFont val="宋体"/>
        <family val="3"/>
        <charset val="134"/>
      </rPr>
      <t>，以下为</t>
    </r>
    <r>
      <rPr>
        <b/>
        <sz val="10"/>
        <color indexed="10"/>
        <rFont val="Arial"/>
        <family val="2"/>
      </rPr>
      <t>7%</t>
    </r>
    <r>
      <rPr>
        <b/>
        <sz val="10"/>
        <color indexed="10"/>
        <rFont val="宋体"/>
        <family val="3"/>
        <charset val="134"/>
      </rPr>
      <t>★</t>
    </r>
    <phoneticPr fontId="1" type="noConversion"/>
  </si>
  <si>
    <t>备注</t>
    <phoneticPr fontId="13"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</si>
  <si>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</si>
  <si>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6" type="noConversion"/>
  </si>
  <si>
    <t>京顺国用（2000）字第0176号</t>
    <phoneticPr fontId="1" type="noConversion"/>
  </si>
  <si>
    <t>京房权证顺国字第00328号</t>
    <phoneticPr fontId="1" type="noConversion"/>
  </si>
  <si>
    <t>地上</t>
  </si>
  <si>
    <t>标准厂房</t>
  </si>
  <si>
    <t>划拨</t>
  </si>
  <si>
    <t>核定资产</t>
  </si>
  <si>
    <t>市场价格</t>
  </si>
  <si>
    <t>企业</t>
  </si>
  <si>
    <t>已注销</t>
  </si>
  <si>
    <t>Ⅷ-顺1</t>
  </si>
  <si>
    <t>工业</t>
    <phoneticPr fontId="5" type="noConversion"/>
  </si>
  <si>
    <t>容积率修正</t>
  </si>
  <si>
    <t>自定义容积率</t>
  </si>
  <si>
    <t>成新度</t>
  </si>
  <si>
    <t>不动产收益法</t>
  </si>
  <si>
    <t>押一</t>
  </si>
  <si>
    <t>按租金收入计税</t>
  </si>
  <si>
    <t>砖混</t>
  </si>
  <si>
    <t>工业用地</t>
  </si>
  <si>
    <t>与级别开发程度一致</t>
  </si>
  <si>
    <t>一般</t>
  </si>
  <si>
    <t>较好</t>
  </si>
  <si>
    <t>按公示增长率计算</t>
  </si>
  <si>
    <t>基准地价</t>
    <phoneticPr fontId="280" type="noConversion"/>
  </si>
  <si>
    <t>剩余法</t>
    <phoneticPr fontId="280" type="noConversion"/>
  </si>
  <si>
    <t>权重</t>
    <phoneticPr fontId="280" type="noConversion"/>
  </si>
  <si>
    <t>单价</t>
    <phoneticPr fontId="280" type="noConversion"/>
  </si>
  <si>
    <t>亩</t>
    <phoneticPr fontId="280" type="noConversion"/>
  </si>
  <si>
    <t>成本逼近</t>
    <phoneticPr fontId="280" type="noConversion"/>
  </si>
  <si>
    <t>土地开发补偿费</t>
  </si>
  <si>
    <t>昌平、大兴、房山、顺义、怀柔近三年土地一级开发项目</t>
    <phoneticPr fontId="1" type="noConversion"/>
  </si>
  <si>
    <t>1公顷=15亩</t>
    <phoneticPr fontId="280" type="noConversion"/>
  </si>
  <si>
    <t>年度</t>
    <phoneticPr fontId="1" type="noConversion"/>
  </si>
  <si>
    <t>会期</t>
    <phoneticPr fontId="283" type="noConversion"/>
  </si>
  <si>
    <t>月份</t>
    <phoneticPr fontId="1" type="noConversion"/>
  </si>
  <si>
    <t>区县</t>
    <phoneticPr fontId="1" type="noConversion"/>
  </si>
  <si>
    <t>供地方式</t>
    <phoneticPr fontId="1" type="noConversion"/>
  </si>
  <si>
    <t>项目名称</t>
  </si>
  <si>
    <t>开发主体</t>
  </si>
  <si>
    <t>项目类型</t>
  </si>
  <si>
    <t>规划用途</t>
  </si>
  <si>
    <t>市政条件</t>
  </si>
  <si>
    <t>项目用地面积
（公顷）</t>
    <phoneticPr fontId="1" type="noConversion"/>
  </si>
  <si>
    <t>土地取得费（万元）</t>
    <phoneticPr fontId="1" type="noConversion"/>
  </si>
  <si>
    <t>征地补偿费及税费</t>
    <phoneticPr fontId="1" type="noConversion"/>
  </si>
  <si>
    <t>拆迁补偿及税费</t>
    <phoneticPr fontId="1" type="noConversion"/>
  </si>
  <si>
    <t>单价(万元/亩）</t>
    <phoneticPr fontId="280" type="noConversion"/>
  </si>
  <si>
    <t>单价（元/平方米）</t>
    <phoneticPr fontId="280" type="noConversion"/>
  </si>
  <si>
    <t>第五期</t>
    <phoneticPr fontId="1" type="noConversion"/>
  </si>
  <si>
    <t>8月</t>
    <phoneticPr fontId="1" type="noConversion"/>
  </si>
  <si>
    <t>房山</t>
    <phoneticPr fontId="1" type="noConversion"/>
  </si>
  <si>
    <t>公开出让</t>
    <phoneticPr fontId="1" type="noConversion"/>
  </si>
  <si>
    <t>房山区韩村河镇02-0066等地块（花园小区四期）土地一级开发项目</t>
    <phoneticPr fontId="1" type="noConversion"/>
  </si>
  <si>
    <t>房山区分中心</t>
    <phoneticPr fontId="1" type="noConversion"/>
  </si>
  <si>
    <t>一级开发</t>
    <phoneticPr fontId="1" type="noConversion"/>
  </si>
  <si>
    <t>居住</t>
    <phoneticPr fontId="1"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</si>
  <si>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1" type="noConversion"/>
  </si>
  <si>
    <t>房山区云居寺文化景区一期（南、北侧）地块</t>
    <phoneticPr fontId="1" type="noConversion"/>
  </si>
  <si>
    <t>商业、文化设施用地</t>
    <phoneticPr fontId="1" type="noConversion"/>
  </si>
  <si>
    <t>公开出让</t>
  </si>
  <si>
    <t>高教园区10号地（南侧）土地一级开发项目17-02-09、10、12地块</t>
    <phoneticPr fontId="1"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</si>
  <si>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</si>
  <si>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</si>
  <si>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1" type="noConversion"/>
  </si>
  <si>
    <t>第七期</t>
    <phoneticPr fontId="1" type="noConversion"/>
  </si>
  <si>
    <t>9月</t>
    <phoneticPr fontId="1" type="noConversion"/>
  </si>
  <si>
    <t>房山区良乡镇中心区改造项目1号地部分地块及3号地土地一级开发项目</t>
    <phoneticPr fontId="1" type="noConversion"/>
  </si>
  <si>
    <t>北京市土地整理储备中心房山区分中心</t>
    <phoneticPr fontId="1"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</si>
  <si>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</si>
  <si>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</si>
  <si>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1" type="noConversion"/>
  </si>
  <si>
    <t>第一期</t>
  </si>
  <si>
    <t>3月</t>
    <phoneticPr fontId="1" type="noConversion"/>
  </si>
  <si>
    <t>房山区青龙湖镇东部局部地块（FS16-0201-0004等地块）
土地一级开发项目</t>
    <phoneticPr fontId="1"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</si>
  <si>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</si>
  <si>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1" type="noConversion"/>
  </si>
  <si>
    <t>房山区周口店镇中心区二街区02-0001、02-0002等地块土地一级开发项目</t>
    <phoneticPr fontId="1"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</si>
  <si>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1" type="noConversion"/>
  </si>
  <si>
    <t>顺义</t>
    <phoneticPr fontId="1" type="noConversion"/>
  </si>
  <si>
    <t>顺义区高丽营镇于庄土地一级开发项目03-21、03-31地块</t>
    <phoneticPr fontId="1" type="noConversion"/>
  </si>
  <si>
    <t>北京东方华美房地产开发有限公司</t>
    <phoneticPr fontId="1" type="noConversion"/>
  </si>
  <si>
    <t>住宅用地</t>
    <phoneticPr fontId="1"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</si>
  <si>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1" type="noConversion"/>
  </si>
  <si>
    <t xml:space="preserve">顺义区后沙峪镇马头庄村土地一级开发项目A地块中SY00-0019-6001等地块 </t>
    <phoneticPr fontId="1" type="noConversion"/>
  </si>
  <si>
    <t xml:space="preserve">北京市土地整理储备中心顺义区分中心
</t>
    <phoneticPr fontId="1" type="noConversion"/>
  </si>
  <si>
    <t>居住、商业金融、多功能</t>
    <phoneticPr fontId="1"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</si>
  <si>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1" type="noConversion"/>
  </si>
  <si>
    <t>怀柔</t>
  </si>
  <si>
    <t>怀柔区怀柔镇04街区HR00-0004-6001、6002、6003、6004地块F2用地及0050地块供燃气用地</t>
    <phoneticPr fontId="1" type="noConversion"/>
  </si>
  <si>
    <t>北京市土地整理储备中心怀柔区分中心</t>
    <phoneticPr fontId="1"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</si>
  <si>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</si>
  <si>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1" type="noConversion"/>
  </si>
  <si>
    <t>第三期</t>
    <phoneticPr fontId="1" type="noConversion"/>
  </si>
  <si>
    <t>5月</t>
    <phoneticPr fontId="1" type="noConversion"/>
  </si>
  <si>
    <t>昌平</t>
    <phoneticPr fontId="1" type="noConversion"/>
  </si>
  <si>
    <t>昌平区北七家镇东三旗村土地一级开发项目003、004、006、007、009、010、011、012、013及CP07-0204-0001地块</t>
    <phoneticPr fontId="1" type="noConversion"/>
  </si>
  <si>
    <t>北京未来科技城发展集团有限公司</t>
    <phoneticPr fontId="1" type="noConversion"/>
  </si>
  <si>
    <t>C2商业金融用地、R5居住区配套教育用地、C9其他公共设施用地、R2二类居住用地、C5医疗卫生用地、A61机构养老服务设施用地</t>
    <phoneticPr fontId="1"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</si>
  <si>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1" type="noConversion"/>
  </si>
  <si>
    <t>第四期</t>
  </si>
  <si>
    <t>6月</t>
    <phoneticPr fontId="1" type="noConversion"/>
  </si>
  <si>
    <t>顺义区国际鲜花港土地一级开发项目A-01地块</t>
    <phoneticPr fontId="1" type="noConversion"/>
  </si>
  <si>
    <t>北京顺义新城发展有限公司</t>
    <phoneticPr fontId="1" type="noConversion"/>
  </si>
  <si>
    <t>F3其他多功能用地</t>
    <phoneticPr fontId="1"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</si>
  <si>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1" type="noConversion"/>
  </si>
  <si>
    <t>第六期</t>
  </si>
  <si>
    <t>7月</t>
    <phoneticPr fontId="1" type="noConversion"/>
  </si>
  <si>
    <t>大兴</t>
    <phoneticPr fontId="1" type="noConversion"/>
  </si>
  <si>
    <t>大兴开发区北区1号地A、B组团土地一级开发项目DX00-0301-0029、0030、0039、0040、0146地块</t>
    <phoneticPr fontId="1"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</si>
  <si>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</si>
  <si>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</si>
  <si>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1" type="noConversion"/>
  </si>
  <si>
    <t>大兴区地铁亦庄线旧宫东站项目JG01-24等地块</t>
    <phoneticPr fontId="1" type="noConversion"/>
  </si>
  <si>
    <t>北京市土地整理储备中心、北京市土地整理储备中心大兴区分中心</t>
    <phoneticPr fontId="1" type="noConversion"/>
  </si>
  <si>
    <t xml:space="preserve">公建混合住宅用地、商业金融用地
</t>
    <phoneticPr fontId="1"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</si>
  <si>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1" type="noConversion"/>
  </si>
  <si>
    <t>第9期</t>
  </si>
  <si>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</si>
  <si>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</si>
  <si>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</si>
  <si>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</si>
  <si>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</si>
  <si>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</si>
  <si>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</si>
  <si>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</si>
  <si>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</si>
  <si>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</si>
  <si>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1" type="noConversion"/>
  </si>
  <si>
    <t>北京龙湖置业有限公司</t>
    <phoneticPr fontId="1" type="noConversion"/>
  </si>
  <si>
    <t>住宅、商业金融、多功能</t>
    <phoneticPr fontId="1" type="noConversion"/>
  </si>
  <si>
    <t xml:space="preserve">
市政建设程度为临时三通（通施工临时用水、通施工临时用电、通可供施工车辆通行的道路）和场地自然平整，以上工作由北京龙湖置业有限公司负责于项目入市前完成。</t>
    <phoneticPr fontId="1" type="noConversion"/>
  </si>
  <si>
    <t>大兴</t>
  </si>
  <si>
    <t>2016年世界月季洲际大会周边配套（国家新媒体产业基地A-G组团）土地一级开发项目AA-43、AA-21、AA-24等地块</t>
    <phoneticPr fontId="1" type="noConversion"/>
  </si>
  <si>
    <t>居住、托幼用地、中小学合校、公共停车场用地、机构养老设施用地、医院用地、托幼用地</t>
    <phoneticPr fontId="1" type="noConversion"/>
  </si>
  <si>
    <t>市政建设程度为项目红线范围内城市支路的五通(通路 、通上水（给水、中水）、通下水（雨水、污水）、通 电（管沟）、通燃气)和场地自然平整，以上工作有由魏善庄镇人民政府负责于二级竣工验收前完成。</t>
    <phoneticPr fontId="1" type="noConversion"/>
  </si>
  <si>
    <t>第4期</t>
    <phoneticPr fontId="283" type="noConversion"/>
  </si>
  <si>
    <t>北京未来科技学发展集团有限公司</t>
    <phoneticPr fontId="1" type="noConversion"/>
  </si>
  <si>
    <t xml:space="preserve">C6教育科研用地、C2商业金融用地、F1住宅混合公建用地、F2公建混合住宅用地、F3多功能用地、R2二类居住用地等
</t>
    <phoneticPr fontId="1" type="noConversion"/>
  </si>
  <si>
    <t xml:space="preserve">    市政建设程度为项目红线范围内城市支路的三通（通路、通上水（自来水、中水）、通下水（雨水、污水））和场地自然平整。以上工作已由北京未来科技城发展集团有限公司实施完成。</t>
    <phoneticPr fontId="1" type="noConversion"/>
  </si>
  <si>
    <t>第5期</t>
    <phoneticPr fontId="283"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</si>
  <si>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</si>
  <si>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</si>
  <si>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</si>
  <si>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</si>
  <si>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</si>
  <si>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</si>
  <si>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</si>
  <si>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</si>
  <si>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</si>
  <si>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</si>
  <si>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</si>
  <si>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</si>
  <si>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</si>
  <si>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92" type="noConversion"/>
  </si>
  <si>
    <t>第8期</t>
    <phoneticPr fontId="283" type="noConversion"/>
  </si>
  <si>
    <t>10月</t>
    <phoneticPr fontId="280" type="noConversion"/>
  </si>
  <si>
    <t>社会停车场、商业金融、托幼用地、居住用地</t>
    <phoneticPr fontId="1"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</si>
  <si>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</si>
  <si>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83" type="noConversion"/>
  </si>
  <si>
    <t>北京市土地整理储备中心、北京市土地整理储备中心大兴区分中心</t>
  </si>
  <si>
    <t>居住用地、综合性商业金融服务业用地、配套教育用地、邮政设施用地</t>
    <phoneticPr fontId="1"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</si>
  <si>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</si>
  <si>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83" type="noConversion"/>
  </si>
  <si>
    <t>12月</t>
    <phoneticPr fontId="1" type="noConversion"/>
  </si>
  <si>
    <t>怀柔区雁栖镇陈各庄村土地一级开发项目</t>
  </si>
  <si>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</si>
  <si>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</si>
  <si>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</si>
  <si>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</si>
  <si>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</si>
  <si>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</si>
  <si>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</si>
  <si>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</si>
  <si>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</si>
  <si>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</si>
  <si>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</si>
  <si>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</si>
  <si>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</si>
  <si>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</si>
  <si>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</si>
  <si>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</si>
  <si>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</si>
  <si>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</si>
  <si>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成本逼近法</t>
  </si>
  <si>
    <t>基准地价</t>
  </si>
  <si>
    <t>顺义区赵全营板桥SY04-0100-6006-2地块 M4工业研发用地</t>
  </si>
  <si>
    <t>M4工业研发</t>
  </si>
  <si>
    <t>顺义区SY02-0200-6001、6002地块M4工业研发项目</t>
  </si>
  <si>
    <t>顺义区赵全营镇SY04-0100-6006-4地块M4工业研发项目</t>
  </si>
  <si>
    <t>顺义区赵全营镇SY04-0100-6006-3地块M4工业研发项目</t>
  </si>
  <si>
    <t>M4均价</t>
  </si>
  <si>
    <t>(平方米)</t>
  </si>
  <si>
    <t>建设用地面积</t>
  </si>
  <si>
    <t>成交日期</t>
  </si>
  <si>
    <t>成交价</t>
  </si>
  <si>
    <t>（万元）</t>
  </si>
  <si>
    <t>其中土地开发补偿费（万元）</t>
  </si>
  <si>
    <t>其中政府土地出让收益（万元）</t>
  </si>
  <si>
    <r>
      <t>20</t>
    </r>
    <r>
      <rPr>
        <b/>
        <sz val="8"/>
        <color rgb="FFFFFFFF"/>
        <rFont val="仿宋"/>
        <family val="3"/>
        <charset val="134"/>
      </rPr>
      <t>年期楼面单价</t>
    </r>
  </si>
  <si>
    <r>
      <t>20</t>
    </r>
    <r>
      <rPr>
        <b/>
        <sz val="8"/>
        <color rgb="FFFFFFFF"/>
        <rFont val="仿宋"/>
        <family val="3"/>
        <charset val="134"/>
      </rPr>
      <t>年期地面单价</t>
    </r>
  </si>
  <si>
    <r>
      <t>50</t>
    </r>
    <r>
      <rPr>
        <b/>
        <sz val="8"/>
        <color rgb="FFFF0000"/>
        <rFont val="仿宋"/>
        <family val="3"/>
        <charset val="134"/>
      </rPr>
      <t>年期楼面单价</t>
    </r>
  </si>
  <si>
    <r>
      <t>50</t>
    </r>
    <r>
      <rPr>
        <b/>
        <sz val="8"/>
        <color rgb="FFFF0000"/>
        <rFont val="仿宋"/>
        <family val="3"/>
        <charset val="134"/>
      </rPr>
      <t>年期地面单价</t>
    </r>
  </si>
  <si>
    <t>土地增值率（%）</t>
  </si>
  <si>
    <t>建筑面积(平方米)</t>
  </si>
  <si>
    <t>建设用地面积(平方米)</t>
  </si>
  <si>
    <t>楼面单价</t>
  </si>
  <si>
    <t>地面单价</t>
  </si>
  <si>
    <t>北京中关村顺义园（科创产业功能区临空国际板块）4-2-1地块工业用地国有建设用地</t>
  </si>
  <si>
    <t>M1工业</t>
  </si>
  <si>
    <t>进行中</t>
  </si>
  <si>
    <t>底价6066.33</t>
  </si>
  <si>
    <t>评估结果一览表</t>
    <phoneticPr fontId="280" type="noConversion"/>
  </si>
  <si>
    <t>序号</t>
    <phoneticPr fontId="280" type="noConversion"/>
  </si>
  <si>
    <t>项目名称</t>
    <phoneticPr fontId="280" type="noConversion"/>
  </si>
  <si>
    <t>价格（万元）</t>
    <phoneticPr fontId="280" type="noConversion"/>
  </si>
  <si>
    <t>土地使用权(划拨）</t>
    <phoneticPr fontId="280" type="noConversion"/>
  </si>
  <si>
    <t>建筑物</t>
    <phoneticPr fontId="280" type="noConversion"/>
  </si>
  <si>
    <t>附属物</t>
    <phoneticPr fontId="280" type="noConversion"/>
  </si>
  <si>
    <t>停产停业补助费</t>
  </si>
  <si>
    <t>搬迁补助费</t>
  </si>
  <si>
    <t>合计</t>
    <phoneticPr fontId="280" type="noConversion"/>
  </si>
  <si>
    <t>补偿费用参照《关于国有土地上房屋征收与补偿中有关事项的通
知》[京建法（2012）19号]确定。非住宅按50元/建筑平方米搬迁、临时安置补偿费确定，需要搬迁重新安装的空调、电话移机费。</t>
    <phoneticPr fontId="280" type="noConversion"/>
  </si>
  <si>
    <t>因土地收购造成的停产停业损失补偿费用</t>
    <phoneticPr fontId="280" type="noConversion"/>
  </si>
  <si>
    <t>停产停业损失补偿费=（用于生产经营的非住宅房屋的月租金+月净利润×修正系数+员工月生活补助）×停产停业补偿期限，参照《北京市国有土地上房屋征收停产停业损失补偿暂行办法》[京建法（2011）18号 ]确定。</t>
    <phoneticPr fontId="280" type="noConversion"/>
  </si>
  <si>
    <t>无法恢复使用的设施设备补偿价</t>
    <phoneticPr fontId="280" type="noConversion"/>
  </si>
  <si>
    <t>扣除增值收益率单价</t>
    <phoneticPr fontId="280" type="noConversion"/>
  </si>
  <si>
    <t>估价对象现状周边以产业用地为主，邻近周边有乐铁设备(北京)有限公司、综合信兴物流(南法信卫生院东北)、安博北京首都机场第二物流中心等，物流企业较多，产业集聚程度较好。</t>
    <phoneticPr fontId="1" type="noConversion"/>
  </si>
  <si>
    <t>区域自然环境：小众和；人文环境：国家新闻出版广电总局研修学院；综合评价环境状况一般</t>
    <phoneticPr fontId="1" type="noConversion"/>
  </si>
  <si>
    <t>昌平区未来科技城南区土地一级开发项目CP07-0600-0052等地块</t>
    <phoneticPr fontId="1" type="noConversion"/>
  </si>
  <si>
    <t xml:space="preserve">顺义区后沙峪镇后沙峪村土地一级开发项目A地块19-75地块 </t>
    <phoneticPr fontId="280" type="noConversion"/>
  </si>
  <si>
    <t>大兴区孙村组团居住区土地一级开发项目DX00-0009-0003、6006、6009、6010地块</t>
    <phoneticPr fontId="280" type="noConversion"/>
  </si>
  <si>
    <t>大兴区三海子郊野公园居住用地土地储备项目YZ00-0801-0015、16、17、18、19、24、25、26地块、DX05-0102-6101、6102地块</t>
    <phoneticPr fontId="280" type="noConversion"/>
  </si>
  <si>
    <t>顺义区后沙峪镇后沙峪村土地一级开发项目A地块19-75地块</t>
    <phoneticPr fontId="280" type="noConversion"/>
  </si>
  <si>
    <t>估价对象周边有顺2路、顺27路、顺28路、顺38路、顺43路、顺59路、顺60路等多条公交线路，距地铁15号线（南法信站）约500米，综合评价交通便捷度较好</t>
    <phoneticPr fontId="1" type="noConversion"/>
  </si>
  <si>
    <t>估价对象所在区域公共配套设施齐备情况一般</t>
    <phoneticPr fontId="1" type="noConversion"/>
  </si>
  <si>
    <t>估价对象所在区域内基础设施配套条件达到“五通”（包括通路、通电、通讯、通上水、通下水），基本能够保证工作、生产需要，基础设施配套完善度一般。</t>
    <phoneticPr fontId="1" type="noConversion"/>
  </si>
  <si>
    <t>区域自然环境：小众河；人文环境：国家新闻出版广电总局研修学院；综合评价环境状况一般</t>
    <phoneticPr fontId="1" type="noConversion"/>
  </si>
  <si>
    <t>估价对象所在宗地为独立用地，宗地形状比较规则，可利用程度较好。</t>
    <phoneticPr fontId="1" type="noConversion"/>
  </si>
  <si>
    <t>城市次干道——顺余路</t>
    <phoneticPr fontId="19" type="noConversion"/>
  </si>
  <si>
    <t>周边以产业用地为主，兼有市政设施及居住、商服配套用地。</t>
    <phoneticPr fontId="19" type="noConversion"/>
  </si>
  <si>
    <t>双面临街</t>
  </si>
  <si>
    <r>
      <rPr>
        <sz val="10"/>
        <rFont val="仿宋_GB2312"/>
        <family val="3"/>
        <charset val="134"/>
      </rPr>
      <t>序号</t>
    </r>
    <phoneticPr fontId="1" type="noConversion"/>
  </si>
  <si>
    <r>
      <rPr>
        <sz val="10"/>
        <rFont val="仿宋_GB2312"/>
        <family val="3"/>
        <charset val="134"/>
      </rPr>
      <t>项目</t>
    </r>
    <phoneticPr fontId="1" type="noConversion"/>
  </si>
  <si>
    <r>
      <rPr>
        <sz val="10"/>
        <rFont val="仿宋_GB2312"/>
        <family val="3"/>
        <charset val="134"/>
      </rPr>
      <t>数额</t>
    </r>
    <phoneticPr fontId="1" type="noConversion"/>
  </si>
  <si>
    <r>
      <rPr>
        <sz val="10"/>
        <rFont val="宋体"/>
        <family val="3"/>
        <charset val="134"/>
      </rPr>
      <t>（</t>
    </r>
    <r>
      <rPr>
        <sz val="10"/>
        <rFont val="Arial"/>
        <family val="2"/>
      </rPr>
      <t>1</t>
    </r>
    <r>
      <rPr>
        <sz val="10"/>
        <rFont val="宋体"/>
        <family val="3"/>
        <charset val="134"/>
      </rPr>
      <t>）</t>
    </r>
    <phoneticPr fontId="1" type="noConversion"/>
  </si>
  <si>
    <r>
      <rPr>
        <sz val="10"/>
        <rFont val="仿宋_GB2312"/>
        <family val="3"/>
        <charset val="134"/>
      </rPr>
      <t>建安费用</t>
    </r>
  </si>
  <si>
    <r>
      <rPr>
        <sz val="10"/>
        <rFont val="仿宋_GB2312"/>
        <family val="3"/>
        <charset val="134"/>
      </rPr>
      <t>勘察设计和前期工程费</t>
    </r>
  </si>
  <si>
    <r>
      <rPr>
        <sz val="10"/>
        <rFont val="仿宋_GB2312"/>
        <family val="3"/>
        <charset val="134"/>
      </rPr>
      <t>公共配套设施费用</t>
    </r>
  </si>
  <si>
    <r>
      <rPr>
        <sz val="10"/>
        <rFont val="仿宋_GB2312"/>
        <family val="3"/>
        <charset val="134"/>
      </rPr>
      <t>基础设施建设费</t>
    </r>
  </si>
  <si>
    <r>
      <t>5</t>
    </r>
    <r>
      <rPr>
        <sz val="10"/>
        <rFont val="宋体"/>
        <family val="3"/>
        <charset val="134"/>
      </rPr>
      <t>）</t>
    </r>
    <phoneticPr fontId="1" type="noConversion"/>
  </si>
  <si>
    <r>
      <rPr>
        <sz val="10"/>
        <rFont val="仿宋_GB2312"/>
        <family val="3"/>
        <charset val="134"/>
      </rPr>
      <t>相关税费</t>
    </r>
  </si>
  <si>
    <r>
      <rPr>
        <sz val="10"/>
        <rFont val="仿宋_GB2312"/>
        <family val="3"/>
        <charset val="134"/>
      </rPr>
      <t>建造成本</t>
    </r>
  </si>
  <si>
    <r>
      <rPr>
        <sz val="10"/>
        <rFont val="宋体"/>
        <family val="3"/>
        <charset val="134"/>
      </rPr>
      <t>（</t>
    </r>
    <r>
      <rPr>
        <sz val="10"/>
        <rFont val="Arial"/>
        <family val="2"/>
      </rPr>
      <t>2</t>
    </r>
    <r>
      <rPr>
        <sz val="10"/>
        <rFont val="宋体"/>
        <family val="3"/>
        <charset val="134"/>
      </rPr>
      <t>）</t>
    </r>
    <r>
      <rPr>
        <sz val="10"/>
        <color indexed="8"/>
        <rFont val="宋体"/>
        <family val="3"/>
        <charset val="134"/>
      </rPr>
      <t/>
    </r>
    <phoneticPr fontId="1" type="noConversion"/>
  </si>
  <si>
    <r>
      <rPr>
        <sz val="10"/>
        <rFont val="仿宋_GB2312"/>
        <family val="3"/>
        <charset val="134"/>
      </rPr>
      <t>管理费用</t>
    </r>
  </si>
  <si>
    <r>
      <rPr>
        <sz val="10"/>
        <rFont val="仿宋_GB2312"/>
        <family val="3"/>
        <charset val="134"/>
      </rPr>
      <t>利润</t>
    </r>
  </si>
  <si>
    <r>
      <rPr>
        <sz val="10"/>
        <rFont val="仿宋_GB2312"/>
        <family val="3"/>
        <charset val="134"/>
      </rPr>
      <t>（建造成本</t>
    </r>
    <r>
      <rPr>
        <sz val="10"/>
        <rFont val="Arial"/>
        <family val="2"/>
      </rPr>
      <t>+</t>
    </r>
    <r>
      <rPr>
        <sz val="10"/>
        <rFont val="仿宋_GB2312"/>
        <family val="3"/>
        <charset val="134"/>
      </rPr>
      <t>管理费用</t>
    </r>
    <r>
      <rPr>
        <sz val="10"/>
        <rFont val="Arial"/>
        <family val="2"/>
      </rPr>
      <t>+</t>
    </r>
    <r>
      <rPr>
        <sz val="10"/>
        <rFont val="仿宋_GB2312"/>
        <family val="3"/>
        <charset val="134"/>
      </rPr>
      <t>销售费用）</t>
    </r>
    <r>
      <rPr>
        <sz val="10"/>
        <rFont val="Arial"/>
        <family val="2"/>
      </rPr>
      <t>×</t>
    </r>
    <r>
      <rPr>
        <sz val="10"/>
        <rFont val="仿宋_GB2312"/>
        <family val="3"/>
        <charset val="134"/>
      </rPr>
      <t>利润率</t>
    </r>
    <phoneticPr fontId="1" type="noConversion"/>
  </si>
  <si>
    <r>
      <t>1</t>
    </r>
    <r>
      <rPr>
        <sz val="10"/>
        <rFont val="宋体"/>
        <family val="3"/>
        <charset val="134"/>
      </rPr>
      <t>）</t>
    </r>
    <phoneticPr fontId="1" type="noConversion"/>
  </si>
  <si>
    <r>
      <rPr>
        <sz val="10"/>
        <rFont val="仿宋_GB2312"/>
        <family val="3"/>
        <charset val="134"/>
      </rPr>
      <t>（</t>
    </r>
    <r>
      <rPr>
        <sz val="10"/>
        <rFont val="Arial"/>
        <family val="2"/>
      </rPr>
      <t>1</t>
    </r>
    <r>
      <rPr>
        <sz val="10"/>
        <rFont val="仿宋_GB2312"/>
        <family val="3"/>
        <charset val="134"/>
      </rPr>
      <t>）及（</t>
    </r>
    <r>
      <rPr>
        <sz val="10"/>
        <rFont val="Arial"/>
        <family val="2"/>
      </rPr>
      <t>2</t>
    </r>
    <r>
      <rPr>
        <sz val="10"/>
        <rFont val="仿宋_GB2312"/>
        <family val="3"/>
        <charset val="134"/>
      </rPr>
      <t>）项产生的利润</t>
    </r>
    <phoneticPr fontId="1" type="noConversion"/>
  </si>
  <si>
    <r>
      <rPr>
        <sz val="10"/>
        <rFont val="仿宋_GB2312"/>
        <family val="3"/>
        <charset val="134"/>
      </rPr>
      <t>（建造成本</t>
    </r>
    <r>
      <rPr>
        <sz val="10"/>
        <rFont val="Arial"/>
        <family val="2"/>
      </rPr>
      <t>+</t>
    </r>
    <r>
      <rPr>
        <sz val="10"/>
        <rFont val="仿宋_GB2312"/>
        <family val="3"/>
        <charset val="134"/>
      </rPr>
      <t>管理费用）</t>
    </r>
    <r>
      <rPr>
        <sz val="10"/>
        <rFont val="Arial"/>
        <family val="2"/>
      </rPr>
      <t>×</t>
    </r>
    <r>
      <rPr>
        <sz val="10"/>
        <rFont val="仿宋_GB2312"/>
        <family val="3"/>
        <charset val="134"/>
      </rPr>
      <t>利润率</t>
    </r>
    <phoneticPr fontId="1" type="noConversion"/>
  </si>
  <si>
    <r>
      <rPr>
        <sz val="10"/>
        <rFont val="仿宋_GB2312"/>
        <family val="3"/>
        <charset val="134"/>
      </rPr>
      <t>利润率（</t>
    </r>
    <r>
      <rPr>
        <sz val="10"/>
        <rFont val="Arial"/>
        <family val="2"/>
      </rPr>
      <t>%</t>
    </r>
    <r>
      <rPr>
        <sz val="10"/>
        <rFont val="仿宋_GB2312"/>
        <family val="3"/>
        <charset val="134"/>
      </rPr>
      <t>）</t>
    </r>
    <phoneticPr fontId="1" type="noConversion"/>
  </si>
  <si>
    <r>
      <t>2</t>
    </r>
    <r>
      <rPr>
        <sz val="10"/>
        <rFont val="宋体"/>
        <family val="3"/>
        <charset val="134"/>
      </rPr>
      <t>）</t>
    </r>
    <phoneticPr fontId="1" type="noConversion"/>
  </si>
  <si>
    <r>
      <rPr>
        <sz val="10"/>
        <rFont val="仿宋_GB2312"/>
        <family val="3"/>
        <charset val="134"/>
      </rPr>
      <t>销售费用</t>
    </r>
    <r>
      <rPr>
        <sz val="10"/>
        <rFont val="Arial"/>
        <family val="2"/>
      </rPr>
      <t>×</t>
    </r>
    <r>
      <rPr>
        <sz val="10"/>
        <rFont val="仿宋_GB2312"/>
        <family val="3"/>
        <charset val="134"/>
      </rPr>
      <t>利润率</t>
    </r>
    <phoneticPr fontId="1" type="noConversion"/>
  </si>
  <si>
    <r>
      <rPr>
        <sz val="10"/>
        <rFont val="仿宋_GB2312"/>
        <family val="3"/>
        <charset val="134"/>
      </rPr>
      <t>销售税费</t>
    </r>
  </si>
  <si>
    <r>
      <rPr>
        <sz val="10"/>
        <rFont val="仿宋_GB2312"/>
        <family val="3"/>
        <charset val="134"/>
      </rPr>
      <t>税</t>
    </r>
    <r>
      <rPr>
        <sz val="10"/>
        <rFont val="Arial"/>
        <family val="2"/>
      </rPr>
      <t xml:space="preserve">  </t>
    </r>
    <r>
      <rPr>
        <sz val="10"/>
        <rFont val="仿宋_GB2312"/>
        <family val="3"/>
        <charset val="134"/>
      </rPr>
      <t>费</t>
    </r>
  </si>
  <si>
    <r>
      <rPr>
        <sz val="10"/>
        <rFont val="仿宋_GB2312"/>
        <family val="3"/>
        <charset val="134"/>
      </rPr>
      <t>两税两费</t>
    </r>
    <phoneticPr fontId="1" type="noConversion"/>
  </si>
  <si>
    <r>
      <rPr>
        <sz val="10"/>
        <rFont val="宋体"/>
        <family val="3"/>
        <charset val="134"/>
      </rPr>
      <t>（</t>
    </r>
    <r>
      <rPr>
        <sz val="10"/>
        <rFont val="Arial"/>
        <family val="2"/>
      </rPr>
      <t>3</t>
    </r>
    <r>
      <rPr>
        <sz val="10"/>
        <rFont val="宋体"/>
        <family val="3"/>
        <charset val="134"/>
      </rPr>
      <t>）</t>
    </r>
    <r>
      <rPr>
        <sz val="10"/>
        <color indexed="8"/>
        <rFont val="宋体"/>
        <family val="3"/>
        <charset val="134"/>
      </rPr>
      <t/>
    </r>
    <phoneticPr fontId="1" type="noConversion"/>
  </si>
  <si>
    <r>
      <rPr>
        <sz val="10"/>
        <rFont val="仿宋_GB2312"/>
        <family val="3"/>
        <charset val="134"/>
      </rPr>
      <t>保险费</t>
    </r>
  </si>
  <si>
    <r>
      <rPr>
        <sz val="10"/>
        <rFont val="仿宋_GB2312"/>
        <family val="3"/>
        <charset val="134"/>
      </rPr>
      <t>现值</t>
    </r>
    <r>
      <rPr>
        <sz val="10"/>
        <rFont val="Arial"/>
        <family val="2"/>
      </rPr>
      <t>×</t>
    </r>
    <r>
      <rPr>
        <sz val="10"/>
        <rFont val="仿宋_GB2312"/>
        <family val="3"/>
        <charset val="134"/>
      </rPr>
      <t>保险费率</t>
    </r>
    <phoneticPr fontId="1" type="noConversion"/>
  </si>
  <si>
    <r>
      <rPr>
        <sz val="10"/>
        <rFont val="仿宋_GB2312"/>
        <family val="3"/>
        <charset val="134"/>
      </rPr>
      <t>费率（</t>
    </r>
    <r>
      <rPr>
        <sz val="10"/>
        <rFont val="Arial"/>
        <family val="2"/>
      </rPr>
      <t>%</t>
    </r>
    <r>
      <rPr>
        <sz val="10"/>
        <rFont val="仿宋_GB2312"/>
        <family val="3"/>
        <charset val="134"/>
      </rPr>
      <t>）</t>
    </r>
    <phoneticPr fontId="1" type="noConversion"/>
  </si>
  <si>
    <r>
      <rPr>
        <sz val="10"/>
        <rFont val="宋体"/>
        <family val="3"/>
        <charset val="134"/>
      </rPr>
      <t>（</t>
    </r>
    <r>
      <rPr>
        <sz val="10"/>
        <rFont val="Arial"/>
        <family val="2"/>
      </rPr>
      <t>4</t>
    </r>
    <r>
      <rPr>
        <sz val="10"/>
        <rFont val="宋体"/>
        <family val="3"/>
        <charset val="134"/>
      </rPr>
      <t>）</t>
    </r>
    <r>
      <rPr>
        <sz val="10"/>
        <color indexed="8"/>
        <rFont val="宋体"/>
        <family val="3"/>
        <charset val="134"/>
      </rPr>
      <t/>
    </r>
    <phoneticPr fontId="1" type="noConversion"/>
  </si>
  <si>
    <r>
      <rPr>
        <sz val="10"/>
        <rFont val="仿宋_GB2312"/>
        <family val="3"/>
        <charset val="134"/>
      </rPr>
      <t>年总收益</t>
    </r>
    <r>
      <rPr>
        <sz val="10"/>
        <rFont val="Arial"/>
        <family val="2"/>
      </rPr>
      <t>×</t>
    </r>
    <r>
      <rPr>
        <sz val="10"/>
        <rFont val="仿宋_GB2312"/>
        <family val="3"/>
        <charset val="134"/>
      </rPr>
      <t>费率</t>
    </r>
    <phoneticPr fontId="1" type="noConversion"/>
  </si>
  <si>
    <r>
      <rPr>
        <sz val="10"/>
        <rFont val="仿宋_GB2312"/>
        <family val="3"/>
        <charset val="134"/>
      </rPr>
      <t>计算公式</t>
    </r>
    <phoneticPr fontId="1" type="noConversion"/>
  </si>
  <si>
    <r>
      <rPr>
        <sz val="10"/>
        <rFont val="仿宋_GB2312"/>
        <family val="3"/>
        <charset val="134"/>
      </rPr>
      <t>取费标准</t>
    </r>
    <phoneticPr fontId="1" type="noConversion"/>
  </si>
  <si>
    <r>
      <rPr>
        <b/>
        <sz val="10"/>
        <rFont val="楷体_GB2312"/>
        <charset val="134"/>
      </rPr>
      <t>未来第一年年总收益</t>
    </r>
    <phoneticPr fontId="1" type="noConversion"/>
  </si>
  <si>
    <r>
      <rPr>
        <sz val="10"/>
        <rFont val="宋体"/>
        <family val="3"/>
        <charset val="134"/>
      </rPr>
      <t>（</t>
    </r>
    <r>
      <rPr>
        <sz val="10"/>
        <rFont val="Arial"/>
        <family val="2"/>
      </rPr>
      <t>1</t>
    </r>
    <r>
      <rPr>
        <sz val="10"/>
        <rFont val="宋体"/>
        <family val="3"/>
        <charset val="134"/>
      </rPr>
      <t>）</t>
    </r>
    <phoneticPr fontId="1" type="noConversion"/>
  </si>
  <si>
    <r>
      <rPr>
        <sz val="10"/>
        <rFont val="仿宋_GB2312"/>
        <family val="3"/>
        <charset val="134"/>
      </rPr>
      <t>租金</t>
    </r>
    <phoneticPr fontId="1" type="noConversion"/>
  </si>
  <si>
    <r>
      <rPr>
        <sz val="10"/>
        <rFont val="仿宋_GB2312"/>
        <family val="3"/>
        <charset val="134"/>
      </rPr>
      <t>面积</t>
    </r>
    <r>
      <rPr>
        <sz val="10"/>
        <rFont val="Arial"/>
        <family val="2"/>
      </rPr>
      <t>/</t>
    </r>
    <r>
      <rPr>
        <sz val="10"/>
        <rFont val="仿宋_GB2312"/>
        <family val="3"/>
        <charset val="134"/>
      </rPr>
      <t>个数</t>
    </r>
    <phoneticPr fontId="1" type="noConversion"/>
  </si>
  <si>
    <r>
      <rPr>
        <sz val="10"/>
        <rFont val="仿宋_GB2312"/>
        <family val="3"/>
        <charset val="134"/>
      </rPr>
      <t>天</t>
    </r>
    <r>
      <rPr>
        <sz val="10"/>
        <rFont val="Arial"/>
        <family val="2"/>
      </rPr>
      <t>/</t>
    </r>
    <r>
      <rPr>
        <sz val="10"/>
        <rFont val="仿宋_GB2312"/>
        <family val="3"/>
        <charset val="134"/>
      </rPr>
      <t>月</t>
    </r>
    <phoneticPr fontId="1" type="noConversion"/>
  </si>
  <si>
    <r>
      <rPr>
        <sz val="10"/>
        <rFont val="仿宋_GB2312"/>
        <family val="3"/>
        <charset val="134"/>
      </rPr>
      <t>空置率（</t>
    </r>
    <r>
      <rPr>
        <sz val="10"/>
        <rFont val="Arial"/>
        <family val="2"/>
      </rPr>
      <t>%</t>
    </r>
    <r>
      <rPr>
        <sz val="10"/>
        <rFont val="仿宋_GB2312"/>
        <family val="3"/>
        <charset val="134"/>
      </rPr>
      <t>）</t>
    </r>
    <phoneticPr fontId="1" type="noConversion"/>
  </si>
  <si>
    <r>
      <rPr>
        <sz val="10"/>
        <rFont val="宋体"/>
        <family val="3"/>
        <charset val="134"/>
      </rPr>
      <t>（</t>
    </r>
    <r>
      <rPr>
        <sz val="10"/>
        <rFont val="Arial"/>
        <family val="2"/>
      </rPr>
      <t>2</t>
    </r>
    <r>
      <rPr>
        <sz val="10"/>
        <rFont val="宋体"/>
        <family val="3"/>
        <charset val="134"/>
      </rPr>
      <t>）</t>
    </r>
    <phoneticPr fontId="1" type="noConversion"/>
  </si>
  <si>
    <r>
      <t>（自定义押金）</t>
    </r>
    <r>
      <rPr>
        <b/>
        <i/>
        <sz val="10"/>
        <rFont val="宋体"/>
        <family val="3"/>
        <charset val="134"/>
      </rPr>
      <t>单位：元</t>
    </r>
    <phoneticPr fontId="1" type="noConversion"/>
  </si>
  <si>
    <r>
      <rPr>
        <sz val="10"/>
        <rFont val="宋体"/>
        <family val="3"/>
        <charset val="134"/>
      </rPr>
      <t>（</t>
    </r>
    <r>
      <rPr>
        <sz val="10"/>
        <rFont val="Arial"/>
        <family val="2"/>
      </rPr>
      <t>3</t>
    </r>
    <r>
      <rPr>
        <sz val="10"/>
        <rFont val="宋体"/>
        <family val="3"/>
        <charset val="134"/>
      </rPr>
      <t>）</t>
    </r>
    <phoneticPr fontId="1" type="noConversion"/>
  </si>
  <si>
    <r>
      <rPr>
        <b/>
        <sz val="10"/>
        <rFont val="仿宋_GB2312"/>
        <family val="3"/>
        <charset val="134"/>
      </rPr>
      <t>建筑物现值</t>
    </r>
    <phoneticPr fontId="1" type="noConversion"/>
  </si>
  <si>
    <r>
      <rPr>
        <sz val="10"/>
        <rFont val="仿宋_GB2312"/>
        <family val="3"/>
        <charset val="134"/>
      </rPr>
      <t>建筑物重置价格</t>
    </r>
    <r>
      <rPr>
        <sz val="10"/>
        <rFont val="Arial"/>
        <family val="2"/>
      </rPr>
      <t>×</t>
    </r>
    <r>
      <rPr>
        <sz val="10"/>
        <rFont val="仿宋_GB2312"/>
        <family val="3"/>
        <charset val="134"/>
      </rPr>
      <t>成新度</t>
    </r>
    <phoneticPr fontId="1" type="noConversion"/>
  </si>
  <si>
    <r>
      <rPr>
        <sz val="10"/>
        <rFont val="仿宋_GB2312"/>
        <family val="3"/>
        <charset val="134"/>
      </rPr>
      <t>成新度（</t>
    </r>
    <r>
      <rPr>
        <sz val="10"/>
        <rFont val="Arial"/>
        <family val="2"/>
      </rPr>
      <t>%</t>
    </r>
    <r>
      <rPr>
        <sz val="10"/>
        <rFont val="仿宋_GB2312"/>
        <family val="3"/>
        <charset val="134"/>
      </rPr>
      <t>）</t>
    </r>
    <phoneticPr fontId="1" type="noConversion"/>
  </si>
  <si>
    <r>
      <t>1</t>
    </r>
    <r>
      <rPr>
        <sz val="10"/>
        <rFont val="宋体"/>
        <family val="3"/>
        <charset val="134"/>
      </rPr>
      <t>）</t>
    </r>
    <phoneticPr fontId="1" type="noConversion"/>
  </si>
  <si>
    <r>
      <rPr>
        <sz val="10"/>
        <rFont val="仿宋_GB2312"/>
        <family val="3"/>
        <charset val="134"/>
      </rPr>
      <t>建安单价</t>
    </r>
    <r>
      <rPr>
        <sz val="10"/>
        <rFont val="Arial"/>
        <family val="2"/>
      </rPr>
      <t>×</t>
    </r>
    <r>
      <rPr>
        <sz val="10"/>
        <rFont val="仿宋_GB2312"/>
        <family val="3"/>
        <charset val="134"/>
      </rPr>
      <t>建筑面积</t>
    </r>
    <phoneticPr fontId="1" type="noConversion"/>
  </si>
  <si>
    <r>
      <t>2</t>
    </r>
    <r>
      <rPr>
        <sz val="10"/>
        <rFont val="宋体"/>
        <family val="3"/>
        <charset val="134"/>
      </rPr>
      <t>）</t>
    </r>
    <phoneticPr fontId="1" type="noConversion"/>
  </si>
  <si>
    <r>
      <rPr>
        <sz val="10"/>
        <rFont val="仿宋_GB2312"/>
        <family val="3"/>
        <charset val="134"/>
      </rPr>
      <t>建安费用</t>
    </r>
    <r>
      <rPr>
        <sz val="10"/>
        <rFont val="Arial"/>
        <family val="2"/>
      </rPr>
      <t>×</t>
    </r>
    <r>
      <rPr>
        <sz val="10"/>
        <rFont val="仿宋_GB2312"/>
        <family val="3"/>
        <charset val="134"/>
      </rPr>
      <t>费率</t>
    </r>
    <phoneticPr fontId="1" type="noConversion"/>
  </si>
  <si>
    <r>
      <rPr>
        <sz val="10"/>
        <rFont val="仿宋_GB2312"/>
        <family val="3"/>
        <charset val="134"/>
      </rPr>
      <t>费率（</t>
    </r>
    <r>
      <rPr>
        <sz val="10"/>
        <rFont val="Arial"/>
        <family val="2"/>
      </rPr>
      <t>%</t>
    </r>
    <r>
      <rPr>
        <sz val="10"/>
        <rFont val="仿宋_GB2312"/>
        <family val="3"/>
        <charset val="134"/>
      </rPr>
      <t>）</t>
    </r>
    <phoneticPr fontId="1" type="noConversion"/>
  </si>
  <si>
    <r>
      <t>3</t>
    </r>
    <r>
      <rPr>
        <sz val="10"/>
        <rFont val="宋体"/>
        <family val="3"/>
        <charset val="134"/>
      </rPr>
      <t>）</t>
    </r>
    <phoneticPr fontId="1" type="noConversion"/>
  </si>
  <si>
    <r>
      <t>4</t>
    </r>
    <r>
      <rPr>
        <sz val="10"/>
        <rFont val="宋体"/>
        <family val="3"/>
        <charset val="134"/>
      </rPr>
      <t>）</t>
    </r>
    <phoneticPr fontId="1" type="noConversion"/>
  </si>
  <si>
    <r>
      <rPr>
        <sz val="10"/>
        <rFont val="仿宋_GB2312"/>
        <family val="3"/>
        <charset val="134"/>
      </rPr>
      <t>建筑面积</t>
    </r>
    <r>
      <rPr>
        <sz val="10"/>
        <rFont val="Arial"/>
        <family val="2"/>
      </rPr>
      <t>×</t>
    </r>
    <r>
      <rPr>
        <sz val="10"/>
        <rFont val="仿宋_GB2312"/>
        <family val="3"/>
        <charset val="134"/>
      </rPr>
      <t>取费标准</t>
    </r>
    <phoneticPr fontId="1" type="noConversion"/>
  </si>
  <si>
    <r>
      <rPr>
        <sz val="10"/>
        <rFont val="仿宋_GB2312"/>
        <family val="3"/>
        <charset val="134"/>
      </rPr>
      <t>市政费用（元</t>
    </r>
    <r>
      <rPr>
        <sz val="10"/>
        <rFont val="Arial"/>
        <family val="2"/>
      </rPr>
      <t>/</t>
    </r>
    <r>
      <rPr>
        <sz val="10"/>
        <rFont val="仿宋_GB2312"/>
        <family val="3"/>
        <charset val="134"/>
      </rPr>
      <t>㎡）</t>
    </r>
    <phoneticPr fontId="1" type="noConversion"/>
  </si>
  <si>
    <r>
      <rPr>
        <sz val="10"/>
        <rFont val="仿宋_GB2312"/>
        <family val="3"/>
        <charset val="134"/>
      </rPr>
      <t>建安费用</t>
    </r>
    <r>
      <rPr>
        <sz val="10"/>
        <rFont val="Arial"/>
        <family val="2"/>
      </rPr>
      <t>×</t>
    </r>
    <r>
      <rPr>
        <sz val="10"/>
        <rFont val="仿宋_GB2312"/>
        <family val="3"/>
        <charset val="134"/>
      </rPr>
      <t>费率</t>
    </r>
    <phoneticPr fontId="1" type="noConversion"/>
  </si>
  <si>
    <r>
      <rPr>
        <sz val="10"/>
        <rFont val="仿宋_GB2312"/>
        <family val="3"/>
        <charset val="134"/>
      </rPr>
      <t>费率（</t>
    </r>
    <r>
      <rPr>
        <sz val="10"/>
        <rFont val="Arial"/>
        <family val="2"/>
      </rPr>
      <t>%</t>
    </r>
    <r>
      <rPr>
        <sz val="10"/>
        <rFont val="仿宋_GB2312"/>
        <family val="3"/>
        <charset val="134"/>
      </rPr>
      <t>）</t>
    </r>
    <phoneticPr fontId="1" type="noConversion"/>
  </si>
  <si>
    <r>
      <rPr>
        <sz val="10"/>
        <rFont val="仿宋_GB2312"/>
        <family val="3"/>
        <charset val="134"/>
      </rPr>
      <t>建安费用</t>
    </r>
    <r>
      <rPr>
        <sz val="10"/>
        <rFont val="Arial"/>
        <family val="2"/>
      </rPr>
      <t>+</t>
    </r>
    <r>
      <rPr>
        <sz val="10"/>
        <rFont val="仿宋_GB2312"/>
        <family val="3"/>
        <charset val="134"/>
      </rPr>
      <t>公共配套设施费用</t>
    </r>
    <r>
      <rPr>
        <sz val="10"/>
        <rFont val="Arial"/>
        <family val="2"/>
      </rPr>
      <t>+</t>
    </r>
    <r>
      <rPr>
        <sz val="10"/>
        <rFont val="仿宋_GB2312"/>
        <family val="3"/>
        <charset val="134"/>
      </rPr>
      <t>基础设施建设费</t>
    </r>
    <r>
      <rPr>
        <sz val="10"/>
        <rFont val="Arial"/>
        <family val="2"/>
      </rPr>
      <t>+</t>
    </r>
    <r>
      <rPr>
        <sz val="10"/>
        <rFont val="仿宋_GB2312"/>
        <family val="3"/>
        <charset val="134"/>
      </rPr>
      <t>相关税费</t>
    </r>
    <phoneticPr fontId="1" type="noConversion"/>
  </si>
  <si>
    <r>
      <rPr>
        <sz val="10"/>
        <rFont val="仿宋_GB2312"/>
        <family val="3"/>
        <charset val="134"/>
      </rPr>
      <t>建造成本</t>
    </r>
    <r>
      <rPr>
        <sz val="10"/>
        <rFont val="Arial"/>
        <family val="2"/>
      </rPr>
      <t>×</t>
    </r>
    <r>
      <rPr>
        <sz val="10"/>
        <rFont val="仿宋_GB2312"/>
        <family val="3"/>
        <charset val="134"/>
      </rPr>
      <t>费率</t>
    </r>
    <phoneticPr fontId="1" type="noConversion"/>
  </si>
  <si>
    <r>
      <rPr>
        <sz val="10"/>
        <rFont val="仿宋_GB2312"/>
        <family val="3"/>
        <charset val="134"/>
      </rPr>
      <t>销售费用</t>
    </r>
    <phoneticPr fontId="1" type="noConversion"/>
  </si>
  <si>
    <r>
      <rPr>
        <sz val="10"/>
        <rFont val="仿宋_GB2312"/>
        <family val="3"/>
        <charset val="134"/>
      </rPr>
      <t>建筑物重置价格</t>
    </r>
    <r>
      <rPr>
        <sz val="10"/>
        <rFont val="Arial"/>
        <family val="2"/>
      </rPr>
      <t>×</t>
    </r>
    <r>
      <rPr>
        <sz val="10"/>
        <rFont val="仿宋_GB2312"/>
        <family val="3"/>
        <charset val="134"/>
      </rPr>
      <t>费率</t>
    </r>
    <phoneticPr fontId="1" type="noConversion"/>
  </si>
  <si>
    <r>
      <rPr>
        <sz val="10"/>
        <rFont val="仿宋_GB2312"/>
        <family val="3"/>
        <charset val="134"/>
      </rPr>
      <t>销售费率（</t>
    </r>
    <r>
      <rPr>
        <sz val="10"/>
        <rFont val="Arial"/>
        <family val="2"/>
      </rPr>
      <t>%</t>
    </r>
    <r>
      <rPr>
        <sz val="10"/>
        <rFont val="仿宋_GB2312"/>
        <family val="3"/>
        <charset val="134"/>
      </rPr>
      <t>）</t>
    </r>
    <phoneticPr fontId="1" type="noConversion"/>
  </si>
  <si>
    <r>
      <rPr>
        <sz val="10"/>
        <rFont val="宋体"/>
        <family val="3"/>
        <charset val="134"/>
      </rPr>
      <t>（</t>
    </r>
    <r>
      <rPr>
        <sz val="10"/>
        <rFont val="Arial"/>
        <family val="2"/>
      </rPr>
      <t>4</t>
    </r>
    <r>
      <rPr>
        <sz val="10"/>
        <rFont val="宋体"/>
        <family val="3"/>
        <charset val="134"/>
      </rPr>
      <t>）</t>
    </r>
    <r>
      <rPr>
        <sz val="10"/>
        <color indexed="8"/>
        <rFont val="宋体"/>
        <family val="3"/>
        <charset val="134"/>
      </rPr>
      <t/>
    </r>
    <phoneticPr fontId="1" type="noConversion"/>
  </si>
  <si>
    <r>
      <rPr>
        <sz val="10"/>
        <rFont val="仿宋_GB2312"/>
        <family val="3"/>
        <charset val="134"/>
      </rPr>
      <t>贷款利息</t>
    </r>
    <phoneticPr fontId="1" type="noConversion"/>
  </si>
  <si>
    <r>
      <rPr>
        <sz val="10"/>
        <rFont val="仿宋_GB2312"/>
        <family val="3"/>
        <charset val="134"/>
      </rPr>
      <t>（</t>
    </r>
    <r>
      <rPr>
        <sz val="10"/>
        <rFont val="Arial"/>
        <family val="2"/>
      </rPr>
      <t>1</t>
    </r>
    <r>
      <rPr>
        <sz val="10"/>
        <rFont val="仿宋_GB2312"/>
        <family val="3"/>
        <charset val="134"/>
      </rPr>
      <t>）及（</t>
    </r>
    <r>
      <rPr>
        <sz val="10"/>
        <rFont val="Arial"/>
        <family val="2"/>
      </rPr>
      <t>2</t>
    </r>
    <r>
      <rPr>
        <sz val="10"/>
        <rFont val="仿宋_GB2312"/>
        <family val="3"/>
        <charset val="134"/>
      </rPr>
      <t>）项产生的利息</t>
    </r>
    <phoneticPr fontId="1" type="noConversion"/>
  </si>
  <si>
    <r>
      <rPr>
        <sz val="10"/>
        <rFont val="仿宋_GB2312"/>
        <family val="3"/>
        <charset val="134"/>
      </rPr>
      <t>建设周期（年）</t>
    </r>
    <phoneticPr fontId="1" type="noConversion"/>
  </si>
  <si>
    <r>
      <rPr>
        <sz val="10"/>
        <rFont val="仿宋_GB2312"/>
        <family val="3"/>
        <charset val="134"/>
      </rPr>
      <t>销售费用产生的利息</t>
    </r>
    <phoneticPr fontId="1" type="noConversion"/>
  </si>
  <si>
    <r>
      <rPr>
        <sz val="10"/>
        <rFont val="仿宋_GB2312"/>
        <family val="3"/>
        <charset val="134"/>
      </rPr>
      <t>利息（</t>
    </r>
    <r>
      <rPr>
        <sz val="10"/>
        <rFont val="Arial"/>
        <family val="2"/>
      </rPr>
      <t>%</t>
    </r>
    <r>
      <rPr>
        <sz val="10"/>
        <rFont val="仿宋_GB2312"/>
        <family val="3"/>
        <charset val="134"/>
      </rPr>
      <t>）</t>
    </r>
    <phoneticPr fontId="1" type="noConversion"/>
  </si>
  <si>
    <r>
      <rPr>
        <sz val="10"/>
        <rFont val="仿宋_GB2312"/>
        <family val="3"/>
        <charset val="134"/>
      </rPr>
      <t>建筑物重置价格</t>
    </r>
    <r>
      <rPr>
        <sz val="10"/>
        <rFont val="Arial"/>
        <family val="2"/>
      </rPr>
      <t>×</t>
    </r>
    <r>
      <rPr>
        <sz val="10"/>
        <rFont val="仿宋_GB2312"/>
        <family val="3"/>
        <charset val="134"/>
      </rPr>
      <t>费率</t>
    </r>
    <r>
      <rPr>
        <sz val="10"/>
        <rFont val="Arial"/>
        <family val="2"/>
      </rPr>
      <t>/(1+5%)</t>
    </r>
    <phoneticPr fontId="1" type="noConversion"/>
  </si>
  <si>
    <r>
      <t>建筑物重置价格（P</t>
    </r>
    <r>
      <rPr>
        <vertAlign val="subscript"/>
        <sz val="10"/>
        <rFont val="仿宋_GB2312"/>
        <family val="3"/>
        <charset val="134"/>
      </rPr>
      <t>建</t>
    </r>
    <r>
      <rPr>
        <sz val="10"/>
        <rFont val="仿宋_GB2312"/>
        <family val="3"/>
        <charset val="134"/>
      </rPr>
      <t>）</t>
    </r>
    <phoneticPr fontId="1" type="noConversion"/>
  </si>
  <si>
    <r>
      <rPr>
        <b/>
        <sz val="10"/>
        <rFont val="仿宋_GB2312"/>
        <family val="3"/>
        <charset val="134"/>
      </rPr>
      <t>年经营费用</t>
    </r>
    <phoneticPr fontId="1" type="noConversion"/>
  </si>
  <si>
    <r>
      <rPr>
        <sz val="10"/>
        <rFont val="仿宋_GB2312"/>
        <family val="3"/>
        <charset val="134"/>
      </rPr>
      <t>税费</t>
    </r>
    <r>
      <rPr>
        <sz val="10"/>
        <rFont val="Arial"/>
        <family val="2"/>
      </rPr>
      <t>+</t>
    </r>
    <r>
      <rPr>
        <sz val="10"/>
        <rFont val="仿宋_GB2312"/>
        <family val="3"/>
        <charset val="134"/>
      </rPr>
      <t>维修费</t>
    </r>
    <r>
      <rPr>
        <sz val="10"/>
        <rFont val="Arial"/>
        <family val="2"/>
      </rPr>
      <t>+</t>
    </r>
    <r>
      <rPr>
        <sz val="10"/>
        <rFont val="仿宋_GB2312"/>
        <family val="3"/>
        <charset val="134"/>
      </rPr>
      <t>保险费</t>
    </r>
    <r>
      <rPr>
        <sz val="10"/>
        <rFont val="Arial"/>
        <family val="2"/>
      </rPr>
      <t>+</t>
    </r>
    <r>
      <rPr>
        <sz val="10"/>
        <rFont val="仿宋_GB2312"/>
        <family val="3"/>
        <charset val="134"/>
      </rPr>
      <t>管理费</t>
    </r>
    <phoneticPr fontId="1" type="noConversion"/>
  </si>
  <si>
    <r>
      <rPr>
        <sz val="10"/>
        <rFont val="仿宋_GB2312"/>
        <family val="3"/>
        <charset val="134"/>
      </rPr>
      <t>两税一费</t>
    </r>
    <r>
      <rPr>
        <sz val="10"/>
        <rFont val="Arial"/>
        <family val="2"/>
      </rPr>
      <t>+</t>
    </r>
    <r>
      <rPr>
        <sz val="10"/>
        <rFont val="仿宋_GB2312"/>
        <family val="3"/>
        <charset val="134"/>
      </rPr>
      <t>房产税</t>
    </r>
    <r>
      <rPr>
        <sz val="10"/>
        <rFont val="Arial"/>
        <family val="2"/>
      </rPr>
      <t>+</t>
    </r>
    <r>
      <rPr>
        <sz val="10"/>
        <rFont val="仿宋_GB2312"/>
        <family val="3"/>
        <charset val="134"/>
      </rPr>
      <t>城镇土地使用税</t>
    </r>
    <phoneticPr fontId="1" type="noConversion"/>
  </si>
  <si>
    <r>
      <rPr>
        <sz val="10"/>
        <rFont val="仿宋_GB2312"/>
        <family val="3"/>
        <charset val="134"/>
      </rPr>
      <t>综合税率</t>
    </r>
    <phoneticPr fontId="14" type="noConversion"/>
  </si>
  <si>
    <r>
      <rPr>
        <sz val="10"/>
        <rFont val="仿宋_GB2312"/>
        <family val="3"/>
        <charset val="134"/>
      </rPr>
      <t>年总收益</t>
    </r>
    <r>
      <rPr>
        <sz val="10"/>
        <rFont val="Arial"/>
        <family val="2"/>
      </rPr>
      <t>×</t>
    </r>
    <r>
      <rPr>
        <sz val="10"/>
        <rFont val="仿宋_GB2312"/>
        <family val="3"/>
        <charset val="134"/>
      </rPr>
      <t>费率</t>
    </r>
    <r>
      <rPr>
        <sz val="10"/>
        <rFont val="Arial"/>
        <family val="2"/>
      </rPr>
      <t>/(1+5%)</t>
    </r>
    <phoneticPr fontId="1" type="noConversion"/>
  </si>
  <si>
    <r>
      <rPr>
        <sz val="10"/>
        <rFont val="仿宋_GB2312"/>
        <family val="3"/>
        <charset val="134"/>
      </rPr>
      <t>房产税</t>
    </r>
    <phoneticPr fontId="1" type="noConversion"/>
  </si>
  <si>
    <r>
      <t>3</t>
    </r>
    <r>
      <rPr>
        <sz val="10"/>
        <rFont val="宋体"/>
        <family val="3"/>
        <charset val="134"/>
      </rPr>
      <t>）</t>
    </r>
    <phoneticPr fontId="1" type="noConversion"/>
  </si>
  <si>
    <r>
      <rPr>
        <sz val="10"/>
        <rFont val="仿宋_GB2312"/>
        <family val="3"/>
        <charset val="134"/>
      </rPr>
      <t>城镇土地使用税</t>
    </r>
    <phoneticPr fontId="1" type="noConversion"/>
  </si>
  <si>
    <r>
      <rPr>
        <sz val="10"/>
        <rFont val="仿宋_GB2312"/>
        <family val="3"/>
        <charset val="134"/>
      </rPr>
      <t>土地面积</t>
    </r>
    <r>
      <rPr>
        <sz val="10"/>
        <rFont val="Arial"/>
        <family val="2"/>
      </rPr>
      <t>×</t>
    </r>
    <r>
      <rPr>
        <sz val="10"/>
        <rFont val="仿宋_GB2312"/>
        <family val="3"/>
        <charset val="134"/>
      </rPr>
      <t>取费标准</t>
    </r>
    <phoneticPr fontId="1" type="noConversion"/>
  </si>
  <si>
    <r>
      <rPr>
        <sz val="10"/>
        <rFont val="仿宋_GB2312"/>
        <family val="3"/>
        <charset val="134"/>
      </rPr>
      <t>纳税标准（元</t>
    </r>
    <r>
      <rPr>
        <sz val="10"/>
        <rFont val="Arial"/>
        <family val="2"/>
      </rPr>
      <t>/</t>
    </r>
    <r>
      <rPr>
        <sz val="10"/>
        <rFont val="仿宋_GB2312"/>
        <family val="3"/>
        <charset val="134"/>
      </rPr>
      <t>㎡）</t>
    </r>
    <phoneticPr fontId="1" type="noConversion"/>
  </si>
  <si>
    <r>
      <rPr>
        <sz val="10"/>
        <rFont val="仿宋_GB2312"/>
        <family val="3"/>
        <charset val="134"/>
      </rPr>
      <t>土地面积（㎡）</t>
    </r>
    <phoneticPr fontId="1" type="noConversion"/>
  </si>
  <si>
    <r>
      <rPr>
        <sz val="10"/>
        <rFont val="仿宋_GB2312"/>
        <family val="3"/>
        <charset val="134"/>
      </rPr>
      <t>维修费</t>
    </r>
    <phoneticPr fontId="1" type="noConversion"/>
  </si>
  <si>
    <r>
      <rPr>
        <sz val="10"/>
        <rFont val="仿宋_GB2312"/>
        <family val="3"/>
        <charset val="134"/>
      </rPr>
      <t>建筑物重置价格</t>
    </r>
    <r>
      <rPr>
        <sz val="10"/>
        <rFont val="Arial"/>
        <family val="2"/>
      </rPr>
      <t>×</t>
    </r>
    <r>
      <rPr>
        <sz val="10"/>
        <rFont val="仿宋_GB2312"/>
        <family val="3"/>
        <charset val="134"/>
      </rPr>
      <t>维修费率</t>
    </r>
    <phoneticPr fontId="1" type="noConversion"/>
  </si>
  <si>
    <r>
      <rPr>
        <sz val="10"/>
        <rFont val="仿宋_GB2312"/>
        <family val="3"/>
        <charset val="134"/>
      </rPr>
      <t>年总收益</t>
    </r>
    <r>
      <rPr>
        <sz val="10"/>
        <rFont val="Arial"/>
        <family val="2"/>
      </rPr>
      <t>-</t>
    </r>
    <r>
      <rPr>
        <sz val="10"/>
        <rFont val="仿宋_GB2312"/>
        <family val="3"/>
        <charset val="134"/>
      </rPr>
      <t>年经营费用</t>
    </r>
    <phoneticPr fontId="1" type="noConversion"/>
  </si>
  <si>
    <r>
      <rPr>
        <sz val="10"/>
        <rFont val="仿宋_GB2312"/>
        <family val="3"/>
        <charset val="134"/>
      </rPr>
      <t>房地产未来第一年净收益</t>
    </r>
    <r>
      <rPr>
        <sz val="10"/>
        <rFont val="Arial"/>
        <family val="2"/>
      </rPr>
      <t>×</t>
    </r>
    <phoneticPr fontId="1" type="noConversion"/>
  </si>
  <si>
    <r>
      <rPr>
        <sz val="10"/>
        <rFont val="仿宋_GB2312"/>
        <family val="3"/>
        <charset val="134"/>
      </rPr>
      <t>还原率（</t>
    </r>
    <r>
      <rPr>
        <sz val="10"/>
        <rFont val="Arial"/>
        <family val="2"/>
      </rPr>
      <t>Y</t>
    </r>
    <r>
      <rPr>
        <sz val="10"/>
        <rFont val="仿宋_GB2312"/>
        <family val="3"/>
        <charset val="134"/>
      </rPr>
      <t>）</t>
    </r>
    <phoneticPr fontId="1" type="noConversion"/>
  </si>
  <si>
    <r>
      <t>[1-</t>
    </r>
    <r>
      <rPr>
        <sz val="10"/>
        <rFont val="仿宋_GB2312"/>
        <family val="3"/>
        <charset val="134"/>
      </rPr>
      <t>（</t>
    </r>
    <r>
      <rPr>
        <sz val="10"/>
        <rFont val="Arial"/>
        <family val="2"/>
      </rPr>
      <t>(1+g)/(1+Y)</t>
    </r>
    <r>
      <rPr>
        <sz val="10"/>
        <rFont val="仿宋_GB2312"/>
        <family val="3"/>
        <charset val="134"/>
      </rPr>
      <t>）</t>
    </r>
    <r>
      <rPr>
        <sz val="10"/>
        <rFont val="Arial"/>
        <family val="2"/>
      </rPr>
      <t xml:space="preserve"> ^n ]/(Y-g)</t>
    </r>
    <phoneticPr fontId="14" type="noConversion"/>
  </si>
  <si>
    <r>
      <rPr>
        <sz val="10"/>
        <rFont val="仿宋_GB2312"/>
        <family val="3"/>
        <charset val="134"/>
      </rPr>
      <t>收益年期</t>
    </r>
    <r>
      <rPr>
        <sz val="10"/>
        <rFont val="Arial"/>
        <family val="2"/>
      </rPr>
      <t>(n)</t>
    </r>
    <phoneticPr fontId="1" type="noConversion"/>
  </si>
  <si>
    <r>
      <rPr>
        <sz val="10"/>
        <rFont val="仿宋_GB2312"/>
        <family val="3"/>
        <charset val="134"/>
      </rPr>
      <t>年增长比率</t>
    </r>
    <r>
      <rPr>
        <sz val="10"/>
        <rFont val="Arial"/>
        <family val="2"/>
      </rPr>
      <t>(g)</t>
    </r>
    <phoneticPr fontId="1" type="noConversion"/>
  </si>
  <si>
    <r>
      <rPr>
        <b/>
        <sz val="10"/>
        <rFont val="仿宋_GB2312"/>
        <family val="3"/>
        <charset val="134"/>
      </rPr>
      <t>单价</t>
    </r>
    <r>
      <rPr>
        <b/>
        <sz val="10"/>
        <rFont val="Arial"/>
        <family val="2"/>
      </rPr>
      <t>(</t>
    </r>
    <r>
      <rPr>
        <b/>
        <sz val="10"/>
        <rFont val="仿宋_GB2312"/>
        <family val="3"/>
        <charset val="134"/>
      </rPr>
      <t>元</t>
    </r>
    <r>
      <rPr>
        <b/>
        <sz val="10"/>
        <rFont val="Arial"/>
        <family val="2"/>
      </rPr>
      <t>/</t>
    </r>
    <r>
      <rPr>
        <b/>
        <sz val="10"/>
        <rFont val="仿宋_GB2312"/>
        <family val="3"/>
        <charset val="134"/>
      </rPr>
      <t>平方米</t>
    </r>
    <r>
      <rPr>
        <b/>
        <sz val="10"/>
        <rFont val="Arial"/>
        <family val="2"/>
      </rPr>
      <t>)</t>
    </r>
    <phoneticPr fontId="1" type="noConversion"/>
  </si>
  <si>
    <r>
      <rPr>
        <sz val="10"/>
        <rFont val="仿宋_GB2312"/>
        <family val="3"/>
        <charset val="134"/>
      </rPr>
      <t>收益价值</t>
    </r>
    <r>
      <rPr>
        <sz val="10"/>
        <rFont val="Arial"/>
        <family val="2"/>
      </rPr>
      <t>÷</t>
    </r>
    <r>
      <rPr>
        <sz val="10"/>
        <rFont val="仿宋_GB2312"/>
        <family val="3"/>
        <charset val="134"/>
      </rPr>
      <t>建筑面积</t>
    </r>
    <phoneticPr fontId="1" type="noConversion"/>
  </si>
  <si>
    <r>
      <rPr>
        <sz val="10"/>
        <rFont val="仿宋_GB2312"/>
        <family val="3"/>
        <charset val="134"/>
      </rPr>
      <t>建筑面积（㎡）</t>
    </r>
    <phoneticPr fontId="1" type="noConversion"/>
  </si>
  <si>
    <t>已部分缴纳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</si>
</sst>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 numFmtId="196" formatCode="0.0"/>
    <numFmt numFmtId="198" formatCode="0.0000"/>
  </numFmts>
  <fonts count="306">
    <font>
      <sz val="11"/>
      <color theme="1"/>
      <name val="宋体"/>
      <family val="3"/>
      <charset val="134"/>
      <scheme val="minor"/>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charset val="134"/>
    </font>
    <font>
      <sz val="12"/>
      <color indexed="8"/>
      <name val="楷体_GB2312"/>
      <charset val="134"/>
    </font>
    <font>
      <b/>
      <sz val="11"/>
      <color indexed="8"/>
      <name val="楷体_GB2312"/>
      <charset val="134"/>
    </font>
    <font>
      <sz val="11"/>
      <name val="楷体_GB2312"/>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charset val="134"/>
    </font>
    <font>
      <sz val="14"/>
      <color indexed="81"/>
      <name val="楷体_GB2312"/>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charset val="134"/>
    </font>
    <font>
      <b/>
      <sz val="11"/>
      <color indexed="8"/>
      <name val="宋体"/>
      <family val="3"/>
      <charset val="134"/>
    </font>
    <font>
      <b/>
      <sz val="10"/>
      <color indexed="8"/>
      <name val="宋体"/>
      <family val="3"/>
      <charset val="134"/>
    </font>
    <font>
      <b/>
      <sz val="11"/>
      <name val="楷体_GB2312"/>
      <charset val="134"/>
    </font>
    <font>
      <b/>
      <sz val="10"/>
      <name val="楷体_GB2312"/>
      <charset val="134"/>
    </font>
    <font>
      <sz val="9"/>
      <name val="宋体"/>
      <family val="3"/>
      <charset val="134"/>
    </font>
    <font>
      <sz val="12"/>
      <color indexed="81"/>
      <name val="楷体_GB2312"/>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indexed="10"/>
      <name val="楷体_GB2312"/>
      <charset val="134"/>
    </font>
    <font>
      <sz val="11"/>
      <color indexed="10"/>
      <name val="宋体"/>
      <family val="3"/>
      <charset val="134"/>
    </font>
    <font>
      <sz val="10"/>
      <color indexed="81"/>
      <name val="宋体"/>
      <family val="3"/>
      <charset val="134"/>
    </font>
    <font>
      <sz val="9"/>
      <color indexed="8"/>
      <name val="宋体"/>
      <family val="3"/>
      <charset val="134"/>
    </font>
    <font>
      <sz val="10"/>
      <color indexed="10"/>
      <name val="宋体"/>
      <family val="3"/>
      <charset val="134"/>
    </font>
    <font>
      <b/>
      <sz val="16"/>
      <name val="宋体"/>
      <family val="3"/>
      <charset val="134"/>
    </font>
    <font>
      <b/>
      <sz val="12"/>
      <name val="楷体_GB2312"/>
      <charset val="134"/>
    </font>
    <font>
      <b/>
      <sz val="12"/>
      <color indexed="10"/>
      <name val="宋体"/>
      <family val="3"/>
      <charset val="134"/>
    </font>
    <font>
      <vertAlign val="superscript"/>
      <sz val="12"/>
      <color indexed="8"/>
      <name val="楷体_GB2312"/>
      <charset val="134"/>
    </font>
    <font>
      <vertAlign val="subscript"/>
      <sz val="12"/>
      <color indexed="8"/>
      <name val="Arial"/>
      <family val="2"/>
    </font>
    <font>
      <vertAlign val="subscript"/>
      <sz val="14"/>
      <color indexed="8"/>
      <name val="Arial"/>
      <family val="2"/>
    </font>
    <font>
      <vertAlign val="superscript"/>
      <sz val="14"/>
      <color indexed="8"/>
      <name val="Arial"/>
      <family val="2"/>
    </font>
    <font>
      <b/>
      <sz val="10"/>
      <name val="宋体"/>
      <family val="3"/>
      <charset val="134"/>
    </font>
    <font>
      <i/>
      <sz val="10"/>
      <name val="宋体"/>
      <family val="3"/>
      <charset val="134"/>
    </font>
    <font>
      <b/>
      <sz val="10"/>
      <color indexed="10"/>
      <name val="宋体"/>
      <family val="3"/>
      <charset val="134"/>
    </font>
    <font>
      <b/>
      <sz val="10"/>
      <color indexed="8"/>
      <name val="楷体_GB2312"/>
      <charset val="134"/>
    </font>
    <font>
      <i/>
      <sz val="10"/>
      <color indexed="8"/>
      <name val="宋体"/>
      <family val="3"/>
      <charset val="134"/>
    </font>
    <font>
      <b/>
      <sz val="12"/>
      <color indexed="8"/>
      <name val="宋体"/>
      <family val="3"/>
      <charset val="134"/>
    </font>
    <font>
      <sz val="9"/>
      <name val="宋体"/>
      <family val="3"/>
      <charset val="134"/>
    </font>
    <font>
      <b/>
      <sz val="12"/>
      <name val="宋体"/>
      <family val="3"/>
      <charset val="134"/>
    </font>
    <font>
      <b/>
      <i/>
      <sz val="10"/>
      <color indexed="10"/>
      <name val="宋体"/>
      <family val="3"/>
      <charset val="134"/>
    </font>
    <font>
      <i/>
      <sz val="10.5"/>
      <color indexed="53"/>
      <name val="仿宋_GB2312"/>
      <family val="3"/>
      <charset val="134"/>
    </font>
    <font>
      <sz val="9"/>
      <name val="楷体_GB2312"/>
      <charset val="134"/>
    </font>
    <font>
      <sz val="10"/>
      <color indexed="23"/>
      <name val="宋体"/>
      <family val="3"/>
      <charset val="134"/>
    </font>
    <font>
      <sz val="9"/>
      <name val="宋体"/>
      <family val="3"/>
      <charset val="134"/>
    </font>
    <font>
      <i/>
      <sz val="12"/>
      <color indexed="62"/>
      <name val="仿宋_GB2312"/>
      <family val="3"/>
      <charset val="134"/>
    </font>
    <font>
      <b/>
      <i/>
      <sz val="12"/>
      <color indexed="53"/>
      <name val="Arial"/>
      <family val="2"/>
    </font>
    <font>
      <b/>
      <i/>
      <sz val="12"/>
      <color indexed="53"/>
      <name val="宋体"/>
      <family val="3"/>
      <charset val="134"/>
    </font>
    <font>
      <b/>
      <i/>
      <sz val="12"/>
      <color indexed="62"/>
      <name val="Arial"/>
      <family val="2"/>
    </font>
    <font>
      <b/>
      <i/>
      <sz val="12"/>
      <color indexed="62"/>
      <name val="宋体"/>
      <family val="3"/>
      <charset val="134"/>
    </font>
    <font>
      <i/>
      <sz val="10.5"/>
      <color indexed="62"/>
      <name val="仿宋_GB2312"/>
      <family val="3"/>
      <charset val="134"/>
    </font>
    <font>
      <b/>
      <sz val="11"/>
      <name val="宋体"/>
      <family val="3"/>
      <charset val="134"/>
    </font>
    <font>
      <sz val="16"/>
      <name val="宋体"/>
      <family val="3"/>
      <charset val="134"/>
    </font>
    <font>
      <b/>
      <sz val="16"/>
      <name val="΢ȭхڬˎ̥"/>
      <family val="3"/>
      <charset val="134"/>
    </font>
    <font>
      <b/>
      <sz val="18"/>
      <color indexed="10"/>
      <name val="΢ȭхڬˎ̥"/>
      <family val="3"/>
      <charset val="134"/>
    </font>
    <font>
      <sz val="13"/>
      <name val="宋体"/>
      <family val="3"/>
      <charset val="134"/>
    </font>
    <font>
      <sz val="11"/>
      <color indexed="10"/>
      <name val="楷体_GB2312"/>
      <charset val="134"/>
    </font>
    <font>
      <sz val="11"/>
      <color indexed="53"/>
      <name val="仿宋_GB2312"/>
      <family val="3"/>
      <charset val="134"/>
    </font>
    <font>
      <sz val="10"/>
      <color indexed="53"/>
      <name val="楷体_GB2312"/>
      <charset val="134"/>
    </font>
    <font>
      <b/>
      <sz val="11"/>
      <color indexed="53"/>
      <name val="仿宋_GB2312"/>
      <family val="3"/>
      <charset val="134"/>
    </font>
    <font>
      <b/>
      <sz val="8"/>
      <color indexed="81"/>
      <name val="宋体"/>
      <family val="3"/>
      <charset val="134"/>
    </font>
    <font>
      <vertAlign val="superscript"/>
      <sz val="10"/>
      <color indexed="8"/>
      <name val="Arial"/>
      <family val="2"/>
    </font>
    <font>
      <sz val="10"/>
      <color indexed="10"/>
      <name val="楷体_GB2312"/>
      <charset val="134"/>
    </font>
    <font>
      <sz val="11"/>
      <color theme="1"/>
      <name val="宋体"/>
      <family val="3"/>
      <charset val="134"/>
      <scheme val="minor"/>
    </font>
    <font>
      <sz val="12"/>
      <color theme="1"/>
      <name val="楷体_GB2312"/>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charset val="134"/>
    </font>
    <font>
      <sz val="11"/>
      <color theme="1"/>
      <name val="仿宋_GB2312"/>
      <family val="3"/>
      <charset val="134"/>
    </font>
    <font>
      <sz val="12"/>
      <color rgb="FFFF0000"/>
      <name val="楷体_GB2312"/>
      <charset val="134"/>
    </font>
    <font>
      <sz val="10"/>
      <color rgb="FF000000"/>
      <name val="仿宋_GB2312"/>
      <family val="3"/>
      <charset val="134"/>
    </font>
    <font>
      <sz val="10"/>
      <color theme="1"/>
      <name val="楷体_GB2312"/>
      <charset val="134"/>
    </font>
    <font>
      <sz val="10"/>
      <color theme="1"/>
      <name val="宋体"/>
      <family val="3"/>
      <charset val="134"/>
      <scheme val="minor"/>
    </font>
    <font>
      <b/>
      <sz val="11"/>
      <color theme="1"/>
      <name val="宋体"/>
      <family val="3"/>
      <charset val="134"/>
      <scheme val="minor"/>
    </font>
    <font>
      <sz val="10"/>
      <color theme="1"/>
      <name val="仿宋_GB2312"/>
      <family val="3"/>
      <charset val="134"/>
    </font>
    <font>
      <b/>
      <sz val="10"/>
      <color theme="1"/>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1"/>
      <color rgb="FFFF0000"/>
      <name val="仿宋_GB2312"/>
      <family val="3"/>
      <charset val="134"/>
    </font>
    <font>
      <sz val="10"/>
      <color theme="1"/>
      <name val="宋体"/>
      <family val="3"/>
      <charset val="134"/>
    </font>
    <font>
      <sz val="11"/>
      <color rgb="FFFF0000"/>
      <name val="楷体_GB2312"/>
      <charset val="134"/>
    </font>
    <font>
      <sz val="11"/>
      <color rgb="FFFF0000"/>
      <name val="宋体"/>
      <family val="3"/>
      <charset val="134"/>
    </font>
    <font>
      <b/>
      <sz val="11"/>
      <color rgb="FFFF0000"/>
      <name val="宋体"/>
      <family val="3"/>
      <charset val="134"/>
    </font>
    <font>
      <sz val="10"/>
      <color rgb="FFFF0000"/>
      <name val="宋体"/>
      <family val="3"/>
      <charset val="134"/>
    </font>
    <font>
      <sz val="9"/>
      <color rgb="FFFF0000"/>
      <name val="宋体"/>
      <family val="3"/>
      <charset val="134"/>
    </font>
    <font>
      <b/>
      <sz val="12"/>
      <color rgb="FFFF0000"/>
      <name val="楷体_GB2312"/>
      <charset val="134"/>
    </font>
    <font>
      <b/>
      <sz val="12"/>
      <color rgb="FFFF0000"/>
      <name val="宋体"/>
      <family val="3"/>
      <charset val="134"/>
    </font>
    <font>
      <sz val="12"/>
      <color rgb="FF000000"/>
      <name val="楷体_GB2312"/>
      <charset val="134"/>
    </font>
    <font>
      <b/>
      <sz val="11"/>
      <color rgb="FFFF0000"/>
      <name val="宋体"/>
      <family val="3"/>
      <charset val="134"/>
      <scheme val="minor"/>
    </font>
    <font>
      <b/>
      <sz val="11"/>
      <color rgb="FFFF0000"/>
      <name val="Arial"/>
      <family val="2"/>
    </font>
    <font>
      <b/>
      <sz val="11"/>
      <color rgb="FFFF0000"/>
      <name val="楷体_GB2312"/>
      <charset val="134"/>
    </font>
    <font>
      <b/>
      <sz val="10"/>
      <color rgb="FFFF0000"/>
      <name val="宋体"/>
      <family val="3"/>
      <charset val="134"/>
    </font>
    <font>
      <b/>
      <sz val="10"/>
      <color theme="1"/>
      <name val="宋体"/>
      <family val="3"/>
      <charset val="134"/>
    </font>
    <font>
      <sz val="14"/>
      <color theme="9" tint="-0.249977111117893"/>
      <name val="仿宋_GB2312"/>
      <family val="3"/>
      <charset val="134"/>
    </font>
    <font>
      <b/>
      <sz val="16"/>
      <color theme="3" tint="0.39997558519241921"/>
      <name val="宋体"/>
      <family val="3"/>
      <charset val="134"/>
    </font>
    <font>
      <b/>
      <sz val="12"/>
      <color theme="3" tint="0.39997558519241921"/>
      <name val="宋体"/>
      <family val="3"/>
      <charset val="134"/>
    </font>
    <font>
      <b/>
      <i/>
      <u/>
      <sz val="11"/>
      <color rgb="FFFF0000"/>
      <name val="宋体"/>
      <family val="3"/>
      <charset val="134"/>
      <scheme val="minor"/>
    </font>
    <font>
      <sz val="11"/>
      <color rgb="FF666666"/>
      <name val="微软雅黑"/>
      <family val="2"/>
      <charset val="134"/>
    </font>
    <font>
      <sz val="10"/>
      <color rgb="FF000000"/>
      <name val="Arial"/>
      <family val="2"/>
    </font>
    <font>
      <sz val="10"/>
      <color rgb="FF000000"/>
      <name val="宋体"/>
      <family val="3"/>
      <charset val="134"/>
    </font>
    <font>
      <sz val="10"/>
      <color theme="9" tint="-0.249977111117893"/>
      <name val="Arial"/>
      <family val="2"/>
    </font>
    <font>
      <sz val="10"/>
      <color theme="9" tint="-0.249977111117893"/>
      <name val="宋体"/>
      <family val="3"/>
      <charset val="134"/>
      <scheme val="minor"/>
    </font>
    <font>
      <b/>
      <sz val="11"/>
      <color theme="0" tint="-0.499984740745262"/>
      <name val="Arial"/>
      <family val="2"/>
    </font>
    <font>
      <sz val="10"/>
      <color rgb="FF707070"/>
      <name val="Arial"/>
      <family val="2"/>
    </font>
    <font>
      <b/>
      <sz val="10"/>
      <color theme="0"/>
      <name val="Arial"/>
      <family val="2"/>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1"/>
      <color theme="9" tint="-0.249977111117893"/>
      <name val="Arial"/>
      <family val="2"/>
    </font>
    <font>
      <b/>
      <sz val="16"/>
      <color rgb="FFFF0000"/>
      <name val="宋体"/>
      <family val="3"/>
      <charset val="134"/>
      <scheme val="minor"/>
    </font>
    <font>
      <b/>
      <sz val="10"/>
      <color rgb="FFFF0000"/>
      <name val="Arial"/>
      <family val="2"/>
    </font>
    <font>
      <sz val="10.5"/>
      <color theme="9" tint="-0.249977111117893"/>
      <name val="仿宋_GB2312"/>
      <family val="3"/>
      <charset val="134"/>
    </font>
    <font>
      <b/>
      <sz val="10.5"/>
      <color rgb="FFE36C0A"/>
      <name val="仿宋_GB2312"/>
      <family val="3"/>
      <charset val="134"/>
    </font>
    <font>
      <b/>
      <sz val="9"/>
      <color theme="1"/>
      <name val="Arial"/>
      <family val="2"/>
    </font>
    <font>
      <b/>
      <sz val="10"/>
      <color rgb="FFFF0000"/>
      <name val="仿宋_GB2312"/>
      <family val="3"/>
      <charset val="134"/>
    </font>
    <font>
      <b/>
      <sz val="10"/>
      <color theme="1"/>
      <name val="楷体_GB2312"/>
      <charset val="134"/>
    </font>
    <font>
      <b/>
      <sz val="12"/>
      <color theme="1"/>
      <name val="宋体"/>
      <family val="3"/>
      <charset val="134"/>
    </font>
    <font>
      <sz val="9"/>
      <name val="宋体"/>
      <family val="3"/>
      <charset val="134"/>
      <scheme val="minor"/>
    </font>
    <font>
      <b/>
      <sz val="12"/>
      <name val="华文宋体"/>
      <family val="3"/>
      <charset val="134"/>
    </font>
    <font>
      <sz val="11"/>
      <color theme="1"/>
      <name val="宋体"/>
      <family val="2"/>
      <charset val="134"/>
      <scheme val="minor"/>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indexed="8"/>
      <name val="等线"/>
      <family val="3"/>
      <charset val="134"/>
    </font>
    <font>
      <sz val="10"/>
      <color indexed="8"/>
      <name val="Times New Roman"/>
      <family val="1"/>
    </font>
    <font>
      <sz val="9"/>
      <name val="等线"/>
      <family val="3"/>
      <charset val="134"/>
    </font>
    <font>
      <b/>
      <sz val="8"/>
      <color rgb="FFFF0000"/>
      <name val="Arial"/>
      <family val="2"/>
    </font>
    <font>
      <b/>
      <sz val="8"/>
      <color rgb="FFFFFFFF"/>
      <name val="仿宋"/>
      <family val="3"/>
      <charset val="134"/>
    </font>
    <font>
      <b/>
      <sz val="8"/>
      <color rgb="FFFFFFFF"/>
      <name val="Arial"/>
      <family val="2"/>
    </font>
    <font>
      <b/>
      <sz val="8"/>
      <color rgb="FFFF0000"/>
      <name val="仿宋"/>
      <family val="3"/>
      <charset val="134"/>
    </font>
    <font>
      <b/>
      <sz val="8"/>
      <color rgb="FF404040"/>
      <name val="仿宋"/>
      <family val="3"/>
      <charset val="134"/>
    </font>
    <font>
      <sz val="9"/>
      <color rgb="FF000000"/>
      <name val="宋体"/>
      <family val="3"/>
      <charset val="134"/>
    </font>
    <font>
      <sz val="10"/>
      <color rgb="FFFF0000"/>
      <name val="宋体"/>
      <family val="2"/>
      <charset val="134"/>
      <scheme val="minor"/>
    </font>
    <font>
      <sz val="11"/>
      <color theme="9" tint="-0.249977111117893"/>
      <name val="宋体"/>
      <family val="3"/>
      <charset val="134"/>
    </font>
    <font>
      <b/>
      <i/>
      <sz val="10"/>
      <name val="宋体"/>
      <family val="3"/>
      <charset val="134"/>
    </font>
    <font>
      <vertAlign val="subscript"/>
      <sz val="10"/>
      <name val="仿宋_GB2312"/>
      <family val="3"/>
      <charset val="134"/>
    </font>
    <font>
      <sz val="10"/>
      <color rgb="FF404040"/>
      <name val="Arial"/>
      <family val="2"/>
    </font>
    <font>
      <sz val="10"/>
      <color rgb="FF404040"/>
      <name val="仿宋"/>
      <family val="3"/>
      <charset val="134"/>
    </font>
    <font>
      <b/>
      <sz val="10"/>
      <color rgb="FF404040"/>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9" tint="-0.249977111117893"/>
        <bgColor indexed="64"/>
      </patternFill>
    </fill>
    <fill>
      <patternFill patternType="solid">
        <fgColor rgb="FFFFFFFF"/>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rgb="FF4EF862"/>
        <bgColor indexed="64"/>
      </patternFill>
    </fill>
    <fill>
      <patternFill patternType="solid">
        <fgColor rgb="FF50F650"/>
        <bgColor indexed="64"/>
      </patternFill>
    </fill>
    <fill>
      <patternFill patternType="solid">
        <fgColor rgb="FF92D050"/>
        <bgColor indexed="64"/>
      </patternFill>
    </fill>
    <fill>
      <patternFill patternType="solid">
        <fgColor rgb="FFF2F2F2"/>
        <bgColor indexed="64"/>
      </patternFill>
    </fill>
    <fill>
      <patternFill patternType="solid">
        <fgColor rgb="FF848587"/>
        <bgColor indexed="64"/>
      </patternFill>
    </fill>
    <fill>
      <patternFill patternType="solid">
        <fgColor theme="5" tint="0.59999389629810485"/>
        <bgColor indexed="64"/>
      </patternFill>
    </fill>
  </fills>
  <borders count="18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right/>
      <top/>
      <bottom style="double">
        <color indexed="64"/>
      </bottom>
      <diagonal/>
    </border>
    <border>
      <left/>
      <right/>
      <top/>
      <bottom style="mediumDashed">
        <color indexed="64"/>
      </bottom>
      <diagonal/>
    </border>
    <border>
      <left style="medium">
        <color indexed="64"/>
      </left>
      <right/>
      <top style="mediumDashed">
        <color indexed="64"/>
      </top>
      <bottom/>
      <diagonal/>
    </border>
    <border>
      <left/>
      <right/>
      <top/>
      <bottom style="slantDashDot">
        <color indexed="64"/>
      </bottom>
      <diagonal/>
    </border>
    <border>
      <left style="slantDashDot">
        <color indexed="64"/>
      </left>
      <right/>
      <top/>
      <bottom style="slantDashDot">
        <color indexed="64"/>
      </bottom>
      <diagonal/>
    </border>
    <border>
      <left style="slantDashDot">
        <color indexed="64"/>
      </left>
      <right/>
      <top/>
      <bottom/>
      <diagonal/>
    </border>
    <border>
      <left style="slantDashDot">
        <color indexed="64"/>
      </left>
      <right/>
      <top/>
      <bottom style="thin">
        <color indexed="64"/>
      </bottom>
      <diagonal/>
    </border>
    <border>
      <left style="slantDashDot">
        <color indexed="64"/>
      </left>
      <right/>
      <top style="thin">
        <color indexed="64"/>
      </top>
      <bottom/>
      <diagonal/>
    </border>
    <border>
      <left style="slantDashDot">
        <color indexed="64"/>
      </left>
      <right/>
      <top/>
      <bottom style="medium">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top style="thin">
        <color indexed="64"/>
      </top>
      <bottom style="thin">
        <color indexed="64"/>
      </bottom>
      <diagonal/>
    </border>
    <border>
      <left style="thin">
        <color indexed="64"/>
      </left>
      <right/>
      <top/>
      <bottom style="mediumDashed">
        <color indexed="64"/>
      </bottom>
      <diagonal/>
    </border>
    <border>
      <left/>
      <right style="medium">
        <color indexed="64"/>
      </right>
      <top/>
      <bottom style="double">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thin">
        <color indexed="64"/>
      </left>
      <right/>
      <top/>
      <bottom style="double">
        <color indexed="64"/>
      </bottom>
      <diagonal/>
    </border>
    <border>
      <left style="dotted">
        <color indexed="64"/>
      </left>
      <right/>
      <top style="dotted">
        <color indexed="64"/>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indexed="64"/>
      </left>
      <right style="thin">
        <color rgb="FFDFE8ED"/>
      </right>
      <top style="medium">
        <color rgb="FFDFE8ED"/>
      </top>
      <bottom style="thin">
        <color rgb="FFDFE8ED"/>
      </bottom>
      <diagonal/>
    </border>
    <border>
      <left style="slantDashDot">
        <color indexed="64"/>
      </left>
      <right style="thin">
        <color rgb="FFDFE8ED"/>
      </right>
      <top style="thin">
        <color rgb="FFDFE8ED"/>
      </top>
      <bottom style="thin">
        <color rgb="FFDFE8ED"/>
      </bottom>
      <diagonal/>
    </border>
    <border>
      <left style="slantDashDot">
        <color indexed="64"/>
      </left>
      <right style="thin">
        <color rgb="FFDFE8ED"/>
      </right>
      <top style="thin">
        <color rgb="FFDFE8ED"/>
      </top>
      <bottom style="medium">
        <color rgb="FFDFE8ED"/>
      </bottom>
      <diagonal/>
    </border>
    <border>
      <left/>
      <right/>
      <top/>
      <bottom style="double">
        <color rgb="FFFF0000"/>
      </bottom>
      <diagonal/>
    </border>
    <border>
      <left style="slantDashDot">
        <color indexed="64"/>
      </left>
      <right style="thin">
        <color rgb="FFDFE8ED"/>
      </right>
      <top style="thin">
        <color rgb="FFDFE8ED"/>
      </top>
      <bottom/>
      <diagonal/>
    </border>
    <border>
      <left style="slantDashDot">
        <color indexed="64"/>
      </left>
      <right style="thin">
        <color rgb="FFDFE8ED"/>
      </right>
      <top/>
      <bottom/>
      <diagonal/>
    </border>
    <border>
      <left style="slantDashDot">
        <color indexed="64"/>
      </left>
      <right style="thin">
        <color rgb="FFDFE8ED"/>
      </right>
      <top/>
      <bottom style="thin">
        <color rgb="FFDFE8ED"/>
      </bottom>
      <diagonal/>
    </border>
    <border>
      <left style="slantDashDot">
        <color indexed="64"/>
      </left>
      <right style="thin">
        <color rgb="FFDFE8ED"/>
      </right>
      <top style="medium">
        <color rgb="FFDFE8ED"/>
      </top>
      <bottom/>
      <diagonal/>
    </border>
    <border>
      <left style="slantDashDot">
        <color indexed="64"/>
      </left>
      <right style="thin">
        <color rgb="FFDFE8ED"/>
      </right>
      <top/>
      <bottom style="medium">
        <color rgb="FFDFE8ED"/>
      </bottom>
      <diagonal/>
    </border>
    <border>
      <left style="thick">
        <color rgb="FF848587"/>
      </left>
      <right style="dotted">
        <color rgb="FF848587"/>
      </right>
      <top style="thick">
        <color rgb="FF848587"/>
      </top>
      <bottom style="dotted">
        <color rgb="FF848587"/>
      </bottom>
      <diagonal/>
    </border>
    <border>
      <left style="dotted">
        <color rgb="FF848587"/>
      </left>
      <right style="dotted">
        <color rgb="FF848587"/>
      </right>
      <top style="thick">
        <color rgb="FF848587"/>
      </top>
      <bottom style="dotted">
        <color rgb="FF848587"/>
      </bottom>
      <diagonal/>
    </border>
    <border>
      <left style="dotted">
        <color rgb="FF848587"/>
      </left>
      <right style="thick">
        <color rgb="FF848587"/>
      </right>
      <top style="thick">
        <color rgb="FF848587"/>
      </top>
      <bottom style="dotted">
        <color rgb="FF848587"/>
      </bottom>
      <diagonal/>
    </border>
    <border>
      <left style="thick">
        <color rgb="FF848587"/>
      </left>
      <right style="dotted">
        <color rgb="FF848587"/>
      </right>
      <top style="dotted">
        <color rgb="FF848587"/>
      </top>
      <bottom style="dotted">
        <color rgb="FF848587"/>
      </bottom>
      <diagonal/>
    </border>
    <border>
      <left style="dotted">
        <color rgb="FF848587"/>
      </left>
      <right style="dotted">
        <color rgb="FF848587"/>
      </right>
      <top style="dotted">
        <color rgb="FF848587"/>
      </top>
      <bottom style="dotted">
        <color rgb="FF848587"/>
      </bottom>
      <diagonal/>
    </border>
    <border>
      <left style="dotted">
        <color rgb="FF848587"/>
      </left>
      <right style="thick">
        <color rgb="FF848587"/>
      </right>
      <top style="dotted">
        <color rgb="FF848587"/>
      </top>
      <bottom style="dotted">
        <color rgb="FF848587"/>
      </bottom>
      <diagonal/>
    </border>
    <border>
      <left style="thick">
        <color rgb="FF848587"/>
      </left>
      <right style="dotted">
        <color rgb="FFFFFFFF"/>
      </right>
      <top style="thick">
        <color rgb="FF848587"/>
      </top>
      <bottom/>
      <diagonal/>
    </border>
    <border>
      <left style="thick">
        <color rgb="FF848587"/>
      </left>
      <right style="dotted">
        <color rgb="FFFFFFFF"/>
      </right>
      <top/>
      <bottom style="thick">
        <color rgb="FF848587"/>
      </bottom>
      <diagonal/>
    </border>
    <border>
      <left style="dotted">
        <color rgb="FFFFFFFF"/>
      </left>
      <right style="dotted">
        <color rgb="FFFFFFFF"/>
      </right>
      <top style="thick">
        <color rgb="FF848587"/>
      </top>
      <bottom/>
      <diagonal/>
    </border>
    <border>
      <left style="dotted">
        <color rgb="FFFFFFFF"/>
      </left>
      <right style="dotted">
        <color rgb="FFFFFFFF"/>
      </right>
      <top/>
      <bottom style="thick">
        <color rgb="FF848587"/>
      </bottom>
      <diagonal/>
    </border>
    <border>
      <left style="dotted">
        <color rgb="FFFFFFFF"/>
      </left>
      <right style="thick">
        <color rgb="FF848587"/>
      </right>
      <top style="thick">
        <color rgb="FF848587"/>
      </top>
      <bottom/>
      <diagonal/>
    </border>
    <border>
      <left style="dotted">
        <color rgb="FFFFFFFF"/>
      </left>
      <right style="thick">
        <color rgb="FF848587"/>
      </right>
      <top/>
      <bottom style="thick">
        <color rgb="FF848587"/>
      </bottom>
      <diagonal/>
    </border>
    <border>
      <left style="thick">
        <color rgb="FF848587"/>
      </left>
      <right style="dotted">
        <color rgb="FF848587"/>
      </right>
      <top style="dotted">
        <color rgb="FF848587"/>
      </top>
      <bottom/>
      <diagonal/>
    </border>
    <border>
      <left style="thick">
        <color rgb="FF848587"/>
      </left>
      <right style="dotted">
        <color rgb="FF848587"/>
      </right>
      <top/>
      <bottom style="dotted">
        <color rgb="FF848587"/>
      </bottom>
      <diagonal/>
    </border>
    <border>
      <left style="dotted">
        <color rgb="FF848587"/>
      </left>
      <right style="dotted">
        <color rgb="FF848587"/>
      </right>
      <top style="dotted">
        <color rgb="FF848587"/>
      </top>
      <bottom/>
      <diagonal/>
    </border>
    <border>
      <left style="dotted">
        <color rgb="FF848587"/>
      </left>
      <right style="dotted">
        <color rgb="FF848587"/>
      </right>
      <top/>
      <bottom style="dotted">
        <color rgb="FF848587"/>
      </bottom>
      <diagonal/>
    </border>
    <border>
      <left style="dotted">
        <color rgb="FF848587"/>
      </left>
      <right/>
      <top style="dotted">
        <color rgb="FF848587"/>
      </top>
      <bottom/>
      <diagonal/>
    </border>
    <border>
      <left/>
      <right style="dotted">
        <color rgb="FF848587"/>
      </right>
      <top style="dotted">
        <color rgb="FF848587"/>
      </top>
      <bottom/>
      <diagonal/>
    </border>
    <border>
      <left style="dotted">
        <color rgb="FF848587"/>
      </left>
      <right/>
      <top/>
      <bottom style="dotted">
        <color rgb="FF848587"/>
      </bottom>
      <diagonal/>
    </border>
    <border>
      <left/>
      <right style="dotted">
        <color rgb="FF848587"/>
      </right>
      <top/>
      <bottom style="dotted">
        <color rgb="FF848587"/>
      </bottom>
      <diagonal/>
    </border>
    <border>
      <left/>
      <right style="thick">
        <color rgb="FF848587"/>
      </right>
      <top style="dotted">
        <color rgb="FF848587"/>
      </top>
      <bottom/>
      <diagonal/>
    </border>
    <border>
      <left/>
      <right style="thick">
        <color rgb="FF848587"/>
      </right>
      <top/>
      <bottom style="dotted">
        <color rgb="FF848587"/>
      </bottom>
      <diagonal/>
    </border>
    <border>
      <left style="dotted">
        <color rgb="FF848587"/>
      </left>
      <right/>
      <top style="dotted">
        <color rgb="FF848587"/>
      </top>
      <bottom style="dotted">
        <color rgb="FF848587"/>
      </bottom>
      <diagonal/>
    </border>
    <border>
      <left/>
      <right style="dotted">
        <color rgb="FF848587"/>
      </right>
      <top style="dotted">
        <color rgb="FF848587"/>
      </top>
      <bottom style="dotted">
        <color rgb="FF848587"/>
      </bottom>
      <diagonal/>
    </border>
    <border>
      <left/>
      <right style="thick">
        <color rgb="FF848587"/>
      </right>
      <top style="dotted">
        <color rgb="FF848587"/>
      </top>
      <bottom style="dotted">
        <color rgb="FF848587"/>
      </bottom>
      <diagonal/>
    </border>
  </borders>
  <cellStyleXfs count="19">
    <xf numFmtId="0" fontId="0" fillId="0" borderId="0">
      <alignment vertical="center"/>
    </xf>
    <xf numFmtId="9" fontId="30" fillId="0" borderId="0" applyFont="0" applyFill="0" applyBorder="0" applyAlignment="0" applyProtection="0">
      <alignment vertical="center"/>
    </xf>
    <xf numFmtId="0" fontId="186" fillId="0" borderId="0">
      <alignment vertical="center"/>
    </xf>
    <xf numFmtId="0" fontId="186" fillId="0" borderId="0">
      <alignment vertical="center"/>
    </xf>
    <xf numFmtId="0" fontId="186" fillId="0" borderId="0">
      <alignment vertical="center"/>
    </xf>
    <xf numFmtId="0" fontId="186" fillId="0" borderId="0">
      <alignment vertical="center"/>
    </xf>
    <xf numFmtId="0" fontId="186" fillId="0" borderId="0"/>
    <xf numFmtId="0" fontId="186" fillId="0" borderId="0">
      <alignment vertical="center"/>
    </xf>
    <xf numFmtId="0" fontId="30" fillId="0" borderId="0"/>
    <xf numFmtId="0" fontId="186" fillId="0" borderId="0">
      <alignment vertical="center"/>
    </xf>
    <xf numFmtId="0" fontId="186" fillId="0" borderId="0"/>
    <xf numFmtId="0" fontId="187" fillId="0" borderId="0">
      <alignment vertical="center"/>
    </xf>
    <xf numFmtId="0" fontId="187" fillId="0" borderId="0">
      <alignment vertical="center"/>
    </xf>
    <xf numFmtId="0" fontId="186" fillId="0" borderId="0">
      <alignment vertical="center"/>
    </xf>
    <xf numFmtId="0" fontId="187" fillId="0" borderId="0">
      <alignment vertical="center"/>
    </xf>
    <xf numFmtId="0" fontId="186" fillId="0" borderId="0"/>
    <xf numFmtId="0" fontId="79" fillId="0" borderId="0">
      <alignment vertical="center"/>
    </xf>
    <xf numFmtId="0" fontId="282" fillId="0" borderId="0">
      <alignment vertical="center"/>
    </xf>
    <xf numFmtId="0" fontId="79" fillId="0" borderId="0">
      <alignment vertical="center"/>
    </xf>
  </cellStyleXfs>
  <cellXfs count="3827">
    <xf numFmtId="0" fontId="0" fillId="0" borderId="0" xfId="0">
      <alignment vertical="center"/>
    </xf>
    <xf numFmtId="0" fontId="15" fillId="5" borderId="1" xfId="0" applyFont="1" applyFill="1" applyBorder="1" applyAlignment="1" applyProtection="1">
      <alignment horizontal="center" vertical="center" wrapText="1"/>
    </xf>
    <xf numFmtId="0" fontId="0" fillId="0" borderId="0" xfId="0" applyAlignment="1">
      <alignment vertical="center" wrapText="1"/>
    </xf>
    <xf numFmtId="0" fontId="187" fillId="0" borderId="2" xfId="0" applyFont="1" applyBorder="1" applyAlignment="1">
      <alignment vertical="center" wrapText="1"/>
    </xf>
    <xf numFmtId="0" fontId="187" fillId="0" borderId="2" xfId="0" applyFont="1" applyBorder="1" applyAlignment="1">
      <alignment horizontal="center" vertical="center" wrapText="1"/>
    </xf>
    <xf numFmtId="0" fontId="188" fillId="5" borderId="3" xfId="0" applyFont="1" applyFill="1" applyBorder="1" applyAlignment="1" applyProtection="1">
      <alignment horizontal="center" vertical="center" wrapText="1"/>
    </xf>
    <xf numFmtId="0" fontId="188" fillId="5" borderId="0" xfId="0" applyFont="1" applyFill="1" applyAlignment="1" applyProtection="1">
      <alignment horizontal="center" vertical="center" wrapText="1"/>
    </xf>
    <xf numFmtId="0" fontId="72" fillId="5" borderId="0" xfId="0" applyNumberFormat="1" applyFont="1" applyFill="1" applyBorder="1" applyAlignment="1" applyProtection="1">
      <alignment horizontal="center" vertical="center" wrapText="1"/>
    </xf>
    <xf numFmtId="0" fontId="188" fillId="0" borderId="2" xfId="0" applyFont="1" applyBorder="1" applyAlignment="1" applyProtection="1">
      <alignment horizontal="center" vertical="center"/>
      <protection locked="0"/>
    </xf>
    <xf numFmtId="0" fontId="188" fillId="5" borderId="0" xfId="0" applyFont="1" applyFill="1" applyAlignment="1" applyProtection="1">
      <alignment horizontal="center" vertical="center"/>
    </xf>
    <xf numFmtId="0" fontId="188" fillId="0" borderId="0" xfId="0" applyFont="1" applyAlignment="1" applyProtection="1">
      <alignment horizontal="center" vertical="center"/>
      <protection locked="0"/>
    </xf>
    <xf numFmtId="0" fontId="188" fillId="5" borderId="0" xfId="0" applyFont="1" applyFill="1" applyProtection="1">
      <alignment vertical="center"/>
    </xf>
    <xf numFmtId="0" fontId="74" fillId="0" borderId="2" xfId="0" applyFont="1" applyBorder="1" applyAlignment="1" applyProtection="1">
      <alignment horizontal="center" vertical="center" wrapText="1"/>
      <protection locked="0"/>
    </xf>
    <xf numFmtId="0" fontId="189" fillId="5" borderId="0" xfId="0" applyFont="1" applyFill="1" applyAlignment="1" applyProtection="1">
      <alignment horizontal="left" vertical="center"/>
    </xf>
    <xf numFmtId="0" fontId="69" fillId="5" borderId="0" xfId="0" applyFont="1" applyFill="1" applyAlignment="1" applyProtection="1">
      <alignment horizontal="center" vertical="center" wrapText="1"/>
    </xf>
    <xf numFmtId="0" fontId="69" fillId="0" borderId="0" xfId="0" applyFont="1" applyAlignment="1" applyProtection="1">
      <alignment horizontal="center" vertical="center" wrapText="1"/>
      <protection locked="0"/>
    </xf>
    <xf numFmtId="0" fontId="69" fillId="0" borderId="0" xfId="0" applyFont="1" applyFill="1" applyAlignment="1" applyProtection="1">
      <alignment horizontal="center" vertical="center" wrapText="1"/>
      <protection locked="0"/>
    </xf>
    <xf numFmtId="0" fontId="74" fillId="5" borderId="2" xfId="0" applyFont="1" applyFill="1" applyBorder="1" applyAlignment="1" applyProtection="1">
      <alignment horizontal="center" vertical="center" wrapText="1"/>
    </xf>
    <xf numFmtId="0" fontId="74" fillId="0" borderId="0" xfId="0" applyFont="1" applyAlignment="1" applyProtection="1">
      <alignment horizontal="center" vertical="center" wrapText="1"/>
      <protection locked="0"/>
    </xf>
    <xf numFmtId="0" fontId="190" fillId="5" borderId="0" xfId="0" applyFont="1" applyFill="1" applyAlignment="1" applyProtection="1">
      <alignment horizontal="left" vertical="center"/>
    </xf>
    <xf numFmtId="0" fontId="74" fillId="5" borderId="4" xfId="0" applyFont="1" applyFill="1" applyBorder="1" applyAlignment="1" applyProtection="1">
      <alignment horizontal="center" vertical="center" wrapText="1"/>
    </xf>
    <xf numFmtId="180" fontId="74" fillId="0" borderId="2" xfId="0" applyNumberFormat="1" applyFont="1" applyBorder="1" applyAlignment="1" applyProtection="1">
      <alignment horizontal="center" vertical="center" wrapText="1"/>
      <protection locked="0"/>
    </xf>
    <xf numFmtId="180" fontId="191" fillId="5" borderId="2" xfId="0" applyNumberFormat="1"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protection locked="0"/>
    </xf>
    <xf numFmtId="0" fontId="74" fillId="3" borderId="5" xfId="0" applyFont="1" applyFill="1" applyBorder="1" applyAlignment="1" applyProtection="1">
      <alignment horizontal="center" vertical="center" wrapText="1"/>
      <protection locked="0"/>
    </xf>
    <xf numFmtId="0" fontId="74" fillId="0" borderId="0" xfId="0" applyFont="1" applyFill="1" applyAlignment="1" applyProtection="1">
      <alignment horizontal="center" vertical="center" wrapText="1"/>
      <protection locked="0"/>
    </xf>
    <xf numFmtId="0" fontId="74" fillId="5" borderId="5" xfId="0" applyFont="1" applyFill="1" applyBorder="1" applyAlignment="1" applyProtection="1">
      <alignment horizontal="left" vertical="center"/>
    </xf>
    <xf numFmtId="177" fontId="74" fillId="5" borderId="2"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177" fontId="74" fillId="5" borderId="6" xfId="0" applyNumberFormat="1" applyFont="1" applyFill="1" applyBorder="1" applyAlignment="1" applyProtection="1">
      <alignment horizontal="center" vertical="center" wrapText="1"/>
    </xf>
    <xf numFmtId="177" fontId="74" fillId="5" borderId="7" xfId="0" applyNumberFormat="1" applyFont="1" applyFill="1" applyBorder="1" applyAlignment="1" applyProtection="1">
      <alignment horizontal="center" vertical="center" wrapText="1"/>
    </xf>
    <xf numFmtId="177" fontId="74" fillId="5" borderId="8" xfId="0" applyNumberFormat="1" applyFont="1" applyFill="1" applyBorder="1" applyAlignment="1" applyProtection="1">
      <alignment horizontal="center" vertical="center" wrapText="1"/>
    </xf>
    <xf numFmtId="177" fontId="74" fillId="5" borderId="9" xfId="0" applyNumberFormat="1" applyFont="1" applyFill="1" applyBorder="1" applyAlignment="1" applyProtection="1">
      <alignment horizontal="center" vertical="center" wrapText="1"/>
    </xf>
    <xf numFmtId="177" fontId="74" fillId="5" borderId="10" xfId="0" applyNumberFormat="1" applyFont="1" applyFill="1" applyBorder="1" applyAlignment="1" applyProtection="1">
      <alignment horizontal="center" vertical="center" wrapText="1"/>
    </xf>
    <xf numFmtId="177" fontId="74" fillId="5" borderId="5" xfId="0" applyNumberFormat="1" applyFont="1" applyFill="1" applyBorder="1" applyAlignment="1" applyProtection="1">
      <alignment horizontal="center" vertical="center" wrapText="1"/>
    </xf>
    <xf numFmtId="177" fontId="74" fillId="5" borderId="11" xfId="0" applyNumberFormat="1" applyFont="1" applyFill="1" applyBorder="1" applyAlignment="1" applyProtection="1">
      <alignment horizontal="center" vertical="center" wrapText="1"/>
    </xf>
    <xf numFmtId="177" fontId="74" fillId="5" borderId="12" xfId="0" applyNumberFormat="1" applyFont="1" applyFill="1" applyBorder="1" applyAlignment="1" applyProtection="1">
      <alignment horizontal="center" vertical="center" wrapText="1"/>
    </xf>
    <xf numFmtId="177" fontId="74" fillId="0" borderId="0" xfId="0" applyNumberFormat="1" applyFont="1" applyAlignment="1" applyProtection="1">
      <alignment horizontal="center" vertical="center" wrapText="1"/>
      <protection locked="0"/>
    </xf>
    <xf numFmtId="0" fontId="74" fillId="5" borderId="13" xfId="0" applyFont="1" applyFill="1" applyBorder="1" applyAlignment="1" applyProtection="1">
      <alignment horizontal="center" vertical="center" wrapText="1"/>
    </xf>
    <xf numFmtId="0" fontId="74" fillId="5" borderId="4" xfId="0" applyFont="1" applyFill="1" applyBorder="1" applyAlignment="1" applyProtection="1">
      <alignment horizontal="left" vertical="center"/>
    </xf>
    <xf numFmtId="0" fontId="74" fillId="5" borderId="14" xfId="0" applyFont="1" applyFill="1" applyBorder="1" applyAlignment="1" applyProtection="1">
      <alignment horizontal="center" vertical="center" wrapText="1"/>
    </xf>
    <xf numFmtId="0" fontId="74" fillId="5" borderId="10" xfId="0" applyFont="1" applyFill="1" applyBorder="1" applyAlignment="1" applyProtection="1">
      <alignment horizontal="center" vertical="center" wrapText="1"/>
    </xf>
    <xf numFmtId="0" fontId="74" fillId="5" borderId="0" xfId="0" applyFont="1" applyFill="1" applyBorder="1" applyAlignment="1" applyProtection="1">
      <alignment horizontal="center" vertical="center" wrapText="1"/>
    </xf>
    <xf numFmtId="0" fontId="74" fillId="5" borderId="14" xfId="0" applyFont="1" applyFill="1" applyBorder="1" applyAlignment="1" applyProtection="1">
      <alignment horizontal="center" vertical="center"/>
    </xf>
    <xf numFmtId="0" fontId="74" fillId="5" borderId="15" xfId="0" applyFont="1" applyFill="1" applyBorder="1" applyAlignment="1" applyProtection="1">
      <alignment horizontal="center" vertical="center" wrapText="1"/>
    </xf>
    <xf numFmtId="0" fontId="74" fillId="5" borderId="13" xfId="0" applyFont="1" applyFill="1" applyBorder="1" applyAlignment="1" applyProtection="1">
      <alignment horizontal="center" vertical="center"/>
    </xf>
    <xf numFmtId="0" fontId="74" fillId="5" borderId="4" xfId="0" applyFont="1" applyFill="1" applyBorder="1" applyAlignment="1" applyProtection="1">
      <alignment horizontal="center" vertical="center"/>
    </xf>
    <xf numFmtId="180" fontId="74" fillId="5" borderId="5" xfId="0" applyNumberFormat="1" applyFont="1" applyFill="1" applyBorder="1" applyAlignment="1" applyProtection="1">
      <alignment horizontal="left" vertical="center"/>
    </xf>
    <xf numFmtId="0" fontId="77" fillId="5" borderId="8" xfId="0" applyFont="1" applyFill="1" applyBorder="1" applyAlignment="1" applyProtection="1">
      <alignment horizontal="center" vertical="center"/>
    </xf>
    <xf numFmtId="180" fontId="74" fillId="5" borderId="8" xfId="0" applyNumberFormat="1" applyFont="1" applyFill="1" applyBorder="1" applyAlignment="1" applyProtection="1">
      <alignment horizontal="center" vertical="center"/>
    </xf>
    <xf numFmtId="180" fontId="74" fillId="5" borderId="9" xfId="0" applyNumberFormat="1" applyFont="1" applyFill="1" applyBorder="1" applyAlignment="1" applyProtection="1">
      <alignment horizontal="center" vertical="center"/>
    </xf>
    <xf numFmtId="0" fontId="74" fillId="5" borderId="8" xfId="0" applyFont="1" applyFill="1" applyBorder="1" applyAlignment="1" applyProtection="1">
      <alignment horizontal="left" vertical="center"/>
    </xf>
    <xf numFmtId="0" fontId="77" fillId="5" borderId="14"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3" xfId="0" applyFont="1" applyFill="1" applyBorder="1" applyAlignment="1" applyProtection="1">
      <alignment horizontal="center" vertical="center"/>
    </xf>
    <xf numFmtId="0" fontId="74" fillId="5" borderId="16" xfId="0" applyFont="1" applyFill="1" applyBorder="1" applyAlignment="1" applyProtection="1">
      <alignment horizontal="center" vertical="center"/>
    </xf>
    <xf numFmtId="0" fontId="74" fillId="0" borderId="0" xfId="0" applyFont="1" applyAlignment="1" applyProtection="1">
      <alignment horizontal="center" vertical="center"/>
      <protection locked="0"/>
    </xf>
    <xf numFmtId="180" fontId="74" fillId="5" borderId="0" xfId="0" applyNumberFormat="1" applyFont="1" applyFill="1" applyBorder="1" applyAlignment="1" applyProtection="1">
      <alignment horizontal="center" vertical="center"/>
    </xf>
    <xf numFmtId="0" fontId="74" fillId="2" borderId="17" xfId="0" applyFont="1" applyFill="1" applyBorder="1" applyAlignment="1" applyProtection="1">
      <alignment horizontal="left" vertical="center"/>
      <protection locked="0"/>
    </xf>
    <xf numFmtId="0" fontId="77" fillId="5" borderId="8"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74" fillId="5" borderId="18" xfId="0" applyFont="1" applyFill="1" applyBorder="1" applyAlignment="1" applyProtection="1">
      <alignment horizontal="center" vertical="center"/>
    </xf>
    <xf numFmtId="180" fontId="74" fillId="5" borderId="17" xfId="0" applyNumberFormat="1"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180" fontId="74" fillId="5" borderId="20" xfId="0" applyNumberFormat="1" applyFont="1" applyFill="1" applyBorder="1" applyAlignment="1" applyProtection="1">
      <alignment horizontal="center" vertical="center"/>
    </xf>
    <xf numFmtId="0" fontId="74" fillId="2" borderId="5" xfId="0" applyFont="1" applyFill="1" applyBorder="1" applyAlignment="1" applyProtection="1">
      <alignment horizontal="left" vertical="center"/>
      <protection locked="0"/>
    </xf>
    <xf numFmtId="180" fontId="74" fillId="5" borderId="18" xfId="0" applyNumberFormat="1" applyFont="1" applyFill="1" applyBorder="1" applyAlignment="1" applyProtection="1">
      <alignment horizontal="center" vertical="center"/>
    </xf>
    <xf numFmtId="0" fontId="74" fillId="5" borderId="20" xfId="0" applyFont="1" applyFill="1" applyBorder="1" applyAlignment="1" applyProtection="1">
      <alignment horizontal="center" vertical="center"/>
    </xf>
    <xf numFmtId="0" fontId="74" fillId="5" borderId="21" xfId="0" applyFont="1" applyFill="1" applyBorder="1" applyAlignment="1" applyProtection="1">
      <alignment horizontal="center" vertical="center"/>
    </xf>
    <xf numFmtId="0" fontId="74" fillId="2" borderId="8" xfId="0" applyFont="1" applyFill="1" applyBorder="1" applyAlignment="1" applyProtection="1">
      <alignment horizontal="left" vertical="center"/>
      <protection locked="0"/>
    </xf>
    <xf numFmtId="0" fontId="77" fillId="5" borderId="9" xfId="0" applyFont="1" applyFill="1" applyBorder="1" applyAlignment="1" applyProtection="1">
      <alignment horizontal="left" vertical="center"/>
    </xf>
    <xf numFmtId="0" fontId="74" fillId="5" borderId="17" xfId="0"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180" fontId="74" fillId="5" borderId="20" xfId="0" applyNumberFormat="1" applyFont="1" applyFill="1" applyBorder="1" applyAlignment="1" applyProtection="1">
      <alignment horizontal="center" vertical="center" wrapText="1"/>
    </xf>
    <xf numFmtId="180" fontId="74" fillId="5" borderId="21" xfId="0" applyNumberFormat="1" applyFont="1" applyFill="1" applyBorder="1" applyAlignment="1" applyProtection="1">
      <alignment horizontal="center" vertical="center" wrapText="1"/>
    </xf>
    <xf numFmtId="180" fontId="74" fillId="5" borderId="17" xfId="0" applyNumberFormat="1" applyFont="1" applyFill="1" applyBorder="1" applyAlignment="1" applyProtection="1">
      <alignment horizontal="center" vertical="center" wrapText="1"/>
    </xf>
    <xf numFmtId="0" fontId="74" fillId="5" borderId="3" xfId="0" applyFont="1" applyFill="1" applyBorder="1" applyAlignment="1" applyProtection="1">
      <alignment horizontal="center" vertical="center" wrapText="1"/>
    </xf>
    <xf numFmtId="0" fontId="74" fillId="5" borderId="18" xfId="0" applyFont="1" applyFill="1" applyBorder="1" applyAlignment="1" applyProtection="1">
      <alignment horizontal="center" vertical="center" wrapText="1"/>
    </xf>
    <xf numFmtId="180" fontId="74" fillId="5" borderId="2" xfId="0" applyNumberFormat="1" applyFont="1" applyFill="1" applyBorder="1" applyAlignment="1" applyProtection="1">
      <alignment horizontal="center" vertical="center"/>
    </xf>
    <xf numFmtId="0" fontId="74" fillId="2" borderId="21" xfId="0" applyFont="1" applyFill="1" applyBorder="1" applyAlignment="1" applyProtection="1">
      <alignment horizontal="center" vertical="center" wrapText="1"/>
      <protection locked="0"/>
    </xf>
    <xf numFmtId="177" fontId="74" fillId="0" borderId="21" xfId="0" applyNumberFormat="1" applyFont="1" applyFill="1" applyBorder="1" applyAlignment="1" applyProtection="1">
      <alignment horizontal="center" vertical="center" wrapText="1"/>
      <protection locked="0"/>
    </xf>
    <xf numFmtId="177" fontId="74" fillId="5" borderId="21" xfId="0" applyNumberFormat="1" applyFont="1" applyFill="1" applyBorder="1" applyAlignment="1" applyProtection="1">
      <alignment horizontal="center" vertical="center" wrapText="1"/>
    </xf>
    <xf numFmtId="177" fontId="74" fillId="0" borderId="2" xfId="0" applyNumberFormat="1" applyFont="1" applyBorder="1" applyAlignment="1" applyProtection="1">
      <alignment vertical="center" wrapText="1"/>
      <protection locked="0"/>
    </xf>
    <xf numFmtId="0" fontId="69" fillId="0" borderId="2" xfId="0" applyFont="1" applyBorder="1" applyAlignment="1" applyProtection="1">
      <alignment horizontal="center" vertical="center" wrapText="1"/>
      <protection locked="0"/>
    </xf>
    <xf numFmtId="0" fontId="69" fillId="0" borderId="21" xfId="0" applyFont="1" applyBorder="1" applyAlignment="1" applyProtection="1">
      <alignment horizontal="center" vertical="center" wrapText="1"/>
      <protection locked="0"/>
    </xf>
    <xf numFmtId="0" fontId="69" fillId="6" borderId="21" xfId="0" applyFont="1" applyFill="1" applyBorder="1" applyAlignment="1" applyProtection="1">
      <alignment horizontal="center" vertical="center" wrapText="1"/>
      <protection locked="0"/>
    </xf>
    <xf numFmtId="177" fontId="69" fillId="5" borderId="2" xfId="0" applyNumberFormat="1" applyFont="1" applyFill="1" applyBorder="1" applyAlignment="1" applyProtection="1">
      <alignment horizontal="center" vertical="center" wrapText="1"/>
    </xf>
    <xf numFmtId="177" fontId="69" fillId="0" borderId="21" xfId="0" applyNumberFormat="1" applyFont="1" applyFill="1" applyBorder="1" applyAlignment="1" applyProtection="1">
      <alignment horizontal="center" vertical="center" wrapText="1"/>
      <protection locked="0"/>
    </xf>
    <xf numFmtId="177" fontId="69" fillId="5" borderId="21" xfId="0" applyNumberFormat="1" applyFont="1" applyFill="1" applyBorder="1" applyAlignment="1" applyProtection="1">
      <alignment horizontal="center" vertical="center" wrapText="1"/>
    </xf>
    <xf numFmtId="177" fontId="69" fillId="5" borderId="10" xfId="0" applyNumberFormat="1" applyFont="1" applyFill="1" applyBorder="1" applyAlignment="1" applyProtection="1">
      <alignment horizontal="center" vertical="center" wrapText="1"/>
    </xf>
    <xf numFmtId="177" fontId="69" fillId="0" borderId="2" xfId="0" applyNumberFormat="1" applyFont="1" applyBorder="1" applyAlignment="1" applyProtection="1">
      <alignment vertical="center" wrapText="1"/>
      <protection locked="0"/>
    </xf>
    <xf numFmtId="177" fontId="69" fillId="0" borderId="2" xfId="0" applyNumberFormat="1" applyFont="1" applyBorder="1" applyAlignment="1" applyProtection="1">
      <alignment horizontal="center" vertical="center" wrapText="1"/>
      <protection locked="0"/>
    </xf>
    <xf numFmtId="177" fontId="69" fillId="0" borderId="21" xfId="0" applyNumberFormat="1" applyFont="1" applyBorder="1" applyAlignment="1" applyProtection="1">
      <alignment horizontal="center" vertical="center" wrapText="1"/>
      <protection locked="0"/>
    </xf>
    <xf numFmtId="0" fontId="69" fillId="0" borderId="17" xfId="0" applyFont="1" applyBorder="1" applyAlignment="1" applyProtection="1">
      <alignment horizontal="center" vertical="center" wrapText="1"/>
      <protection locked="0"/>
    </xf>
    <xf numFmtId="0" fontId="69" fillId="5" borderId="9" xfId="0" applyFont="1" applyFill="1" applyBorder="1" applyAlignment="1" applyProtection="1">
      <alignment horizontal="center" vertical="center" wrapText="1"/>
    </xf>
    <xf numFmtId="177" fontId="69" fillId="5" borderId="12" xfId="0" applyNumberFormat="1" applyFont="1" applyFill="1" applyBorder="1" applyAlignment="1" applyProtection="1">
      <alignment horizontal="center" vertical="center" wrapText="1"/>
    </xf>
    <xf numFmtId="177" fontId="69" fillId="0" borderId="2" xfId="0" applyNumberFormat="1" applyFont="1" applyFill="1" applyBorder="1" applyAlignment="1" applyProtection="1">
      <alignment horizontal="center" vertical="center" wrapText="1"/>
      <protection locked="0"/>
    </xf>
    <xf numFmtId="0" fontId="69" fillId="0" borderId="2" xfId="0" applyFont="1" applyBorder="1" applyAlignment="1" applyProtection="1">
      <alignment vertical="center" wrapText="1"/>
      <protection locked="0"/>
    </xf>
    <xf numFmtId="0" fontId="69" fillId="0" borderId="5"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177" fontId="69" fillId="0" borderId="0" xfId="0" applyNumberFormat="1" applyFont="1" applyFill="1" applyBorder="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0" borderId="0" xfId="0" applyFont="1" applyAlignment="1" applyProtection="1">
      <alignment horizontal="center" vertical="center"/>
      <protection locked="0"/>
    </xf>
    <xf numFmtId="0" fontId="189" fillId="5" borderId="0" xfId="0" applyFont="1" applyFill="1" applyProtection="1">
      <alignment vertical="center"/>
    </xf>
    <xf numFmtId="0" fontId="69" fillId="5" borderId="0" xfId="0" applyFont="1" applyFill="1" applyProtection="1">
      <alignment vertical="center"/>
    </xf>
    <xf numFmtId="177" fontId="81" fillId="5" borderId="2" xfId="3" applyNumberFormat="1" applyFont="1" applyFill="1" applyBorder="1" applyAlignment="1" applyProtection="1">
      <alignment horizontal="center" vertical="center"/>
    </xf>
    <xf numFmtId="0" fontId="73" fillId="5" borderId="10" xfId="0" applyFont="1" applyFill="1" applyBorder="1" applyAlignment="1" applyProtection="1">
      <alignment vertical="center"/>
    </xf>
    <xf numFmtId="0" fontId="73" fillId="5" borderId="6" xfId="0" applyFont="1" applyFill="1" applyBorder="1" applyAlignment="1" applyProtection="1">
      <alignment horizontal="center" vertical="center"/>
    </xf>
    <xf numFmtId="177" fontId="81" fillId="5" borderId="7" xfId="3" applyNumberFormat="1" applyFont="1" applyFill="1" applyBorder="1" applyAlignment="1" applyProtection="1">
      <alignment horizontal="center" vertical="center"/>
    </xf>
    <xf numFmtId="0" fontId="69" fillId="5" borderId="22" xfId="0" applyFont="1" applyFill="1" applyBorder="1" applyAlignment="1" applyProtection="1">
      <alignment vertical="center"/>
    </xf>
    <xf numFmtId="0" fontId="69" fillId="5" borderId="2" xfId="0" applyFont="1" applyFill="1" applyBorder="1" applyAlignment="1" applyProtection="1">
      <alignment vertical="center"/>
    </xf>
    <xf numFmtId="177" fontId="69" fillId="5" borderId="12" xfId="0" applyNumberFormat="1" applyFont="1" applyFill="1" applyBorder="1" applyAlignment="1" applyProtection="1">
      <alignment vertical="center"/>
    </xf>
    <xf numFmtId="0" fontId="69" fillId="5" borderId="23" xfId="0" applyFont="1" applyFill="1" applyBorder="1" applyAlignment="1" applyProtection="1">
      <alignment vertical="center"/>
    </xf>
    <xf numFmtId="177" fontId="73" fillId="5" borderId="7" xfId="3" applyNumberFormat="1" applyFont="1" applyFill="1" applyBorder="1" applyAlignment="1" applyProtection="1">
      <alignment horizontal="center" vertical="center"/>
    </xf>
    <xf numFmtId="0" fontId="69" fillId="5" borderId="10" xfId="0" applyFont="1" applyFill="1" applyBorder="1" applyAlignment="1" applyProtection="1">
      <alignment vertical="center"/>
    </xf>
    <xf numFmtId="0" fontId="69" fillId="5" borderId="12" xfId="0" applyFont="1" applyFill="1" applyBorder="1" applyAlignment="1" applyProtection="1">
      <alignment vertical="center"/>
    </xf>
    <xf numFmtId="0" fontId="69" fillId="5" borderId="24" xfId="0" applyFont="1" applyFill="1" applyBorder="1" applyAlignment="1" applyProtection="1">
      <alignment vertical="center"/>
    </xf>
    <xf numFmtId="0" fontId="69" fillId="5" borderId="3" xfId="0" applyFont="1" applyFill="1" applyBorder="1" applyAlignment="1" applyProtection="1">
      <alignment vertical="center"/>
    </xf>
    <xf numFmtId="0" fontId="69" fillId="0" borderId="12" xfId="0" applyFont="1" applyFill="1" applyBorder="1" applyAlignment="1" applyProtection="1">
      <alignment vertical="center"/>
      <protection locked="0"/>
    </xf>
    <xf numFmtId="0" fontId="69" fillId="5" borderId="25" xfId="0" applyFont="1" applyFill="1" applyBorder="1" applyAlignment="1" applyProtection="1">
      <alignment vertical="center"/>
    </xf>
    <xf numFmtId="0" fontId="69" fillId="5" borderId="26" xfId="0" applyFont="1" applyFill="1" applyBorder="1" applyAlignment="1" applyProtection="1">
      <alignment vertical="center"/>
    </xf>
    <xf numFmtId="0" fontId="69" fillId="5" borderId="27" xfId="0" applyFont="1" applyFill="1" applyBorder="1" applyProtection="1">
      <alignment vertical="center"/>
    </xf>
    <xf numFmtId="0" fontId="69" fillId="5" borderId="28" xfId="0" applyFont="1" applyFill="1" applyBorder="1" applyAlignment="1" applyProtection="1">
      <alignment vertical="center"/>
    </xf>
    <xf numFmtId="177" fontId="81" fillId="5" borderId="29" xfId="3" applyNumberFormat="1" applyFont="1" applyFill="1" applyBorder="1" applyAlignment="1" applyProtection="1">
      <alignment horizontal="center" vertical="center"/>
    </xf>
    <xf numFmtId="177" fontId="81" fillId="5" borderId="30" xfId="3" applyNumberFormat="1" applyFont="1" applyFill="1" applyBorder="1" applyAlignment="1" applyProtection="1">
      <alignment horizontal="center" vertical="center"/>
    </xf>
    <xf numFmtId="0" fontId="73" fillId="5" borderId="5" xfId="0" applyFont="1" applyFill="1" applyBorder="1" applyAlignment="1" applyProtection="1">
      <alignment horizontal="left" vertical="center"/>
    </xf>
    <xf numFmtId="0" fontId="69" fillId="5" borderId="9" xfId="0" applyFont="1" applyFill="1" applyBorder="1" applyAlignment="1" applyProtection="1">
      <alignment horizontal="left" vertical="center"/>
    </xf>
    <xf numFmtId="0" fontId="69" fillId="5" borderId="21" xfId="0" applyFont="1" applyFill="1" applyBorder="1" applyAlignment="1" applyProtection="1">
      <alignment vertical="center"/>
    </xf>
    <xf numFmtId="0" fontId="69" fillId="5" borderId="0" xfId="0" applyFont="1" applyFill="1" applyBorder="1" applyAlignment="1" applyProtection="1">
      <alignment vertical="center"/>
    </xf>
    <xf numFmtId="177" fontId="82" fillId="5" borderId="2" xfId="3" applyNumberFormat="1" applyFont="1" applyFill="1" applyBorder="1" applyAlignment="1" applyProtection="1">
      <alignment horizontal="center" vertical="center"/>
    </xf>
    <xf numFmtId="0" fontId="69" fillId="5" borderId="20" xfId="0" applyFont="1" applyFill="1" applyBorder="1" applyAlignment="1" applyProtection="1">
      <alignment horizontal="center" vertical="center"/>
    </xf>
    <xf numFmtId="180" fontId="69" fillId="5" borderId="2" xfId="0" applyNumberFormat="1" applyFont="1" applyFill="1" applyBorder="1" applyAlignment="1" applyProtection="1">
      <alignment horizontal="center" vertical="center"/>
    </xf>
    <xf numFmtId="0" fontId="69" fillId="5" borderId="31" xfId="0" applyFont="1" applyFill="1" applyBorder="1" applyProtection="1">
      <alignment vertical="center"/>
    </xf>
    <xf numFmtId="177" fontId="69" fillId="5" borderId="2" xfId="0" applyNumberFormat="1" applyFont="1" applyFill="1" applyBorder="1" applyAlignment="1" applyProtection="1">
      <alignment vertical="center"/>
    </xf>
    <xf numFmtId="0" fontId="69" fillId="5" borderId="9" xfId="0" applyFont="1" applyFill="1" applyBorder="1" applyAlignment="1" applyProtection="1">
      <alignment vertical="center"/>
    </xf>
    <xf numFmtId="0" fontId="74" fillId="0" borderId="2" xfId="0" applyFont="1" applyBorder="1" applyAlignment="1" applyProtection="1">
      <alignment horizontal="center" vertical="center"/>
      <protection locked="0"/>
    </xf>
    <xf numFmtId="0" fontId="69" fillId="5" borderId="31" xfId="0" applyFont="1" applyFill="1" applyBorder="1" applyAlignment="1" applyProtection="1">
      <alignment vertical="center"/>
    </xf>
    <xf numFmtId="178" fontId="69" fillId="0" borderId="2" xfId="3" applyNumberFormat="1" applyFont="1" applyFill="1" applyBorder="1" applyAlignment="1" applyProtection="1">
      <alignment vertical="center"/>
      <protection locked="0"/>
    </xf>
    <xf numFmtId="0" fontId="69" fillId="0" borderId="2" xfId="0" applyFont="1" applyBorder="1" applyAlignment="1" applyProtection="1">
      <alignment horizontal="center" vertical="center"/>
      <protection locked="0"/>
    </xf>
    <xf numFmtId="178" fontId="69" fillId="0" borderId="9" xfId="3" applyNumberFormat="1" applyFont="1" applyFill="1" applyBorder="1" applyAlignment="1" applyProtection="1">
      <alignment vertical="center"/>
      <protection locked="0"/>
    </xf>
    <xf numFmtId="177" fontId="69" fillId="5" borderId="2" xfId="0" applyNumberFormat="1" applyFont="1" applyFill="1" applyBorder="1" applyAlignment="1" applyProtection="1">
      <alignment horizontal="center" vertical="center"/>
    </xf>
    <xf numFmtId="0" fontId="69" fillId="5" borderId="9" xfId="0" applyFont="1" applyFill="1" applyBorder="1" applyProtection="1">
      <alignment vertical="center"/>
    </xf>
    <xf numFmtId="0" fontId="69" fillId="5" borderId="16" xfId="0" applyFont="1" applyFill="1" applyBorder="1" applyProtection="1">
      <alignment vertical="center"/>
    </xf>
    <xf numFmtId="0" fontId="69" fillId="5" borderId="25" xfId="0" applyFont="1" applyFill="1" applyBorder="1" applyProtection="1">
      <alignment vertical="center"/>
    </xf>
    <xf numFmtId="0" fontId="69" fillId="5" borderId="32" xfId="0" applyFont="1" applyFill="1" applyBorder="1" applyAlignment="1" applyProtection="1">
      <alignment horizontal="left" vertical="center"/>
    </xf>
    <xf numFmtId="0" fontId="189" fillId="5" borderId="0" xfId="0" applyFont="1" applyFill="1" applyAlignment="1" applyProtection="1">
      <alignment vertical="center" wrapText="1"/>
    </xf>
    <xf numFmtId="0" fontId="73" fillId="5" borderId="33" xfId="0" applyFont="1" applyFill="1" applyBorder="1" applyAlignment="1" applyProtection="1">
      <alignment vertical="center" wrapText="1"/>
    </xf>
    <xf numFmtId="0" fontId="73" fillId="5" borderId="34" xfId="0" applyFont="1" applyFill="1" applyBorder="1" applyAlignment="1" applyProtection="1">
      <alignment vertical="center" wrapText="1"/>
    </xf>
    <xf numFmtId="0" fontId="69" fillId="5" borderId="4" xfId="0" applyFont="1" applyFill="1" applyBorder="1" applyAlignment="1" applyProtection="1">
      <alignment horizontal="center" vertical="center"/>
    </xf>
    <xf numFmtId="0" fontId="69" fillId="5" borderId="35" xfId="0" applyFont="1" applyFill="1" applyBorder="1" applyAlignment="1" applyProtection="1">
      <alignment vertical="center"/>
    </xf>
    <xf numFmtId="0" fontId="69" fillId="5" borderId="36" xfId="0" applyFont="1" applyFill="1" applyBorder="1" applyAlignment="1" applyProtection="1">
      <alignment vertical="center"/>
    </xf>
    <xf numFmtId="0" fontId="69" fillId="5" borderId="37" xfId="0" applyFont="1" applyFill="1" applyBorder="1" applyAlignment="1" applyProtection="1">
      <alignment vertical="center"/>
    </xf>
    <xf numFmtId="0" fontId="69" fillId="5" borderId="38" xfId="0" applyFont="1" applyFill="1" applyBorder="1" applyAlignment="1" applyProtection="1">
      <alignment vertical="center"/>
    </xf>
    <xf numFmtId="0" fontId="69" fillId="5" borderId="6" xfId="3" applyFont="1" applyFill="1" applyBorder="1" applyAlignment="1" applyProtection="1">
      <alignment vertical="center" wrapText="1"/>
    </xf>
    <xf numFmtId="0" fontId="69" fillId="5" borderId="29" xfId="3" applyFont="1" applyFill="1" applyBorder="1" applyAlignment="1" applyProtection="1">
      <alignment vertical="center" wrapText="1"/>
    </xf>
    <xf numFmtId="181" fontId="82" fillId="5" borderId="1" xfId="3" applyNumberFormat="1"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wrapText="1"/>
    </xf>
    <xf numFmtId="180" fontId="69" fillId="5" borderId="6" xfId="0" applyNumberFormat="1" applyFont="1" applyFill="1" applyBorder="1" applyAlignment="1" applyProtection="1">
      <alignment horizontal="center" vertical="center" wrapText="1"/>
    </xf>
    <xf numFmtId="0" fontId="188" fillId="5" borderId="7" xfId="0" applyFont="1" applyFill="1" applyBorder="1" applyAlignment="1" applyProtection="1">
      <alignment horizontal="center" vertical="center" wrapText="1"/>
    </xf>
    <xf numFmtId="178" fontId="69" fillId="5" borderId="1" xfId="3" applyNumberFormat="1" applyFont="1" applyFill="1" applyBorder="1" applyAlignment="1" applyProtection="1">
      <alignment horizontal="center" vertical="center" wrapText="1"/>
    </xf>
    <xf numFmtId="0" fontId="69" fillId="5" borderId="6" xfId="3" applyFont="1" applyFill="1" applyBorder="1" applyAlignment="1" applyProtection="1">
      <alignment horizontal="center" vertical="center" wrapText="1"/>
    </xf>
    <xf numFmtId="180" fontId="69" fillId="5" borderId="6" xfId="3" applyNumberFormat="1" applyFont="1" applyFill="1" applyBorder="1" applyAlignment="1" applyProtection="1">
      <alignment horizontal="center" vertical="center" wrapText="1"/>
    </xf>
    <xf numFmtId="0" fontId="69" fillId="5" borderId="29" xfId="3" applyFont="1" applyFill="1" applyBorder="1" applyAlignment="1" applyProtection="1">
      <alignment horizontal="center" vertical="center" wrapText="1"/>
    </xf>
    <xf numFmtId="0" fontId="69" fillId="5" borderId="39" xfId="0" applyFont="1" applyFill="1" applyBorder="1" applyAlignment="1" applyProtection="1">
      <alignment horizontal="center" vertical="center" wrapText="1"/>
    </xf>
    <xf numFmtId="0" fontId="69" fillId="5" borderId="1" xfId="3" applyFont="1" applyFill="1" applyBorder="1" applyAlignment="1" applyProtection="1">
      <alignment horizontal="center" vertical="center" wrapText="1"/>
    </xf>
    <xf numFmtId="0" fontId="69" fillId="5" borderId="40" xfId="3" applyFont="1" applyFill="1" applyBorder="1" applyAlignment="1" applyProtection="1">
      <alignment horizontal="center" vertical="center" wrapText="1"/>
    </xf>
    <xf numFmtId="0" fontId="69" fillId="5" borderId="1" xfId="0" applyFont="1" applyFill="1" applyBorder="1" applyAlignment="1" applyProtection="1">
      <alignment horizontal="center" vertical="center" wrapText="1"/>
    </xf>
    <xf numFmtId="0" fontId="69" fillId="5" borderId="7" xfId="0" applyFont="1" applyFill="1" applyBorder="1" applyAlignment="1" applyProtection="1">
      <alignment horizontal="center" vertical="center" wrapText="1"/>
    </xf>
    <xf numFmtId="0" fontId="69" fillId="5" borderId="41" xfId="0" applyFont="1" applyFill="1" applyBorder="1" applyAlignment="1" applyProtection="1">
      <alignment horizontal="center" vertical="center" wrapText="1"/>
    </xf>
    <xf numFmtId="0" fontId="69" fillId="5" borderId="29" xfId="0" applyFont="1" applyFill="1" applyBorder="1" applyAlignment="1" applyProtection="1">
      <alignment horizontal="center" vertical="center" wrapText="1"/>
    </xf>
    <xf numFmtId="178" fontId="69" fillId="2" borderId="5" xfId="3" applyNumberFormat="1" applyFont="1" applyFill="1" applyBorder="1" applyAlignment="1" applyProtection="1">
      <alignment vertical="center"/>
      <protection locked="0"/>
    </xf>
    <xf numFmtId="180" fontId="82" fillId="5" borderId="2" xfId="3" applyNumberFormat="1" applyFont="1" applyFill="1" applyBorder="1" applyAlignment="1" applyProtection="1">
      <alignment horizontal="center" vertical="center"/>
    </xf>
    <xf numFmtId="181" fontId="82" fillId="5" borderId="2" xfId="3" applyNumberFormat="1" applyFont="1" applyFill="1" applyBorder="1" applyAlignment="1" applyProtection="1">
      <alignment horizontal="center" vertical="center"/>
    </xf>
    <xf numFmtId="182" fontId="69" fillId="0" borderId="2" xfId="0" applyNumberFormat="1" applyFont="1" applyFill="1" applyBorder="1" applyAlignment="1" applyProtection="1">
      <alignment horizontal="center" vertical="center"/>
      <protection locked="0"/>
    </xf>
    <xf numFmtId="0" fontId="69" fillId="5" borderId="2" xfId="3" applyNumberFormat="1" applyFont="1" applyFill="1" applyBorder="1" applyAlignment="1" applyProtection="1">
      <alignment horizontal="center" vertical="center"/>
    </xf>
    <xf numFmtId="0" fontId="69" fillId="5" borderId="5" xfId="0" applyNumberFormat="1" applyFont="1" applyFill="1" applyBorder="1" applyAlignment="1" applyProtection="1">
      <alignment horizontal="center" vertical="center"/>
    </xf>
    <xf numFmtId="180" fontId="69" fillId="5" borderId="11" xfId="3" applyNumberFormat="1" applyFont="1" applyFill="1" applyBorder="1" applyAlignment="1" applyProtection="1">
      <alignment horizontal="center" vertical="center"/>
    </xf>
    <xf numFmtId="0" fontId="69" fillId="0" borderId="11" xfId="0" applyFont="1" applyBorder="1" applyAlignment="1" applyProtection="1">
      <alignment vertical="center"/>
      <protection locked="0"/>
    </xf>
    <xf numFmtId="182" fontId="69" fillId="0" borderId="2" xfId="0" applyNumberFormat="1" applyFont="1" applyBorder="1" applyAlignment="1" applyProtection="1">
      <alignment vertical="center"/>
      <protection locked="0"/>
    </xf>
    <xf numFmtId="182" fontId="69" fillId="0" borderId="12" xfId="0" applyNumberFormat="1" applyFont="1" applyBorder="1" applyAlignment="1" applyProtection="1">
      <alignment vertical="center"/>
      <protection locked="0"/>
    </xf>
    <xf numFmtId="0" fontId="69" fillId="0" borderId="9" xfId="0" applyFont="1" applyBorder="1" applyAlignment="1" applyProtection="1">
      <alignment vertical="center"/>
      <protection locked="0"/>
    </xf>
    <xf numFmtId="182" fontId="69" fillId="0" borderId="5" xfId="0" applyNumberFormat="1" applyFont="1" applyBorder="1" applyAlignment="1" applyProtection="1">
      <alignment vertical="center"/>
      <protection locked="0"/>
    </xf>
    <xf numFmtId="0" fontId="69" fillId="0" borderId="11" xfId="0" applyFont="1" applyBorder="1" applyAlignment="1" applyProtection="1">
      <alignment horizontal="center" vertical="center"/>
      <protection locked="0"/>
    </xf>
    <xf numFmtId="0" fontId="69" fillId="0" borderId="12" xfId="0" applyFont="1" applyBorder="1" applyAlignment="1" applyProtection="1">
      <alignment horizontal="center" vertical="center"/>
      <protection locked="0"/>
    </xf>
    <xf numFmtId="0" fontId="69" fillId="6" borderId="9" xfId="0" applyFont="1" applyFill="1" applyBorder="1" applyAlignment="1" applyProtection="1">
      <alignment horizontal="center" vertical="center"/>
      <protection locked="0"/>
    </xf>
    <xf numFmtId="0" fontId="69" fillId="0" borderId="2" xfId="0" applyNumberFormat="1" applyFont="1" applyBorder="1" applyAlignment="1" applyProtection="1">
      <alignment horizontal="center" vertical="center"/>
      <protection locked="0"/>
    </xf>
    <xf numFmtId="10" fontId="69" fillId="0" borderId="2" xfId="0" applyNumberFormat="1" applyFont="1" applyBorder="1" applyAlignment="1" applyProtection="1">
      <alignment horizontal="center" vertical="center"/>
      <protection locked="0"/>
    </xf>
    <xf numFmtId="183" fontId="69" fillId="0" borderId="2" xfId="0" applyNumberFormat="1" applyFont="1" applyBorder="1" applyAlignment="1" applyProtection="1">
      <alignment horizontal="center" vertical="center"/>
      <protection locked="0"/>
    </xf>
    <xf numFmtId="0" fontId="74" fillId="6" borderId="9" xfId="0" applyFont="1" applyFill="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8" fontId="69" fillId="0" borderId="2" xfId="3" applyNumberFormat="1" applyFont="1" applyFill="1" applyBorder="1" applyAlignment="1" applyProtection="1">
      <alignment horizontal="center" vertical="center"/>
      <protection locked="0"/>
    </xf>
    <xf numFmtId="10" fontId="69" fillId="0" borderId="2" xfId="3" applyNumberFormat="1" applyFont="1" applyFill="1" applyBorder="1" applyAlignment="1" applyProtection="1">
      <alignment horizontal="center" vertical="center"/>
      <protection locked="0"/>
    </xf>
    <xf numFmtId="0" fontId="69" fillId="0" borderId="9" xfId="0" applyFont="1" applyBorder="1" applyAlignment="1" applyProtection="1">
      <alignment horizontal="center" vertical="center"/>
      <protection locked="0"/>
    </xf>
    <xf numFmtId="10" fontId="69" fillId="0" borderId="2" xfId="0" applyNumberFormat="1" applyFont="1" applyFill="1" applyBorder="1" applyAlignment="1" applyProtection="1">
      <alignment horizontal="center" vertical="center"/>
      <protection locked="0"/>
    </xf>
    <xf numFmtId="183" fontId="69" fillId="0" borderId="2" xfId="0" applyNumberFormat="1" applyFont="1" applyFill="1" applyBorder="1" applyAlignment="1" applyProtection="1">
      <alignment horizontal="center" vertical="center"/>
      <protection locked="0"/>
    </xf>
    <xf numFmtId="0" fontId="73" fillId="5" borderId="42" xfId="3" applyFont="1" applyFill="1" applyBorder="1" applyAlignment="1" applyProtection="1">
      <alignment vertical="center" wrapText="1"/>
    </xf>
    <xf numFmtId="0" fontId="73" fillId="5" borderId="43" xfId="3" applyFont="1" applyFill="1" applyBorder="1" applyAlignment="1" applyProtection="1">
      <alignment vertical="center"/>
    </xf>
    <xf numFmtId="0" fontId="73" fillId="5" borderId="44" xfId="3" applyFont="1" applyFill="1" applyBorder="1" applyAlignment="1" applyProtection="1">
      <alignment vertical="center"/>
    </xf>
    <xf numFmtId="0" fontId="73" fillId="5" borderId="42" xfId="3" applyFont="1" applyFill="1" applyBorder="1" applyAlignment="1" applyProtection="1">
      <alignment vertical="center"/>
    </xf>
    <xf numFmtId="0" fontId="73" fillId="5" borderId="43" xfId="3" applyFont="1" applyFill="1" applyBorder="1" applyAlignment="1" applyProtection="1">
      <alignment horizontal="center" vertical="center"/>
    </xf>
    <xf numFmtId="182" fontId="73" fillId="5" borderId="43" xfId="3" applyNumberFormat="1" applyFont="1" applyFill="1" applyBorder="1" applyAlignment="1" applyProtection="1">
      <alignment vertical="center"/>
    </xf>
    <xf numFmtId="0" fontId="73" fillId="5" borderId="45" xfId="3" applyFont="1" applyFill="1" applyBorder="1" applyAlignment="1" applyProtection="1">
      <alignment vertical="center"/>
    </xf>
    <xf numFmtId="177" fontId="69" fillId="5" borderId="42" xfId="0" applyNumberFormat="1" applyFont="1" applyFill="1" applyBorder="1" applyAlignment="1" applyProtection="1">
      <alignment horizontal="center" vertical="center"/>
    </xf>
    <xf numFmtId="0" fontId="69" fillId="5" borderId="43" xfId="3" applyNumberFormat="1" applyFont="1" applyFill="1" applyBorder="1" applyAlignment="1" applyProtection="1">
      <alignment horizontal="center" vertical="center"/>
    </xf>
    <xf numFmtId="10" fontId="69" fillId="5" borderId="43" xfId="3" applyNumberFormat="1" applyFont="1" applyFill="1" applyBorder="1" applyAlignment="1" applyProtection="1">
      <alignment horizontal="center" vertical="center"/>
    </xf>
    <xf numFmtId="9" fontId="69" fillId="5" borderId="44" xfId="0" applyNumberFormat="1" applyFont="1" applyFill="1" applyBorder="1" applyAlignment="1" applyProtection="1">
      <alignment horizontal="center" vertical="center"/>
    </xf>
    <xf numFmtId="180" fontId="69" fillId="5" borderId="46" xfId="3" applyNumberFormat="1" applyFont="1" applyFill="1" applyBorder="1" applyAlignment="1" applyProtection="1">
      <alignment horizontal="center" vertical="center"/>
    </xf>
    <xf numFmtId="0" fontId="69" fillId="5" borderId="47" xfId="3" applyNumberFormat="1" applyFont="1" applyFill="1" applyBorder="1" applyAlignment="1" applyProtection="1">
      <alignment horizontal="center" vertical="center"/>
    </xf>
    <xf numFmtId="0" fontId="69" fillId="5" borderId="42" xfId="0" applyFont="1" applyFill="1" applyBorder="1" applyAlignment="1" applyProtection="1">
      <alignment vertical="center"/>
    </xf>
    <xf numFmtId="0" fontId="69" fillId="5" borderId="43" xfId="0" applyFont="1" applyFill="1" applyBorder="1" applyAlignment="1" applyProtection="1">
      <alignment vertical="center"/>
    </xf>
    <xf numFmtId="0" fontId="69" fillId="5" borderId="45" xfId="0" applyFont="1" applyFill="1" applyBorder="1" applyAlignment="1" applyProtection="1">
      <alignment vertical="center"/>
    </xf>
    <xf numFmtId="0" fontId="69" fillId="5" borderId="46" xfId="0" applyFont="1" applyFill="1" applyBorder="1" applyAlignment="1" applyProtection="1">
      <alignment vertical="center"/>
    </xf>
    <xf numFmtId="0" fontId="69" fillId="5" borderId="44" xfId="0" applyFont="1" applyFill="1" applyBorder="1" applyAlignment="1" applyProtection="1">
      <alignment vertical="center"/>
    </xf>
    <xf numFmtId="0" fontId="83" fillId="0" borderId="0" xfId="0" applyFont="1" applyAlignment="1" applyProtection="1">
      <alignment vertical="center" wrapText="1"/>
      <protection locked="0"/>
    </xf>
    <xf numFmtId="177" fontId="82" fillId="5" borderId="1" xfId="3" applyNumberFormat="1" applyFont="1" applyFill="1" applyBorder="1" applyAlignment="1" applyProtection="1">
      <alignment vertical="center" wrapText="1"/>
    </xf>
    <xf numFmtId="177" fontId="82" fillId="0" borderId="7" xfId="3" applyNumberFormat="1" applyFont="1" applyFill="1" applyBorder="1" applyAlignment="1" applyProtection="1">
      <alignment horizontal="center" vertical="center"/>
      <protection locked="0"/>
    </xf>
    <xf numFmtId="177" fontId="82" fillId="5" borderId="11" xfId="3" applyNumberFormat="1" applyFont="1" applyFill="1" applyBorder="1" applyAlignment="1" applyProtection="1">
      <alignment vertical="center" wrapText="1"/>
    </xf>
    <xf numFmtId="177" fontId="69" fillId="0" borderId="12" xfId="3" applyNumberFormat="1" applyFont="1" applyFill="1" applyBorder="1" applyAlignment="1" applyProtection="1">
      <alignment horizontal="center" vertical="center"/>
      <protection locked="0"/>
    </xf>
    <xf numFmtId="177" fontId="69" fillId="5" borderId="11" xfId="3" applyNumberFormat="1" applyFont="1" applyFill="1" applyBorder="1" applyAlignment="1" applyProtection="1">
      <alignment vertical="center" wrapText="1"/>
    </xf>
    <xf numFmtId="177" fontId="82" fillId="5" borderId="12" xfId="3" applyNumberFormat="1" applyFont="1" applyFill="1" applyBorder="1" applyAlignment="1" applyProtection="1">
      <alignment horizontal="center" vertical="center"/>
    </xf>
    <xf numFmtId="177" fontId="82" fillId="5" borderId="42" xfId="3" applyNumberFormat="1" applyFont="1" applyFill="1" applyBorder="1" applyAlignment="1" applyProtection="1">
      <alignment vertical="center" wrapText="1"/>
    </xf>
    <xf numFmtId="177" fontId="82" fillId="5" borderId="45" xfId="3" applyNumberFormat="1" applyFont="1" applyFill="1" applyBorder="1" applyAlignment="1" applyProtection="1">
      <alignment horizontal="center" vertical="center"/>
    </xf>
    <xf numFmtId="0" fontId="69" fillId="5" borderId="48" xfId="0" applyFont="1" applyFill="1" applyBorder="1" applyAlignment="1" applyProtection="1">
      <alignment horizontal="center" vertical="center"/>
    </xf>
    <xf numFmtId="0" fontId="69" fillId="5" borderId="1" xfId="0" applyFont="1" applyFill="1" applyBorder="1" applyAlignment="1" applyProtection="1">
      <alignment vertical="center" wrapText="1"/>
    </xf>
    <xf numFmtId="0" fontId="84" fillId="0" borderId="7" xfId="3" applyNumberFormat="1" applyFont="1" applyFill="1" applyBorder="1" applyAlignment="1" applyProtection="1">
      <alignment horizontal="center" vertical="center"/>
      <protection locked="0"/>
    </xf>
    <xf numFmtId="0" fontId="69" fillId="5" borderId="11" xfId="0" applyFont="1" applyFill="1" applyBorder="1" applyAlignment="1" applyProtection="1">
      <alignment vertical="center" wrapText="1"/>
    </xf>
    <xf numFmtId="0" fontId="84" fillId="0" borderId="12" xfId="3" applyNumberFormat="1" applyFont="1" applyFill="1" applyBorder="1" applyAlignment="1" applyProtection="1">
      <alignment horizontal="center" vertical="center"/>
      <protection locked="0"/>
    </xf>
    <xf numFmtId="0" fontId="82" fillId="5" borderId="12" xfId="3" applyNumberFormat="1" applyFont="1" applyFill="1" applyBorder="1" applyAlignment="1" applyProtection="1">
      <alignment horizontal="center" vertical="center"/>
    </xf>
    <xf numFmtId="0" fontId="69" fillId="5" borderId="42" xfId="0" applyFont="1" applyFill="1" applyBorder="1" applyAlignment="1" applyProtection="1">
      <alignment vertical="center" wrapText="1"/>
    </xf>
    <xf numFmtId="0" fontId="84" fillId="0" borderId="45" xfId="3" applyNumberFormat="1" applyFont="1" applyFill="1" applyBorder="1" applyAlignment="1" applyProtection="1">
      <alignment horizontal="center" vertical="center"/>
      <protection locked="0"/>
    </xf>
    <xf numFmtId="182" fontId="74" fillId="0" borderId="12" xfId="0" applyNumberFormat="1" applyFont="1" applyFill="1" applyBorder="1" applyAlignment="1" applyProtection="1">
      <alignment horizontal="center" vertical="center"/>
      <protection locked="0"/>
    </xf>
    <xf numFmtId="182" fontId="74" fillId="0" borderId="45" xfId="0" applyNumberFormat="1" applyFont="1" applyFill="1" applyBorder="1" applyAlignment="1" applyProtection="1">
      <alignment horizontal="center" vertical="center"/>
      <protection locked="0"/>
    </xf>
    <xf numFmtId="0" fontId="69" fillId="5" borderId="49" xfId="0" applyFont="1" applyFill="1" applyBorder="1" applyAlignment="1" applyProtection="1">
      <alignment vertical="center" wrapText="1"/>
    </xf>
    <xf numFmtId="182" fontId="74" fillId="0" borderId="50" xfId="0" applyNumberFormat="1" applyFont="1" applyFill="1" applyBorder="1" applyAlignment="1" applyProtection="1">
      <alignment horizontal="center" vertical="center"/>
      <protection locked="0"/>
    </xf>
    <xf numFmtId="0" fontId="69" fillId="5" borderId="22" xfId="0" applyFont="1" applyFill="1" applyBorder="1" applyAlignment="1" applyProtection="1">
      <alignment vertical="center" wrapText="1"/>
    </xf>
    <xf numFmtId="10" fontId="69" fillId="5" borderId="7" xfId="0" applyNumberFormat="1" applyFont="1" applyFill="1" applyBorder="1" applyAlignment="1" applyProtection="1">
      <alignment horizontal="center" vertical="center"/>
    </xf>
    <xf numFmtId="0" fontId="69" fillId="5" borderId="22" xfId="0" applyFont="1" applyFill="1" applyBorder="1" applyAlignment="1" applyProtection="1">
      <alignment horizontal="right" vertical="center" wrapText="1"/>
    </xf>
    <xf numFmtId="10" fontId="69" fillId="0" borderId="25" xfId="0" applyNumberFormat="1" applyFont="1" applyFill="1" applyBorder="1" applyAlignment="1" applyProtection="1">
      <alignment horizontal="center" vertical="center"/>
      <protection locked="0"/>
    </xf>
    <xf numFmtId="183" fontId="69" fillId="5" borderId="25" xfId="0" applyNumberFormat="1" applyFont="1" applyFill="1" applyBorder="1" applyAlignment="1" applyProtection="1">
      <alignment horizontal="center" vertical="center"/>
    </xf>
    <xf numFmtId="10" fontId="69" fillId="2" borderId="25" xfId="0" applyNumberFormat="1" applyFont="1" applyFill="1" applyBorder="1" applyAlignment="1" applyProtection="1">
      <alignment horizontal="center" vertical="center"/>
      <protection locked="0"/>
    </xf>
    <xf numFmtId="0" fontId="69" fillId="5" borderId="42" xfId="0" applyFont="1" applyFill="1" applyBorder="1" applyAlignment="1" applyProtection="1">
      <alignment horizontal="right" vertical="center" wrapText="1"/>
    </xf>
    <xf numFmtId="10" fontId="69" fillId="0" borderId="45" xfId="0" applyNumberFormat="1" applyFont="1" applyFill="1" applyBorder="1" applyAlignment="1" applyProtection="1">
      <alignment horizontal="center" vertical="center"/>
      <protection locked="0"/>
    </xf>
    <xf numFmtId="0" fontId="69" fillId="5" borderId="24" xfId="0" applyFont="1" applyFill="1" applyBorder="1" applyAlignment="1" applyProtection="1">
      <alignment vertical="center" wrapText="1"/>
    </xf>
    <xf numFmtId="10" fontId="69" fillId="0" borderId="51" xfId="0" applyNumberFormat="1" applyFont="1" applyFill="1" applyBorder="1" applyAlignment="1" applyProtection="1">
      <alignment horizontal="center" vertical="center"/>
      <protection locked="0"/>
    </xf>
    <xf numFmtId="0" fontId="69" fillId="5" borderId="52" xfId="0" applyFont="1" applyFill="1" applyBorder="1" applyAlignment="1" applyProtection="1">
      <alignment vertical="center" wrapText="1"/>
    </xf>
    <xf numFmtId="10" fontId="69" fillId="5" borderId="40" xfId="0" applyNumberFormat="1" applyFont="1" applyFill="1" applyBorder="1" applyAlignment="1" applyProtection="1">
      <alignment horizontal="center" vertical="center"/>
    </xf>
    <xf numFmtId="10" fontId="69" fillId="5" borderId="45" xfId="0" applyNumberFormat="1" applyFont="1" applyFill="1" applyBorder="1" applyAlignment="1" applyProtection="1">
      <alignment horizontal="center" vertical="center"/>
    </xf>
    <xf numFmtId="179" fontId="69" fillId="5" borderId="40" xfId="0" applyNumberFormat="1" applyFont="1" applyFill="1" applyBorder="1" applyAlignment="1" applyProtection="1">
      <alignment horizontal="center" vertical="center"/>
    </xf>
    <xf numFmtId="0" fontId="69" fillId="2" borderId="12" xfId="0" applyFont="1" applyFill="1" applyBorder="1" applyAlignment="1" applyProtection="1">
      <alignment horizontal="center" vertical="center"/>
      <protection locked="0"/>
    </xf>
    <xf numFmtId="0" fontId="69" fillId="0" borderId="45" xfId="0" applyFont="1" applyBorder="1" applyAlignment="1" applyProtection="1">
      <alignment vertical="center"/>
      <protection locked="0"/>
    </xf>
    <xf numFmtId="0" fontId="74" fillId="0" borderId="0" xfId="0" applyFont="1" applyAlignment="1" applyProtection="1">
      <alignment vertical="center" wrapText="1"/>
      <protection locked="0"/>
    </xf>
    <xf numFmtId="0" fontId="69" fillId="5" borderId="7" xfId="0" applyNumberFormat="1" applyFont="1" applyFill="1" applyBorder="1" applyAlignment="1" applyProtection="1">
      <alignment horizontal="center" vertical="center" wrapText="1"/>
    </xf>
    <xf numFmtId="0" fontId="69" fillId="5" borderId="12" xfId="0" applyNumberFormat="1" applyFont="1" applyFill="1" applyBorder="1" applyAlignment="1" applyProtection="1">
      <alignment horizontal="center" vertical="center" wrapText="1"/>
    </xf>
    <xf numFmtId="0" fontId="69" fillId="5" borderId="45" xfId="0" applyNumberFormat="1" applyFont="1" applyFill="1" applyBorder="1" applyAlignment="1" applyProtection="1">
      <alignment horizontal="center" vertical="center" wrapText="1"/>
    </xf>
    <xf numFmtId="0" fontId="74" fillId="0" borderId="0" xfId="0" applyFont="1" applyProtection="1">
      <alignment vertical="center"/>
      <protection locked="0"/>
    </xf>
    <xf numFmtId="0" fontId="69" fillId="5" borderId="10" xfId="0" applyFont="1" applyFill="1" applyBorder="1" applyAlignment="1" applyProtection="1">
      <alignment vertical="center" wrapText="1"/>
    </xf>
    <xf numFmtId="0" fontId="69" fillId="5" borderId="10" xfId="0" applyFont="1" applyFill="1" applyBorder="1" applyAlignment="1" applyProtection="1">
      <alignment horizontal="center" vertical="center" wrapText="1"/>
    </xf>
    <xf numFmtId="0" fontId="188" fillId="2" borderId="10" xfId="0" applyFont="1" applyFill="1" applyBorder="1" applyAlignment="1" applyProtection="1">
      <alignment horizontal="center" vertical="center"/>
      <protection locked="0"/>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5" borderId="9" xfId="0" applyFont="1" applyFill="1" applyBorder="1" applyAlignment="1" applyProtection="1">
      <alignment vertical="center" wrapText="1"/>
    </xf>
    <xf numFmtId="0" fontId="73" fillId="5" borderId="5" xfId="0" applyFont="1" applyFill="1" applyBorder="1" applyAlignment="1" applyProtection="1">
      <alignment horizontal="right" vertical="center"/>
    </xf>
    <xf numFmtId="0" fontId="69" fillId="5" borderId="21" xfId="0" applyFont="1" applyFill="1" applyBorder="1" applyAlignment="1" applyProtection="1">
      <alignment horizontal="center" vertical="center"/>
    </xf>
    <xf numFmtId="0" fontId="73" fillId="5" borderId="13" xfId="0" applyFont="1" applyFill="1" applyBorder="1" applyAlignment="1" applyProtection="1">
      <alignment horizontal="right" vertical="center"/>
    </xf>
    <xf numFmtId="180" fontId="69" fillId="5" borderId="10" xfId="0" applyNumberFormat="1" applyFont="1" applyFill="1" applyBorder="1" applyAlignment="1" applyProtection="1">
      <alignment horizontal="center" vertical="center"/>
    </xf>
    <xf numFmtId="0" fontId="73" fillId="5" borderId="26" xfId="0" applyFont="1" applyFill="1" applyBorder="1" applyAlignment="1" applyProtection="1">
      <alignment vertical="center"/>
    </xf>
    <xf numFmtId="0" fontId="69" fillId="5" borderId="6" xfId="0" applyFont="1" applyFill="1" applyBorder="1" applyAlignment="1" applyProtection="1">
      <alignment vertical="center"/>
    </xf>
    <xf numFmtId="0" fontId="188" fillId="5" borderId="6" xfId="0" applyFont="1" applyFill="1" applyBorder="1" applyAlignment="1" applyProtection="1">
      <alignment horizontal="center" vertical="center"/>
    </xf>
    <xf numFmtId="0" fontId="188" fillId="5" borderId="29" xfId="0" applyFont="1" applyFill="1" applyBorder="1" applyAlignment="1" applyProtection="1">
      <alignment horizontal="center" vertical="center"/>
    </xf>
    <xf numFmtId="0" fontId="69" fillId="5" borderId="39" xfId="0" applyFont="1" applyFill="1" applyBorder="1" applyAlignment="1" applyProtection="1">
      <alignment horizontal="right" vertical="center"/>
    </xf>
    <xf numFmtId="0" fontId="74" fillId="5" borderId="38" xfId="0" applyFont="1" applyFill="1" applyBorder="1" applyAlignment="1" applyProtection="1">
      <alignment vertical="center"/>
    </xf>
    <xf numFmtId="0" fontId="73" fillId="5" borderId="31" xfId="0" applyFont="1" applyFill="1" applyBorder="1" applyAlignment="1" applyProtection="1">
      <alignment vertical="center"/>
    </xf>
    <xf numFmtId="0" fontId="69" fillId="5" borderId="2" xfId="0" applyFont="1" applyFill="1" applyBorder="1" applyProtection="1">
      <alignment vertical="center"/>
    </xf>
    <xf numFmtId="0" fontId="188" fillId="5" borderId="2" xfId="0" applyFont="1" applyFill="1" applyBorder="1" applyAlignment="1" applyProtection="1">
      <alignment horizontal="center" vertical="center"/>
    </xf>
    <xf numFmtId="0" fontId="188" fillId="5" borderId="5" xfId="0" applyFont="1" applyFill="1" applyBorder="1" applyAlignment="1" applyProtection="1">
      <alignment horizontal="center" vertical="center"/>
    </xf>
    <xf numFmtId="0" fontId="69" fillId="5" borderId="5" xfId="0" applyFont="1" applyFill="1" applyBorder="1" applyAlignment="1" applyProtection="1">
      <alignment horizontal="right" vertical="center"/>
    </xf>
    <xf numFmtId="0" fontId="74" fillId="5" borderId="16" xfId="0" applyFont="1" applyFill="1" applyBorder="1" applyAlignment="1" applyProtection="1">
      <alignment vertical="center"/>
    </xf>
    <xf numFmtId="0" fontId="69" fillId="5" borderId="10" xfId="0" applyFont="1" applyFill="1" applyBorder="1" applyProtection="1">
      <alignment vertical="center"/>
    </xf>
    <xf numFmtId="0" fontId="69" fillId="5" borderId="10" xfId="0" applyFont="1" applyFill="1" applyBorder="1" applyAlignment="1" applyProtection="1">
      <alignment horizontal="center" vertical="center"/>
    </xf>
    <xf numFmtId="0" fontId="69" fillId="5" borderId="8" xfId="0" applyFont="1" applyFill="1" applyBorder="1" applyAlignment="1" applyProtection="1">
      <alignment horizontal="right" vertical="center"/>
    </xf>
    <xf numFmtId="182" fontId="86" fillId="5" borderId="8" xfId="0" applyNumberFormat="1" applyFont="1" applyFill="1" applyBorder="1" applyAlignment="1" applyProtection="1">
      <alignment horizontal="center" vertical="center"/>
    </xf>
    <xf numFmtId="0" fontId="73" fillId="5" borderId="53" xfId="0" applyFont="1" applyFill="1" applyBorder="1" applyAlignment="1" applyProtection="1">
      <alignment vertical="center"/>
    </xf>
    <xf numFmtId="0" fontId="69" fillId="5" borderId="54" xfId="0" applyFont="1" applyFill="1" applyBorder="1" applyProtection="1">
      <alignment vertical="center"/>
    </xf>
    <xf numFmtId="0" fontId="74" fillId="5" borderId="55" xfId="0" applyFont="1" applyFill="1" applyBorder="1" applyAlignment="1" applyProtection="1">
      <alignment horizontal="right" vertical="center"/>
    </xf>
    <xf numFmtId="0" fontId="74" fillId="5" borderId="47" xfId="0" applyFont="1" applyFill="1" applyBorder="1" applyAlignment="1" applyProtection="1">
      <alignment horizontal="left" vertical="center"/>
    </xf>
    <xf numFmtId="0" fontId="69" fillId="5" borderId="29" xfId="0" applyFont="1" applyFill="1" applyBorder="1" applyAlignment="1" applyProtection="1">
      <alignment horizontal="right" vertical="center"/>
    </xf>
    <xf numFmtId="0" fontId="69" fillId="5" borderId="56" xfId="0" applyFont="1" applyFill="1" applyBorder="1" applyAlignment="1" applyProtection="1">
      <alignment horizontal="center" vertical="center"/>
    </xf>
    <xf numFmtId="0" fontId="69" fillId="5" borderId="17" xfId="0" applyFont="1" applyFill="1" applyBorder="1" applyAlignment="1" applyProtection="1">
      <alignment horizontal="right" vertical="center"/>
    </xf>
    <xf numFmtId="0" fontId="69" fillId="5" borderId="16" xfId="0" applyFont="1" applyFill="1" applyBorder="1" applyAlignment="1" applyProtection="1">
      <alignment horizontal="center" vertical="center"/>
    </xf>
    <xf numFmtId="0" fontId="74" fillId="0" borderId="0" xfId="0" applyFont="1" applyFill="1" applyProtection="1">
      <alignment vertical="center"/>
      <protection locked="0"/>
    </xf>
    <xf numFmtId="0" fontId="192" fillId="0" borderId="11" xfId="0" applyFont="1" applyBorder="1" applyAlignment="1" applyProtection="1">
      <alignment horizontal="center" vertical="center"/>
      <protection locked="0"/>
    </xf>
    <xf numFmtId="0" fontId="192" fillId="0" borderId="2" xfId="0" applyFont="1" applyFill="1" applyBorder="1" applyAlignment="1" applyProtection="1">
      <alignment horizontal="center" vertical="center"/>
      <protection locked="0"/>
    </xf>
    <xf numFmtId="0" fontId="192" fillId="0" borderId="12" xfId="0" applyFont="1" applyFill="1" applyBorder="1" applyAlignment="1" applyProtection="1">
      <alignment horizontal="center" vertical="center"/>
      <protection locked="0"/>
    </xf>
    <xf numFmtId="0" fontId="69" fillId="5" borderId="41" xfId="0" applyFont="1" applyFill="1" applyBorder="1" applyAlignment="1" applyProtection="1">
      <alignment horizontal="left" vertical="center"/>
    </xf>
    <xf numFmtId="0" fontId="73" fillId="0" borderId="7" xfId="0" applyFont="1" applyFill="1" applyBorder="1" applyAlignment="1" applyProtection="1">
      <alignment horizontal="center" vertical="center"/>
      <protection locked="0"/>
    </xf>
    <xf numFmtId="0" fontId="87" fillId="5" borderId="31" xfId="0" applyFont="1" applyFill="1" applyBorder="1" applyAlignment="1" applyProtection="1">
      <alignment vertical="center"/>
    </xf>
    <xf numFmtId="0" fontId="73" fillId="0" borderId="12" xfId="0" applyFont="1" applyFill="1" applyBorder="1" applyAlignment="1" applyProtection="1">
      <alignment horizontal="center" vertical="center"/>
      <protection locked="0"/>
    </xf>
    <xf numFmtId="0" fontId="88" fillId="5" borderId="31" xfId="0" applyFont="1" applyFill="1" applyBorder="1" applyAlignment="1" applyProtection="1">
      <alignment horizontal="right" vertical="center"/>
    </xf>
    <xf numFmtId="0" fontId="69" fillId="5" borderId="46" xfId="0" applyFont="1" applyFill="1" applyBorder="1" applyAlignment="1" applyProtection="1">
      <alignment horizontal="left" vertical="center"/>
    </xf>
    <xf numFmtId="0" fontId="74" fillId="5" borderId="14" xfId="0" applyFont="1" applyFill="1" applyBorder="1" applyAlignment="1" applyProtection="1">
      <alignment horizontal="right" vertical="center"/>
    </xf>
    <xf numFmtId="0" fontId="73" fillId="5" borderId="34" xfId="0" applyFont="1" applyFill="1" applyBorder="1" applyAlignment="1" applyProtection="1">
      <alignment vertical="center"/>
    </xf>
    <xf numFmtId="0" fontId="192" fillId="0" borderId="1" xfId="0" applyFont="1" applyFill="1" applyBorder="1" applyAlignment="1" applyProtection="1">
      <alignment horizontal="center" vertical="center"/>
      <protection locked="0"/>
    </xf>
    <xf numFmtId="0" fontId="192" fillId="0" borderId="6" xfId="0" applyFont="1" applyFill="1" applyBorder="1" applyAlignment="1" applyProtection="1">
      <alignment horizontal="center" vertical="center"/>
      <protection locked="0"/>
    </xf>
    <xf numFmtId="0" fontId="192" fillId="0" borderId="7" xfId="0" applyFont="1" applyFill="1" applyBorder="1" applyAlignment="1" applyProtection="1">
      <alignment horizontal="center" vertical="center"/>
      <protection locked="0"/>
    </xf>
    <xf numFmtId="0" fontId="192" fillId="0" borderId="11" xfId="0" applyFont="1" applyFill="1" applyBorder="1" applyAlignment="1" applyProtection="1">
      <alignment horizontal="center" vertical="center"/>
      <protection locked="0"/>
    </xf>
    <xf numFmtId="0" fontId="192" fillId="0" borderId="42" xfId="0" applyFont="1" applyFill="1" applyBorder="1" applyAlignment="1" applyProtection="1">
      <alignment horizontal="center" vertical="center"/>
      <protection locked="0"/>
    </xf>
    <xf numFmtId="0" fontId="192" fillId="0" borderId="43" xfId="0" applyFont="1" applyFill="1" applyBorder="1" applyAlignment="1" applyProtection="1">
      <alignment horizontal="center" vertical="center"/>
      <protection locked="0"/>
    </xf>
    <xf numFmtId="0" fontId="192" fillId="0" borderId="45" xfId="0" applyFont="1" applyFill="1" applyBorder="1" applyAlignment="1" applyProtection="1">
      <alignment horizontal="center" vertical="center"/>
      <protection locked="0"/>
    </xf>
    <xf numFmtId="0" fontId="74" fillId="5" borderId="0" xfId="0" applyFont="1" applyFill="1" applyProtection="1">
      <alignment vertical="center"/>
    </xf>
    <xf numFmtId="0" fontId="68" fillId="5" borderId="26" xfId="0" applyFont="1" applyFill="1" applyBorder="1" applyAlignment="1" applyProtection="1">
      <alignment horizontal="center" vertical="center"/>
    </xf>
    <xf numFmtId="0" fontId="68" fillId="5" borderId="57" xfId="0" applyFont="1" applyFill="1" applyBorder="1" applyAlignment="1" applyProtection="1">
      <alignment horizontal="center" vertical="center"/>
    </xf>
    <xf numFmtId="0" fontId="193" fillId="5" borderId="39"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xf>
    <xf numFmtId="0" fontId="68" fillId="5" borderId="7" xfId="0" applyFont="1" applyFill="1" applyBorder="1" applyAlignment="1" applyProtection="1">
      <alignment horizontal="center" vertical="center"/>
    </xf>
    <xf numFmtId="0" fontId="83" fillId="5" borderId="2" xfId="0" applyFont="1" applyFill="1" applyBorder="1" applyAlignment="1" applyProtection="1">
      <alignment horizontal="right" vertical="center"/>
    </xf>
    <xf numFmtId="0" fontId="83" fillId="5" borderId="12" xfId="0" applyFont="1" applyFill="1" applyBorder="1" applyAlignment="1" applyProtection="1">
      <alignment horizontal="right" vertical="center"/>
    </xf>
    <xf numFmtId="0" fontId="192" fillId="5" borderId="0" xfId="0" applyFont="1" applyFill="1" applyBorder="1" applyAlignment="1" applyProtection="1">
      <alignment horizontal="center" vertical="center"/>
    </xf>
    <xf numFmtId="0" fontId="73" fillId="5" borderId="44" xfId="0" applyFont="1" applyFill="1" applyBorder="1" applyAlignment="1" applyProtection="1">
      <alignment horizontal="right" vertical="center"/>
    </xf>
    <xf numFmtId="0" fontId="194" fillId="0" borderId="13" xfId="0" applyFont="1" applyBorder="1" applyAlignment="1" applyProtection="1">
      <alignment horizontal="left" vertical="center"/>
    </xf>
    <xf numFmtId="0" fontId="92" fillId="6" borderId="0" xfId="0" applyFont="1" applyFill="1" applyBorder="1" applyAlignment="1" applyProtection="1">
      <alignment horizontal="left" vertical="center" wrapText="1"/>
      <protection locked="0"/>
    </xf>
    <xf numFmtId="0" fontId="74" fillId="0" borderId="0"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protection locked="0"/>
    </xf>
    <xf numFmtId="0" fontId="74" fillId="0" borderId="32" xfId="0" applyFont="1" applyBorder="1" applyProtection="1">
      <alignment vertical="center"/>
      <protection locked="0"/>
    </xf>
    <xf numFmtId="0" fontId="74" fillId="0" borderId="13" xfId="0" applyFont="1" applyBorder="1" applyAlignment="1" applyProtection="1">
      <alignment horizontal="left" vertical="center" wrapText="1"/>
      <protection locked="0"/>
    </xf>
    <xf numFmtId="0" fontId="74" fillId="0" borderId="0" xfId="0" applyFont="1" applyBorder="1" applyAlignment="1" applyProtection="1">
      <alignment horizontal="left" vertical="center" wrapText="1"/>
      <protection locked="0"/>
    </xf>
    <xf numFmtId="0" fontId="74" fillId="0" borderId="0" xfId="0" applyFont="1" applyFill="1" applyBorder="1" applyAlignment="1" applyProtection="1">
      <alignment horizontal="center" vertical="center"/>
      <protection locked="0"/>
    </xf>
    <xf numFmtId="0" fontId="74" fillId="0" borderId="18" xfId="0" applyFont="1" applyBorder="1" applyProtection="1">
      <alignment vertical="center"/>
      <protection locked="0"/>
    </xf>
    <xf numFmtId="0" fontId="74" fillId="0" borderId="17" xfId="0" applyFont="1" applyBorder="1" applyAlignment="1" applyProtection="1">
      <alignment horizontal="left" vertical="center" wrapText="1"/>
      <protection locked="0"/>
    </xf>
    <xf numFmtId="0" fontId="74" fillId="0" borderId="19" xfId="0" applyFont="1" applyBorder="1" applyAlignment="1" applyProtection="1">
      <alignment horizontal="left" vertical="center" wrapText="1"/>
      <protection locked="0"/>
    </xf>
    <xf numFmtId="0" fontId="74" fillId="0" borderId="19" xfId="0" applyFont="1" applyFill="1" applyBorder="1" applyAlignment="1" applyProtection="1">
      <alignment horizontal="center" vertical="center" wrapText="1"/>
      <protection locked="0"/>
    </xf>
    <xf numFmtId="0" fontId="74" fillId="0" borderId="19" xfId="0" applyFont="1" applyFill="1" applyBorder="1" applyAlignment="1" applyProtection="1">
      <alignment horizontal="center" vertical="center"/>
      <protection locked="0"/>
    </xf>
    <xf numFmtId="0" fontId="74" fillId="0" borderId="20" xfId="0" applyFont="1" applyBorder="1" applyProtection="1">
      <alignment vertical="center"/>
      <protection locked="0"/>
    </xf>
    <xf numFmtId="0" fontId="83" fillId="0" borderId="19" xfId="0" applyFont="1" applyBorder="1" applyAlignment="1" applyProtection="1">
      <alignment horizontal="left" vertical="center"/>
      <protection locked="0"/>
    </xf>
    <xf numFmtId="0" fontId="74" fillId="0" borderId="19" xfId="0" applyFont="1" applyBorder="1" applyProtection="1">
      <alignment vertical="center"/>
      <protection locked="0"/>
    </xf>
    <xf numFmtId="0" fontId="74" fillId="0" borderId="19" xfId="0" applyFont="1" applyBorder="1" applyAlignment="1" applyProtection="1">
      <alignment horizontal="right" vertical="center"/>
      <protection locked="0"/>
    </xf>
    <xf numFmtId="0" fontId="83" fillId="0" borderId="0" xfId="0" applyFont="1" applyAlignment="1" applyProtection="1">
      <alignment horizontal="left" vertical="center"/>
      <protection locked="0"/>
    </xf>
    <xf numFmtId="2" fontId="74" fillId="0" borderId="0" xfId="0" applyNumberFormat="1" applyFont="1" applyAlignment="1" applyProtection="1">
      <alignment vertical="center" wrapText="1"/>
      <protection locked="0"/>
    </xf>
    <xf numFmtId="0" fontId="74" fillId="5" borderId="10" xfId="0" applyFont="1" applyFill="1" applyBorder="1" applyAlignment="1" applyProtection="1">
      <alignment vertical="center"/>
    </xf>
    <xf numFmtId="9" fontId="74" fillId="6" borderId="14" xfId="0" applyNumberFormat="1" applyFont="1" applyFill="1" applyBorder="1" applyAlignment="1" applyProtection="1">
      <alignment horizontal="center" vertical="center"/>
      <protection locked="0"/>
    </xf>
    <xf numFmtId="0" fontId="74" fillId="5" borderId="32" xfId="0" applyFont="1" applyFill="1" applyBorder="1" applyProtection="1">
      <alignment vertical="center"/>
    </xf>
    <xf numFmtId="0" fontId="83" fillId="5" borderId="31" xfId="0" applyFont="1" applyFill="1" applyBorder="1" applyAlignment="1" applyProtection="1">
      <alignment horizontal="left" vertical="center" wrapText="1"/>
    </xf>
    <xf numFmtId="0" fontId="83" fillId="5" borderId="19" xfId="0" applyFont="1" applyFill="1" applyBorder="1" applyAlignment="1" applyProtection="1">
      <alignment horizontal="left" vertical="center" wrapText="1"/>
    </xf>
    <xf numFmtId="0" fontId="83" fillId="5" borderId="20" xfId="0" applyFont="1" applyFill="1" applyBorder="1" applyAlignment="1" applyProtection="1">
      <alignment horizontal="left" vertical="center" wrapText="1"/>
    </xf>
    <xf numFmtId="0" fontId="74" fillId="5" borderId="17" xfId="0" applyFont="1" applyFill="1" applyBorder="1" applyAlignment="1" applyProtection="1">
      <alignment horizontal="center" vertical="center"/>
    </xf>
    <xf numFmtId="0" fontId="83" fillId="5" borderId="2" xfId="0" applyFont="1" applyFill="1" applyBorder="1" applyAlignment="1" applyProtection="1">
      <alignment horizontal="left" vertical="center" wrapText="1"/>
    </xf>
    <xf numFmtId="9" fontId="74" fillId="5" borderId="12" xfId="0" applyNumberFormat="1" applyFont="1" applyFill="1" applyBorder="1" applyAlignment="1" applyProtection="1">
      <alignment horizontal="center" vertical="center"/>
    </xf>
    <xf numFmtId="10" fontId="74" fillId="5" borderId="21" xfId="0" applyNumberFormat="1" applyFont="1" applyFill="1" applyBorder="1" applyAlignment="1" applyProtection="1">
      <alignment horizontal="center" vertical="center"/>
    </xf>
    <xf numFmtId="0" fontId="77" fillId="0" borderId="12" xfId="0" applyFont="1" applyFill="1" applyBorder="1" applyAlignment="1" applyProtection="1">
      <alignment vertical="center" wrapText="1"/>
      <protection locked="0"/>
    </xf>
    <xf numFmtId="0" fontId="74" fillId="5" borderId="22" xfId="0" applyFont="1" applyFill="1" applyBorder="1" applyAlignment="1" applyProtection="1">
      <alignment horizontal="right" vertical="center" wrapText="1"/>
    </xf>
    <xf numFmtId="0" fontId="74" fillId="5" borderId="4" xfId="0" applyFont="1" applyFill="1" applyBorder="1" applyAlignment="1" applyProtection="1">
      <alignment vertical="center"/>
    </xf>
    <xf numFmtId="0" fontId="74" fillId="5" borderId="24" xfId="0" applyFont="1" applyFill="1" applyBorder="1" applyAlignment="1" applyProtection="1">
      <alignment horizontal="right" vertical="center" wrapText="1"/>
    </xf>
    <xf numFmtId="0" fontId="74" fillId="5" borderId="13" xfId="0" applyFont="1" applyFill="1" applyBorder="1" applyAlignment="1" applyProtection="1">
      <alignment vertical="center"/>
    </xf>
    <xf numFmtId="0" fontId="74" fillId="5" borderId="18" xfId="0" applyFont="1" applyFill="1" applyBorder="1" applyProtection="1">
      <alignment vertical="center"/>
    </xf>
    <xf numFmtId="0" fontId="74" fillId="5" borderId="49" xfId="0" applyFont="1" applyFill="1" applyBorder="1" applyAlignment="1" applyProtection="1">
      <alignment horizontal="right" vertical="center" wrapText="1"/>
    </xf>
    <xf numFmtId="0" fontId="74" fillId="5" borderId="17" xfId="0" applyFont="1" applyFill="1" applyBorder="1" applyAlignment="1" applyProtection="1">
      <alignment vertical="center"/>
    </xf>
    <xf numFmtId="0" fontId="74" fillId="5" borderId="11" xfId="0" applyFont="1" applyFill="1" applyBorder="1" applyAlignment="1" applyProtection="1">
      <alignment horizontal="right" vertical="center" wrapText="1"/>
    </xf>
    <xf numFmtId="10" fontId="74" fillId="5" borderId="2" xfId="0" applyNumberFormat="1" applyFont="1" applyFill="1" applyBorder="1" applyAlignment="1" applyProtection="1">
      <alignment horizontal="center" vertical="center"/>
    </xf>
    <xf numFmtId="0" fontId="74" fillId="5" borderId="12" xfId="0" applyFont="1" applyFill="1" applyBorder="1" applyProtection="1">
      <alignment vertical="center"/>
    </xf>
    <xf numFmtId="0" fontId="74" fillId="5" borderId="5" xfId="0" applyFont="1" applyFill="1" applyBorder="1" applyAlignment="1" applyProtection="1">
      <alignment horizontal="right" vertical="center"/>
    </xf>
    <xf numFmtId="0" fontId="74" fillId="2" borderId="9" xfId="0" applyFont="1" applyFill="1" applyBorder="1" applyAlignment="1" applyProtection="1">
      <alignment horizontal="center" vertical="center" wrapText="1"/>
      <protection locked="0"/>
    </xf>
    <xf numFmtId="0" fontId="74" fillId="5" borderId="4" xfId="0" applyFont="1" applyFill="1" applyBorder="1" applyAlignment="1" applyProtection="1">
      <alignment horizontal="right" vertical="center"/>
    </xf>
    <xf numFmtId="0" fontId="74" fillId="5" borderId="2" xfId="0" applyFont="1" applyFill="1" applyBorder="1" applyProtection="1">
      <alignment vertical="center"/>
    </xf>
    <xf numFmtId="0" fontId="74" fillId="5" borderId="7" xfId="0" applyFont="1" applyFill="1" applyBorder="1" applyAlignment="1" applyProtection="1">
      <alignment horizontal="left" vertical="center" wrapText="1"/>
    </xf>
    <xf numFmtId="0" fontId="93" fillId="5" borderId="21" xfId="0" applyFont="1" applyFill="1" applyBorder="1" applyAlignment="1" applyProtection="1">
      <alignment horizontal="left" vertical="center" wrapText="1"/>
    </xf>
    <xf numFmtId="178" fontId="93" fillId="5" borderId="21" xfId="0" applyNumberFormat="1" applyFont="1" applyFill="1" applyBorder="1" applyAlignment="1" applyProtection="1">
      <alignment horizontal="center" vertical="center" wrapText="1"/>
    </xf>
    <xf numFmtId="0" fontId="93" fillId="5" borderId="21" xfId="0" applyFont="1" applyFill="1" applyBorder="1" applyAlignment="1" applyProtection="1">
      <alignment horizontal="center" vertical="center" wrapText="1"/>
    </xf>
    <xf numFmtId="0" fontId="74" fillId="5" borderId="50" xfId="0" applyFont="1" applyFill="1" applyBorder="1" applyAlignment="1" applyProtection="1">
      <alignment horizontal="left" vertical="center" wrapText="1"/>
    </xf>
    <xf numFmtId="49" fontId="74" fillId="5" borderId="11" xfId="0" applyNumberFormat="1" applyFont="1" applyFill="1" applyBorder="1" applyAlignment="1" applyProtection="1">
      <alignment horizontal="left" vertical="center" wrapText="1"/>
    </xf>
    <xf numFmtId="0" fontId="84" fillId="5" borderId="2" xfId="0" applyFont="1" applyFill="1" applyBorder="1" applyAlignment="1" applyProtection="1">
      <alignment horizontal="left" vertical="center" wrapText="1"/>
    </xf>
    <xf numFmtId="178" fontId="84" fillId="5" borderId="2" xfId="0" applyNumberFormat="1"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74" fillId="5" borderId="12" xfId="0" applyFont="1" applyFill="1" applyBorder="1" applyAlignment="1" applyProtection="1">
      <alignment horizontal="left" vertical="center" wrapText="1"/>
    </xf>
    <xf numFmtId="178" fontId="84" fillId="0" borderId="2" xfId="0" applyNumberFormat="1" applyFont="1" applyFill="1" applyBorder="1" applyAlignment="1" applyProtection="1">
      <alignment horizontal="center" vertical="center" wrapText="1"/>
      <protection locked="0"/>
    </xf>
    <xf numFmtId="49" fontId="83" fillId="5" borderId="11" xfId="0" applyNumberFormat="1" applyFont="1" applyFill="1" applyBorder="1" applyAlignment="1" applyProtection="1">
      <alignment horizontal="left" vertical="center" wrapText="1"/>
    </xf>
    <xf numFmtId="0" fontId="93" fillId="5" borderId="2" xfId="0" applyFont="1" applyFill="1" applyBorder="1" applyAlignment="1" applyProtection="1">
      <alignment horizontal="left" vertical="center" wrapText="1"/>
    </xf>
    <xf numFmtId="0" fontId="93" fillId="0" borderId="2" xfId="0" applyFont="1" applyFill="1" applyBorder="1" applyAlignment="1" applyProtection="1">
      <alignment horizontal="center" vertical="center" wrapText="1"/>
      <protection locked="0"/>
    </xf>
    <xf numFmtId="0" fontId="93" fillId="5" borderId="2" xfId="0" applyFont="1" applyFill="1" applyBorder="1" applyAlignment="1" applyProtection="1">
      <alignment horizontal="center" vertical="center" wrapText="1"/>
    </xf>
    <xf numFmtId="178" fontId="93" fillId="5" borderId="2" xfId="0" applyNumberFormat="1" applyFont="1" applyFill="1" applyBorder="1" applyAlignment="1" applyProtection="1">
      <alignment horizontal="center" vertical="center" wrapText="1"/>
    </xf>
    <xf numFmtId="49" fontId="83" fillId="5" borderId="42" xfId="0" applyNumberFormat="1" applyFont="1" applyFill="1" applyBorder="1" applyAlignment="1" applyProtection="1">
      <alignment horizontal="left" vertical="center" wrapText="1"/>
    </xf>
    <xf numFmtId="0" fontId="93" fillId="5" borderId="43" xfId="0" applyFont="1" applyFill="1" applyBorder="1" applyAlignment="1" applyProtection="1">
      <alignment horizontal="left" vertical="center" wrapText="1"/>
    </xf>
    <xf numFmtId="178" fontId="93" fillId="5" borderId="43" xfId="0" applyNumberFormat="1" applyFont="1" applyFill="1" applyBorder="1" applyAlignment="1" applyProtection="1">
      <alignment horizontal="center" vertical="center" wrapText="1"/>
    </xf>
    <xf numFmtId="10" fontId="84" fillId="5" borderId="43" xfId="0" applyNumberFormat="1" applyFont="1" applyFill="1" applyBorder="1" applyAlignment="1" applyProtection="1">
      <alignment horizontal="center" vertical="center" wrapText="1"/>
    </xf>
    <xf numFmtId="0" fontId="74" fillId="5" borderId="45" xfId="0" applyFont="1" applyFill="1" applyBorder="1" applyAlignment="1" applyProtection="1">
      <alignment horizontal="left" vertical="center"/>
    </xf>
    <xf numFmtId="0" fontId="74" fillId="5" borderId="29" xfId="0" applyFont="1" applyFill="1" applyBorder="1" applyAlignment="1" applyProtection="1">
      <alignment horizontal="left" vertical="center" wrapText="1"/>
    </xf>
    <xf numFmtId="0" fontId="74" fillId="5" borderId="30" xfId="0" applyFont="1" applyFill="1" applyBorder="1" applyAlignment="1" applyProtection="1">
      <alignment horizontal="left" vertical="center" wrapText="1"/>
    </xf>
    <xf numFmtId="0" fontId="69" fillId="5" borderId="56" xfId="6" applyFont="1" applyFill="1" applyBorder="1" applyAlignment="1" applyProtection="1">
      <alignment horizontal="left" vertical="center" wrapText="1"/>
    </xf>
    <xf numFmtId="0" fontId="69" fillId="5" borderId="16" xfId="6" applyFont="1" applyFill="1" applyBorder="1" applyAlignment="1" applyProtection="1">
      <alignment horizontal="left" vertical="center" wrapText="1"/>
    </xf>
    <xf numFmtId="49" fontId="74" fillId="5" borderId="11" xfId="0" applyNumberFormat="1" applyFont="1" applyFill="1" applyBorder="1" applyAlignment="1" applyProtection="1">
      <alignment vertical="center" wrapText="1"/>
    </xf>
    <xf numFmtId="0" fontId="84" fillId="0" borderId="2" xfId="0" applyFont="1" applyFill="1" applyBorder="1" applyAlignment="1" applyProtection="1">
      <alignment horizontal="center" vertical="center" wrapText="1"/>
      <protection locked="0"/>
    </xf>
    <xf numFmtId="0" fontId="69" fillId="5" borderId="2" xfId="6" applyFont="1" applyFill="1" applyBorder="1" applyAlignment="1" applyProtection="1">
      <alignment horizontal="left" vertical="center" wrapText="1"/>
    </xf>
    <xf numFmtId="0" fontId="69" fillId="2" borderId="2" xfId="6" applyFont="1" applyFill="1" applyBorder="1" applyAlignment="1" applyProtection="1">
      <alignment horizontal="center" vertical="center" wrapText="1"/>
      <protection locked="0"/>
    </xf>
    <xf numFmtId="178" fontId="84" fillId="0" borderId="12" xfId="0" applyNumberFormat="1" applyFont="1" applyFill="1" applyBorder="1" applyAlignment="1" applyProtection="1">
      <alignment horizontal="center" vertical="center" wrapText="1"/>
      <protection locked="0"/>
    </xf>
    <xf numFmtId="0" fontId="84" fillId="5" borderId="21" xfId="0" applyFont="1" applyFill="1" applyBorder="1" applyAlignment="1" applyProtection="1">
      <alignment horizontal="left" vertical="center" wrapText="1"/>
    </xf>
    <xf numFmtId="9" fontId="69" fillId="5" borderId="0" xfId="0" applyNumberFormat="1" applyFont="1" applyFill="1" applyBorder="1" applyAlignment="1" applyProtection="1">
      <alignment horizontal="center" vertical="center"/>
    </xf>
    <xf numFmtId="10" fontId="84" fillId="5" borderId="2" xfId="0" applyNumberFormat="1" applyFont="1" applyFill="1" applyBorder="1" applyAlignment="1" applyProtection="1">
      <alignment horizontal="center" vertical="center" wrapText="1"/>
    </xf>
    <xf numFmtId="0" fontId="69" fillId="5" borderId="8" xfId="0" applyFont="1" applyFill="1" applyBorder="1" applyAlignment="1" applyProtection="1">
      <alignment horizontal="left" vertical="center"/>
    </xf>
    <xf numFmtId="0" fontId="74" fillId="2" borderId="8" xfId="0" applyFont="1" applyFill="1" applyBorder="1" applyAlignment="1" applyProtection="1">
      <alignment horizontal="left" vertical="center" wrapText="1"/>
      <protection locked="0"/>
    </xf>
    <xf numFmtId="190" fontId="84" fillId="5" borderId="2" xfId="0" applyNumberFormat="1" applyFont="1" applyFill="1" applyBorder="1" applyAlignment="1" applyProtection="1">
      <alignment horizontal="center" vertical="center" wrapText="1"/>
    </xf>
    <xf numFmtId="10" fontId="83" fillId="5" borderId="5" xfId="0" applyNumberFormat="1" applyFont="1" applyFill="1" applyBorder="1" applyAlignment="1" applyProtection="1">
      <alignment horizontal="center" vertical="center" wrapText="1"/>
    </xf>
    <xf numFmtId="182" fontId="93" fillId="5" borderId="2" xfId="0" applyNumberFormat="1" applyFont="1" applyFill="1" applyBorder="1" applyAlignment="1" applyProtection="1">
      <alignment horizontal="center" vertical="center" wrapText="1"/>
    </xf>
    <xf numFmtId="0" fontId="83" fillId="5" borderId="43" xfId="0" applyFont="1" applyFill="1" applyBorder="1" applyAlignment="1" applyProtection="1">
      <alignment horizontal="center" vertical="center" wrapText="1"/>
    </xf>
    <xf numFmtId="0" fontId="84" fillId="5" borderId="43" xfId="0" applyFont="1" applyFill="1" applyBorder="1" applyAlignment="1" applyProtection="1">
      <alignment horizontal="center" vertical="center" wrapText="1"/>
    </xf>
    <xf numFmtId="0" fontId="74" fillId="5" borderId="44" xfId="0" applyFont="1" applyFill="1" applyBorder="1" applyAlignment="1" applyProtection="1">
      <alignment horizontal="left" vertical="center"/>
    </xf>
    <xf numFmtId="0" fontId="74" fillId="5" borderId="55" xfId="0" applyFont="1" applyFill="1" applyBorder="1" applyAlignment="1" applyProtection="1">
      <alignment horizontal="left" vertical="center" wrapText="1"/>
    </xf>
    <xf numFmtId="0" fontId="69" fillId="5" borderId="47" xfId="6" applyFont="1" applyFill="1" applyBorder="1" applyAlignment="1" applyProtection="1">
      <alignment horizontal="left" vertical="center" wrapText="1"/>
    </xf>
    <xf numFmtId="0" fontId="74" fillId="5" borderId="56" xfId="6" applyFont="1" applyFill="1" applyBorder="1" applyAlignment="1" applyProtection="1">
      <alignment horizontal="left" vertical="center" wrapText="1"/>
    </xf>
    <xf numFmtId="0" fontId="74" fillId="5" borderId="16" xfId="6" applyFont="1" applyFill="1" applyBorder="1" applyAlignment="1" applyProtection="1">
      <alignment horizontal="left" vertical="center" wrapText="1"/>
    </xf>
    <xf numFmtId="0" fontId="84" fillId="5" borderId="5" xfId="0" applyFont="1" applyFill="1" applyBorder="1" applyAlignment="1" applyProtection="1">
      <alignment horizontal="center" vertical="center" wrapText="1"/>
    </xf>
    <xf numFmtId="190" fontId="84" fillId="0" borderId="2" xfId="0" applyNumberFormat="1" applyFont="1" applyFill="1" applyBorder="1" applyAlignment="1" applyProtection="1">
      <alignment horizontal="center" vertical="center" wrapText="1"/>
      <protection locked="0"/>
    </xf>
    <xf numFmtId="10" fontId="74" fillId="5" borderId="5" xfId="0" applyNumberFormat="1" applyFont="1" applyFill="1" applyBorder="1" applyAlignment="1" applyProtection="1">
      <alignment horizontal="left" vertical="center"/>
    </xf>
    <xf numFmtId="0" fontId="94" fillId="5" borderId="0" xfId="0" applyFont="1" applyFill="1" applyBorder="1" applyAlignment="1" applyProtection="1">
      <alignment horizontal="left" vertical="center"/>
    </xf>
    <xf numFmtId="10" fontId="74" fillId="2" borderId="16" xfId="0" applyNumberFormat="1" applyFont="1" applyFill="1" applyBorder="1" applyAlignment="1" applyProtection="1">
      <alignment horizontal="left" vertical="center" wrapText="1"/>
      <protection locked="0"/>
    </xf>
    <xf numFmtId="0" fontId="74" fillId="5" borderId="47" xfId="6" applyFont="1" applyFill="1" applyBorder="1" applyAlignment="1" applyProtection="1">
      <alignment horizontal="left" vertical="center" wrapText="1"/>
    </xf>
    <xf numFmtId="0" fontId="190" fillId="5" borderId="58" xfId="3" applyFont="1" applyFill="1" applyBorder="1" applyAlignment="1" applyProtection="1">
      <alignment vertical="center"/>
    </xf>
    <xf numFmtId="0" fontId="68" fillId="5" borderId="0" xfId="3" applyFont="1" applyFill="1" applyBorder="1" applyAlignment="1" applyProtection="1">
      <alignment vertical="center"/>
    </xf>
    <xf numFmtId="0" fontId="95" fillId="5" borderId="2" xfId="3" applyFont="1" applyFill="1" applyBorder="1" applyAlignment="1" applyProtection="1">
      <alignment vertical="center"/>
    </xf>
    <xf numFmtId="178" fontId="95" fillId="5" borderId="2" xfId="3" applyNumberFormat="1" applyFont="1" applyFill="1" applyBorder="1" applyAlignment="1" applyProtection="1">
      <alignment horizontal="right" vertical="center"/>
    </xf>
    <xf numFmtId="0" fontId="95" fillId="5" borderId="10" xfId="3" applyFont="1" applyFill="1" applyBorder="1" applyAlignment="1" applyProtection="1">
      <alignment horizontal="right" vertical="center"/>
    </xf>
    <xf numFmtId="0" fontId="81" fillId="5" borderId="10" xfId="0" applyFont="1" applyFill="1" applyBorder="1" applyAlignment="1" applyProtection="1">
      <alignment vertical="center"/>
    </xf>
    <xf numFmtId="0" fontId="95" fillId="5" borderId="2" xfId="0" applyFont="1" applyFill="1" applyBorder="1" applyAlignment="1" applyProtection="1">
      <alignment vertical="center"/>
    </xf>
    <xf numFmtId="0" fontId="96" fillId="5" borderId="0" xfId="0" applyFont="1" applyFill="1" applyAlignment="1" applyProtection="1">
      <alignment horizontal="center" vertical="center"/>
    </xf>
    <xf numFmtId="0" fontId="95" fillId="5" borderId="0" xfId="3" applyFont="1" applyFill="1" applyBorder="1" applyAlignment="1" applyProtection="1">
      <alignment vertical="center"/>
    </xf>
    <xf numFmtId="0" fontId="95" fillId="5" borderId="4" xfId="0" applyFont="1" applyFill="1" applyBorder="1" applyAlignment="1" applyProtection="1">
      <alignment vertical="center"/>
    </xf>
    <xf numFmtId="0" fontId="193" fillId="5" borderId="32" xfId="0" applyFont="1" applyFill="1" applyBorder="1" applyAlignment="1" applyProtection="1">
      <alignment horizontal="left" vertical="center"/>
    </xf>
    <xf numFmtId="0" fontId="68" fillId="5" borderId="58" xfId="0" applyFont="1" applyFill="1" applyBorder="1" applyAlignment="1" applyProtection="1"/>
    <xf numFmtId="0" fontId="68" fillId="5" borderId="30" xfId="0" applyFont="1" applyFill="1" applyBorder="1" applyAlignment="1" applyProtection="1"/>
    <xf numFmtId="0" fontId="73" fillId="5" borderId="11" xfId="0" applyFont="1" applyFill="1" applyBorder="1" applyAlignment="1" applyProtection="1">
      <alignment horizontal="center"/>
    </xf>
    <xf numFmtId="0" fontId="73" fillId="5" borderId="4" xfId="0" applyFont="1" applyFill="1" applyBorder="1" applyAlignment="1" applyProtection="1"/>
    <xf numFmtId="185" fontId="74" fillId="6" borderId="2" xfId="0" applyNumberFormat="1" applyFont="1" applyFill="1" applyBorder="1" applyAlignment="1" applyProtection="1">
      <alignment horizontal="center" vertical="center" wrapText="1"/>
      <protection locked="0"/>
    </xf>
    <xf numFmtId="185" fontId="74" fillId="6" borderId="12" xfId="0" applyNumberFormat="1" applyFont="1" applyFill="1" applyBorder="1" applyAlignment="1" applyProtection="1">
      <alignment horizontal="center" vertical="center" wrapText="1"/>
      <protection locked="0"/>
    </xf>
    <xf numFmtId="0" fontId="74" fillId="5" borderId="5" xfId="0" applyFont="1" applyFill="1" applyBorder="1" applyAlignment="1" applyProtection="1"/>
    <xf numFmtId="185" fontId="74" fillId="0" borderId="2" xfId="0" applyNumberFormat="1" applyFont="1" applyFill="1" applyBorder="1" applyAlignment="1" applyProtection="1">
      <alignment horizontal="center"/>
      <protection locked="0"/>
    </xf>
    <xf numFmtId="185" fontId="74" fillId="0" borderId="12" xfId="0" applyNumberFormat="1" applyFont="1" applyFill="1" applyBorder="1" applyAlignment="1" applyProtection="1">
      <alignment horizontal="center"/>
      <protection locked="0"/>
    </xf>
    <xf numFmtId="177" fontId="191" fillId="5" borderId="2" xfId="0" applyNumberFormat="1" applyFont="1" applyFill="1" applyBorder="1" applyAlignment="1" applyProtection="1">
      <alignment horizontal="center" vertical="center"/>
    </xf>
    <xf numFmtId="177" fontId="191" fillId="5" borderId="12" xfId="0" applyNumberFormat="1" applyFont="1" applyFill="1" applyBorder="1" applyAlignment="1" applyProtection="1">
      <alignment horizontal="center" vertical="center"/>
    </xf>
    <xf numFmtId="0" fontId="73" fillId="5" borderId="11" xfId="0" applyFont="1" applyFill="1" applyBorder="1" applyAlignment="1" applyProtection="1">
      <alignment horizontal="left"/>
    </xf>
    <xf numFmtId="0" fontId="73" fillId="5" borderId="5" xfId="0" applyFont="1" applyFill="1" applyBorder="1" applyAlignment="1" applyProtection="1"/>
    <xf numFmtId="185" fontId="73" fillId="5" borderId="2" xfId="0" applyNumberFormat="1" applyFont="1" applyFill="1" applyBorder="1" applyAlignment="1" applyProtection="1">
      <alignment horizontal="center"/>
    </xf>
    <xf numFmtId="0" fontId="73" fillId="5" borderId="2" xfId="0"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4" fillId="5" borderId="5" xfId="3" applyFont="1" applyFill="1" applyBorder="1" applyAlignment="1" applyProtection="1"/>
    <xf numFmtId="178" fontId="74" fillId="5" borderId="2" xfId="0" applyNumberFormat="1" applyFont="1" applyFill="1" applyBorder="1" applyAlignment="1" applyProtection="1">
      <alignment horizontal="center" vertical="center"/>
    </xf>
    <xf numFmtId="180" fontId="74" fillId="5" borderId="2" xfId="3" applyNumberFormat="1" applyFont="1" applyFill="1" applyBorder="1" applyAlignment="1" applyProtection="1">
      <alignment horizontal="center"/>
    </xf>
    <xf numFmtId="182" fontId="74" fillId="5" borderId="2" xfId="3" applyNumberFormat="1" applyFont="1" applyFill="1" applyBorder="1" applyAlignment="1" applyProtection="1">
      <alignment horizontal="center"/>
    </xf>
    <xf numFmtId="9" fontId="74" fillId="5" borderId="2" xfId="3" applyNumberFormat="1" applyFont="1" applyFill="1" applyBorder="1" applyAlignment="1" applyProtection="1">
      <alignment horizontal="center"/>
    </xf>
    <xf numFmtId="178" fontId="74" fillId="5" borderId="2" xfId="3" applyNumberFormat="1" applyFont="1" applyFill="1" applyBorder="1" applyAlignment="1" applyProtection="1">
      <alignment horizontal="center"/>
    </xf>
    <xf numFmtId="178" fontId="74" fillId="5" borderId="2" xfId="3" applyNumberFormat="1" applyFont="1" applyFill="1" applyBorder="1" applyAlignment="1" applyProtection="1"/>
    <xf numFmtId="10" fontId="74" fillId="5" borderId="2" xfId="3" applyNumberFormat="1"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3" fillId="5" borderId="5" xfId="3" applyFont="1" applyFill="1" applyBorder="1" applyAlignment="1" applyProtection="1"/>
    <xf numFmtId="178" fontId="73" fillId="5" borderId="2" xfId="3" applyNumberFormat="1" applyFont="1" applyFill="1" applyBorder="1" applyAlignment="1" applyProtection="1">
      <alignment horizontal="center"/>
    </xf>
    <xf numFmtId="0" fontId="73" fillId="5" borderId="2" xfId="3" applyFont="1" applyFill="1" applyBorder="1" applyAlignment="1" applyProtection="1"/>
    <xf numFmtId="178" fontId="73" fillId="5" borderId="2" xfId="3" applyNumberFormat="1" applyFont="1" applyFill="1" applyBorder="1" applyAlignment="1" applyProtection="1"/>
    <xf numFmtId="0" fontId="69" fillId="5" borderId="5" xfId="0" applyFont="1" applyFill="1" applyBorder="1" applyAlignment="1" applyProtection="1"/>
    <xf numFmtId="0" fontId="69" fillId="5" borderId="8" xfId="0" applyFont="1" applyFill="1" applyBorder="1" applyAlignment="1" applyProtection="1"/>
    <xf numFmtId="0" fontId="69" fillId="5" borderId="16" xfId="0" applyFont="1" applyFill="1" applyBorder="1" applyAlignment="1" applyProtection="1"/>
    <xf numFmtId="10" fontId="73" fillId="5" borderId="2" xfId="3" applyNumberFormat="1" applyFont="1" applyFill="1" applyBorder="1" applyAlignment="1" applyProtection="1">
      <alignment horizontal="center"/>
    </xf>
    <xf numFmtId="0" fontId="73" fillId="5" borderId="2" xfId="0" applyFont="1" applyFill="1" applyBorder="1" applyAlignment="1" applyProtection="1">
      <alignment horizontal="right" vertical="center"/>
    </xf>
    <xf numFmtId="178" fontId="73" fillId="5" borderId="2" xfId="3" applyNumberFormat="1" applyFont="1" applyFill="1" applyBorder="1" applyAlignment="1" applyProtection="1">
      <alignment vertical="center"/>
    </xf>
    <xf numFmtId="178" fontId="73" fillId="5" borderId="8" xfId="3" applyNumberFormat="1" applyFont="1" applyFill="1" applyBorder="1" applyAlignment="1" applyProtection="1">
      <alignment vertical="center"/>
    </xf>
    <xf numFmtId="178" fontId="73" fillId="5" borderId="0" xfId="0" applyNumberFormat="1" applyFont="1" applyFill="1" applyBorder="1" applyAlignment="1" applyProtection="1">
      <alignment horizontal="center"/>
    </xf>
    <xf numFmtId="10" fontId="73" fillId="5" borderId="10" xfId="0" applyNumberFormat="1" applyFont="1" applyFill="1" applyBorder="1" applyAlignment="1" applyProtection="1">
      <alignment horizontal="center" vertical="center"/>
    </xf>
    <xf numFmtId="186" fontId="74" fillId="5" borderId="2" xfId="0" applyNumberFormat="1" applyFont="1" applyFill="1" applyBorder="1" applyAlignment="1" applyProtection="1">
      <alignment horizontal="center" vertical="center"/>
    </xf>
    <xf numFmtId="178" fontId="74" fillId="5" borderId="8" xfId="3" applyNumberFormat="1" applyFont="1" applyFill="1" applyBorder="1" applyAlignment="1" applyProtection="1">
      <alignment vertical="center"/>
    </xf>
    <xf numFmtId="10" fontId="74" fillId="5" borderId="10" xfId="0" applyNumberFormat="1" applyFont="1" applyFill="1" applyBorder="1" applyAlignment="1" applyProtection="1">
      <alignment horizontal="center" vertical="center"/>
    </xf>
    <xf numFmtId="178" fontId="74" fillId="5" borderId="2" xfId="3" applyNumberFormat="1" applyFont="1" applyFill="1" applyBorder="1" applyAlignment="1" applyProtection="1">
      <alignment vertical="center"/>
    </xf>
    <xf numFmtId="0" fontId="73" fillId="5" borderId="2" xfId="3" applyFont="1" applyFill="1" applyBorder="1" applyAlignment="1" applyProtection="1">
      <alignment horizontal="left"/>
    </xf>
    <xf numFmtId="186" fontId="73" fillId="5" borderId="2" xfId="0" applyNumberFormat="1" applyFont="1" applyFill="1" applyBorder="1" applyAlignment="1" applyProtection="1">
      <alignment horizontal="right" vertical="center"/>
    </xf>
    <xf numFmtId="178" fontId="73" fillId="5" borderId="9"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78" fontId="74" fillId="5" borderId="8" xfId="3" applyNumberFormat="1" applyFont="1" applyFill="1" applyBorder="1" applyAlignment="1" applyProtection="1"/>
    <xf numFmtId="0" fontId="73" fillId="5" borderId="59" xfId="0" applyFont="1" applyFill="1" applyBorder="1" applyAlignment="1" applyProtection="1"/>
    <xf numFmtId="0" fontId="73" fillId="5" borderId="55" xfId="0" applyFont="1" applyFill="1" applyBorder="1" applyAlignment="1" applyProtection="1"/>
    <xf numFmtId="185" fontId="68" fillId="5" borderId="43" xfId="0" applyNumberFormat="1" applyFont="1" applyFill="1" applyBorder="1" applyAlignment="1" applyProtection="1">
      <alignment horizontal="center"/>
    </xf>
    <xf numFmtId="0" fontId="73" fillId="5" borderId="47" xfId="0" applyFont="1" applyFill="1" applyBorder="1" applyAlignment="1" applyProtection="1"/>
    <xf numFmtId="10" fontId="73" fillId="5" borderId="2" xfId="0" applyNumberFormat="1" applyFont="1" applyFill="1" applyBorder="1" applyAlignment="1" applyProtection="1">
      <alignment horizontal="center"/>
    </xf>
    <xf numFmtId="0" fontId="74" fillId="5" borderId="9" xfId="0" applyNumberFormat="1" applyFont="1" applyFill="1" applyBorder="1" applyAlignment="1" applyProtection="1">
      <alignment horizontal="center"/>
    </xf>
    <xf numFmtId="0" fontId="74" fillId="5" borderId="0" xfId="0" applyNumberFormat="1" applyFont="1" applyFill="1" applyBorder="1" applyAlignment="1" applyProtection="1">
      <alignment horizontal="center"/>
    </xf>
    <xf numFmtId="0" fontId="73" fillId="5" borderId="2" xfId="0" applyNumberFormat="1" applyFont="1" applyFill="1" applyBorder="1" applyAlignment="1" applyProtection="1">
      <alignment horizontal="right" vertical="center"/>
    </xf>
    <xf numFmtId="0" fontId="74" fillId="5" borderId="2" xfId="0" applyNumberFormat="1" applyFont="1" applyFill="1" applyBorder="1" applyAlignment="1" applyProtection="1">
      <alignment horizontal="center" vertical="center"/>
    </xf>
    <xf numFmtId="0" fontId="74" fillId="5" borderId="2" xfId="0" applyNumberFormat="1" applyFont="1" applyFill="1" applyBorder="1" applyAlignment="1" applyProtection="1">
      <alignment horizontal="center" vertical="center" wrapText="1"/>
    </xf>
    <xf numFmtId="182" fontId="195" fillId="5" borderId="2" xfId="0" applyNumberFormat="1" applyFont="1" applyFill="1" applyBorder="1" applyAlignment="1" applyProtection="1">
      <alignment horizontal="center"/>
    </xf>
    <xf numFmtId="186" fontId="195" fillId="5" borderId="2" xfId="0" applyNumberFormat="1" applyFont="1" applyFill="1" applyBorder="1" applyAlignment="1" applyProtection="1">
      <alignment horizontal="center" vertical="center"/>
    </xf>
    <xf numFmtId="178" fontId="195" fillId="5" borderId="8" xfId="3" applyNumberFormat="1" applyFont="1" applyFill="1" applyBorder="1" applyAlignment="1" applyProtection="1">
      <alignment vertical="center"/>
    </xf>
    <xf numFmtId="10" fontId="195" fillId="5" borderId="10" xfId="0" applyNumberFormat="1" applyFont="1" applyFill="1" applyBorder="1" applyAlignment="1" applyProtection="1">
      <alignment horizontal="center" vertical="center"/>
    </xf>
    <xf numFmtId="0" fontId="195" fillId="5" borderId="8" xfId="0" applyFont="1" applyFill="1" applyBorder="1" applyAlignment="1" applyProtection="1"/>
    <xf numFmtId="0" fontId="195" fillId="5" borderId="5" xfId="0" applyFont="1" applyFill="1" applyBorder="1" applyAlignment="1" applyProtection="1">
      <alignment horizontal="center" vertical="center"/>
    </xf>
    <xf numFmtId="178" fontId="195" fillId="5" borderId="2" xfId="3" applyNumberFormat="1" applyFont="1" applyFill="1" applyBorder="1" applyAlignment="1" applyProtection="1">
      <alignment vertical="center"/>
    </xf>
    <xf numFmtId="10" fontId="195" fillId="5" borderId="2" xfId="0" applyNumberFormat="1" applyFont="1" applyFill="1" applyBorder="1" applyAlignment="1" applyProtection="1">
      <alignment horizontal="center" vertical="center"/>
    </xf>
    <xf numFmtId="0" fontId="195" fillId="5" borderId="0" xfId="0" applyFont="1" applyFill="1" applyBorder="1" applyAlignment="1" applyProtection="1">
      <alignment horizontal="center" vertical="center" wrapText="1"/>
    </xf>
    <xf numFmtId="10" fontId="195" fillId="5" borderId="2" xfId="0" applyNumberFormat="1" applyFont="1" applyFill="1" applyBorder="1" applyAlignment="1" applyProtection="1">
      <alignment vertical="center" wrapText="1"/>
    </xf>
    <xf numFmtId="0" fontId="190" fillId="5" borderId="4" xfId="0" applyFont="1" applyFill="1" applyBorder="1" applyAlignment="1" applyProtection="1">
      <alignment vertical="center"/>
    </xf>
    <xf numFmtId="0" fontId="99" fillId="5" borderId="14" xfId="0" applyFont="1" applyFill="1" applyBorder="1" applyAlignment="1" applyProtection="1">
      <alignment horizontal="right" vertical="center"/>
    </xf>
    <xf numFmtId="0" fontId="99" fillId="5" borderId="0" xfId="0" applyFont="1" applyFill="1" applyAlignment="1" applyProtection="1">
      <alignment horizontal="center" vertical="center"/>
    </xf>
    <xf numFmtId="0" fontId="66" fillId="5" borderId="14" xfId="0" applyFont="1" applyFill="1" applyBorder="1" applyAlignment="1" applyProtection="1">
      <alignment vertical="center"/>
    </xf>
    <xf numFmtId="0" fontId="99" fillId="5" borderId="14" xfId="0" applyFont="1" applyFill="1" applyBorder="1" applyAlignment="1" applyProtection="1">
      <alignment vertical="center"/>
    </xf>
    <xf numFmtId="188" fontId="99" fillId="5" borderId="14" xfId="0" applyNumberFormat="1" applyFont="1" applyFill="1" applyBorder="1" applyAlignment="1" applyProtection="1">
      <alignment horizontal="center" vertical="center"/>
    </xf>
    <xf numFmtId="178" fontId="95" fillId="5" borderId="2" xfId="0" applyNumberFormat="1" applyFont="1" applyFill="1" applyBorder="1" applyAlignment="1" applyProtection="1">
      <alignment horizontal="right" vertical="center"/>
    </xf>
    <xf numFmtId="0" fontId="95" fillId="5" borderId="10" xfId="3" applyFont="1" applyFill="1" applyBorder="1" applyAlignment="1" applyProtection="1">
      <alignment vertical="center"/>
    </xf>
    <xf numFmtId="185" fontId="95" fillId="5" borderId="10" xfId="0" applyNumberFormat="1" applyFont="1" applyFill="1" applyBorder="1" applyAlignment="1" applyProtection="1">
      <alignment horizontal="right" vertical="center"/>
    </xf>
    <xf numFmtId="0" fontId="95" fillId="5" borderId="10" xfId="0" applyFont="1" applyFill="1" applyBorder="1" applyAlignment="1" applyProtection="1">
      <alignment vertical="center"/>
    </xf>
    <xf numFmtId="0" fontId="81" fillId="5" borderId="26" xfId="0" applyFont="1" applyFill="1" applyBorder="1" applyAlignment="1" applyProtection="1">
      <alignment vertical="center" wrapText="1"/>
    </xf>
    <xf numFmtId="0" fontId="81" fillId="5" borderId="28" xfId="0" applyFont="1" applyFill="1" applyBorder="1" applyAlignment="1" applyProtection="1">
      <alignment vertical="center" wrapText="1"/>
    </xf>
    <xf numFmtId="188" fontId="69" fillId="5" borderId="9" xfId="0" applyNumberFormat="1" applyFont="1" applyFill="1" applyBorder="1" applyAlignment="1" applyProtection="1">
      <alignment horizontal="center" vertical="center" wrapText="1"/>
    </xf>
    <xf numFmtId="0" fontId="81" fillId="5" borderId="31" xfId="0" applyFont="1" applyFill="1" applyBorder="1" applyAlignment="1" applyProtection="1">
      <alignment vertical="center" wrapText="1"/>
    </xf>
    <xf numFmtId="0" fontId="81" fillId="5" borderId="0" xfId="0" applyFont="1" applyFill="1" applyBorder="1" applyAlignment="1" applyProtection="1">
      <alignment vertical="center" wrapText="1"/>
    </xf>
    <xf numFmtId="0" fontId="81" fillId="5" borderId="53" xfId="0" applyFont="1" applyFill="1" applyBorder="1" applyAlignment="1" applyProtection="1">
      <alignment vertical="center" wrapText="1"/>
    </xf>
    <xf numFmtId="0" fontId="81" fillId="5" borderId="60" xfId="0" applyFont="1" applyFill="1" applyBorder="1" applyAlignment="1" applyProtection="1">
      <alignment vertical="center" wrapText="1"/>
    </xf>
    <xf numFmtId="184" fontId="69" fillId="5" borderId="33" xfId="0" applyNumberFormat="1" applyFont="1" applyFill="1" applyBorder="1" applyAlignment="1" applyProtection="1">
      <alignment horizontal="center" vertical="center" wrapText="1"/>
    </xf>
    <xf numFmtId="0" fontId="69" fillId="5" borderId="61" xfId="0" applyNumberFormat="1" applyFont="1" applyFill="1" applyBorder="1" applyAlignment="1" applyProtection="1">
      <alignment horizontal="center" vertical="center" wrapText="1"/>
    </xf>
    <xf numFmtId="184" fontId="69" fillId="0" borderId="62" xfId="0" applyNumberFormat="1" applyFont="1" applyFill="1" applyBorder="1" applyAlignment="1" applyProtection="1">
      <alignment horizontal="center" vertical="center" wrapText="1"/>
      <protection locked="0"/>
    </xf>
    <xf numFmtId="0" fontId="69" fillId="5" borderId="48" xfId="0" applyNumberFormat="1" applyFont="1" applyFill="1" applyBorder="1" applyAlignment="1" applyProtection="1">
      <alignment horizontal="center" vertical="center" wrapText="1"/>
    </xf>
    <xf numFmtId="184" fontId="69" fillId="0" borderId="33" xfId="0" applyNumberFormat="1" applyFont="1" applyFill="1" applyBorder="1" applyAlignment="1" applyProtection="1">
      <alignment horizontal="center" vertical="center" wrapText="1"/>
      <protection locked="0"/>
    </xf>
    <xf numFmtId="0" fontId="69" fillId="5" borderId="9" xfId="0" applyNumberFormat="1" applyFont="1" applyFill="1" applyBorder="1" applyAlignment="1" applyProtection="1">
      <alignment horizontal="center" vertical="center" wrapText="1"/>
    </xf>
    <xf numFmtId="49" fontId="69" fillId="2" borderId="33" xfId="0" applyNumberFormat="1" applyFont="1" applyFill="1" applyBorder="1" applyAlignment="1" applyProtection="1">
      <alignment horizontal="center" vertical="center" wrapText="1"/>
      <protection locked="0"/>
    </xf>
    <xf numFmtId="0" fontId="69" fillId="2" borderId="58" xfId="0" applyNumberFormat="1" applyFont="1" applyFill="1" applyBorder="1" applyAlignment="1" applyProtection="1">
      <alignment horizontal="center" vertical="center" wrapText="1"/>
      <protection locked="0"/>
    </xf>
    <xf numFmtId="0" fontId="69" fillId="5" borderId="5" xfId="0" applyFont="1" applyFill="1" applyBorder="1" applyAlignment="1" applyProtection="1">
      <alignment horizontal="center" vertical="center" wrapText="1"/>
    </xf>
    <xf numFmtId="0" fontId="69" fillId="0" borderId="49" xfId="0" applyNumberFormat="1" applyFont="1" applyFill="1" applyBorder="1" applyAlignment="1" applyProtection="1">
      <alignment horizontal="center" vertical="center" wrapText="1"/>
      <protection locked="0"/>
    </xf>
    <xf numFmtId="49" fontId="69" fillId="0" borderId="49" xfId="0" applyNumberFormat="1" applyFont="1" applyFill="1" applyBorder="1" applyAlignment="1" applyProtection="1">
      <alignment horizontal="center" vertical="center" wrapText="1"/>
      <protection locked="0"/>
    </xf>
    <xf numFmtId="49" fontId="69" fillId="0" borderId="20" xfId="0" applyNumberFormat="1" applyFont="1" applyFill="1" applyBorder="1" applyAlignment="1" applyProtection="1">
      <alignment horizontal="center" vertical="center" wrapText="1"/>
      <protection locked="0"/>
    </xf>
    <xf numFmtId="0" fontId="97" fillId="5" borderId="9" xfId="0" applyNumberFormat="1" applyFont="1" applyFill="1" applyBorder="1" applyAlignment="1" applyProtection="1">
      <alignment horizontal="center" vertical="center" wrapText="1"/>
    </xf>
    <xf numFmtId="0" fontId="81" fillId="5" borderId="24" xfId="0" applyFont="1" applyFill="1" applyBorder="1" applyAlignment="1" applyProtection="1">
      <alignment vertical="center" wrapText="1"/>
    </xf>
    <xf numFmtId="0" fontId="69" fillId="0" borderId="11"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73" fillId="5" borderId="24" xfId="0" applyFont="1" applyFill="1" applyBorder="1" applyAlignment="1" applyProtection="1">
      <alignment vertical="center" wrapText="1"/>
    </xf>
    <xf numFmtId="0" fontId="69" fillId="0" borderId="4" xfId="0" applyFont="1" applyFill="1" applyBorder="1" applyAlignment="1" applyProtection="1">
      <alignment horizontal="center" vertical="center" wrapText="1"/>
      <protection locked="0"/>
    </xf>
    <xf numFmtId="0" fontId="69" fillId="5" borderId="63" xfId="0" applyNumberFormat="1" applyFont="1" applyFill="1" applyBorder="1" applyAlignment="1" applyProtection="1">
      <alignment horizontal="center" vertical="center" wrapText="1"/>
    </xf>
    <xf numFmtId="0" fontId="82" fillId="0" borderId="64" xfId="0" applyNumberFormat="1" applyFont="1" applyFill="1" applyBorder="1" applyAlignment="1" applyProtection="1">
      <alignment horizontal="center" vertical="center" wrapText="1"/>
      <protection locked="0"/>
    </xf>
    <xf numFmtId="0" fontId="82" fillId="5" borderId="12" xfId="0" applyNumberFormat="1" applyFont="1" applyFill="1" applyBorder="1" applyAlignment="1" applyProtection="1">
      <alignment horizontal="center" vertical="center" wrapText="1"/>
    </xf>
    <xf numFmtId="0" fontId="82" fillId="0" borderId="2" xfId="0" applyNumberFormat="1" applyFont="1" applyFill="1" applyBorder="1" applyAlignment="1" applyProtection="1">
      <alignment horizontal="center" vertical="center" wrapText="1"/>
      <protection locked="0"/>
    </xf>
    <xf numFmtId="0" fontId="82" fillId="0" borderId="11" xfId="0" applyNumberFormat="1" applyFont="1" applyFill="1" applyBorder="1" applyAlignment="1" applyProtection="1">
      <alignment horizontal="center" vertical="center" wrapText="1"/>
      <protection locked="0"/>
    </xf>
    <xf numFmtId="0" fontId="81" fillId="5" borderId="23" xfId="0" applyFont="1" applyFill="1" applyBorder="1" applyAlignment="1" applyProtection="1">
      <alignment vertical="center" wrapText="1"/>
    </xf>
    <xf numFmtId="0" fontId="69" fillId="0" borderId="44" xfId="0" applyFont="1" applyFill="1" applyBorder="1" applyAlignment="1" applyProtection="1">
      <alignment horizontal="center" vertical="center" wrapText="1"/>
      <protection locked="0"/>
    </xf>
    <xf numFmtId="0" fontId="82" fillId="0" borderId="59" xfId="0" applyNumberFormat="1" applyFont="1" applyFill="1" applyBorder="1" applyAlignment="1" applyProtection="1">
      <alignment horizontal="center" vertical="center" wrapText="1"/>
      <protection locked="0"/>
    </xf>
    <xf numFmtId="0" fontId="82" fillId="5" borderId="45" xfId="0" applyNumberFormat="1" applyFont="1" applyFill="1" applyBorder="1" applyAlignment="1" applyProtection="1">
      <alignment horizontal="center" vertical="center" wrapText="1"/>
    </xf>
    <xf numFmtId="0" fontId="69" fillId="5" borderId="40" xfId="0" applyFont="1" applyFill="1" applyBorder="1" applyAlignment="1" applyProtection="1">
      <alignment horizontal="center" vertical="center" wrapText="1"/>
    </xf>
    <xf numFmtId="49" fontId="82" fillId="5" borderId="57" xfId="0" applyNumberFormat="1" applyFont="1" applyFill="1" applyBorder="1" applyAlignment="1" applyProtection="1">
      <alignment horizontal="center" vertical="center" wrapText="1"/>
    </xf>
    <xf numFmtId="0" fontId="82" fillId="5" borderId="40" xfId="0" applyNumberFormat="1" applyFont="1" applyFill="1" applyBorder="1" applyAlignment="1" applyProtection="1">
      <alignment horizontal="center" vertical="center" wrapText="1"/>
    </xf>
    <xf numFmtId="49" fontId="82" fillId="0" borderId="57" xfId="0" applyNumberFormat="1" applyFont="1" applyFill="1" applyBorder="1" applyAlignment="1" applyProtection="1">
      <alignment horizontal="center" vertical="center" wrapText="1"/>
      <protection locked="0"/>
    </xf>
    <xf numFmtId="0" fontId="82" fillId="5" borderId="39" xfId="0" applyNumberFormat="1" applyFont="1" applyFill="1" applyBorder="1" applyAlignment="1" applyProtection="1">
      <alignment horizontal="center" vertical="center" wrapText="1"/>
    </xf>
    <xf numFmtId="49" fontId="82" fillId="0" borderId="52" xfId="0" applyNumberFormat="1" applyFont="1" applyFill="1" applyBorder="1" applyAlignment="1" applyProtection="1">
      <alignment horizontal="center" vertical="center" wrapText="1"/>
      <protection locked="0"/>
    </xf>
    <xf numFmtId="0" fontId="82" fillId="5" borderId="65" xfId="0" applyFont="1" applyFill="1" applyBorder="1" applyAlignment="1" applyProtection="1">
      <alignment horizontal="center" vertical="center"/>
    </xf>
    <xf numFmtId="0" fontId="82" fillId="2" borderId="20" xfId="0" applyNumberFormat="1" applyFont="1" applyFill="1" applyBorder="1" applyAlignment="1" applyProtection="1">
      <alignment horizontal="center" vertical="center" wrapText="1"/>
      <protection locked="0"/>
    </xf>
    <xf numFmtId="0" fontId="82" fillId="5" borderId="50" xfId="0" applyNumberFormat="1" applyFont="1" applyFill="1" applyBorder="1" applyAlignment="1" applyProtection="1">
      <alignment horizontal="center" vertical="center" wrapText="1"/>
    </xf>
    <xf numFmtId="49" fontId="82" fillId="2" borderId="20" xfId="0" applyNumberFormat="1" applyFont="1" applyFill="1" applyBorder="1" applyAlignment="1" applyProtection="1">
      <alignment horizontal="center" vertical="center" wrapText="1"/>
      <protection locked="0"/>
    </xf>
    <xf numFmtId="0" fontId="82" fillId="5" borderId="17" xfId="0" applyNumberFormat="1" applyFont="1" applyFill="1" applyBorder="1" applyAlignment="1" applyProtection="1">
      <alignment horizontal="center" vertical="center" wrapText="1"/>
    </xf>
    <xf numFmtId="49" fontId="82" fillId="2" borderId="49" xfId="0" applyNumberFormat="1" applyFont="1" applyFill="1" applyBorder="1" applyAlignment="1" applyProtection="1">
      <alignment horizontal="center" vertical="center" wrapText="1"/>
      <protection locked="0"/>
    </xf>
    <xf numFmtId="0" fontId="82" fillId="5" borderId="51" xfId="0" applyNumberFormat="1" applyFont="1" applyFill="1" applyBorder="1" applyAlignment="1" applyProtection="1">
      <alignment horizontal="center" vertical="center" wrapText="1"/>
    </xf>
    <xf numFmtId="0" fontId="69" fillId="5" borderId="25" xfId="0" applyFont="1" applyFill="1" applyBorder="1" applyAlignment="1" applyProtection="1">
      <alignment horizontal="center" vertical="center" wrapText="1"/>
    </xf>
    <xf numFmtId="49" fontId="82" fillId="5" borderId="32" xfId="0" applyNumberFormat="1" applyFont="1" applyFill="1" applyBorder="1" applyAlignment="1" applyProtection="1">
      <alignment horizontal="center" vertical="center" wrapText="1"/>
    </xf>
    <xf numFmtId="49" fontId="82" fillId="0" borderId="18" xfId="0" applyNumberFormat="1" applyFont="1" applyFill="1" applyBorder="1" applyAlignment="1" applyProtection="1">
      <alignment horizontal="center" vertical="center" wrapText="1"/>
      <protection locked="0"/>
    </xf>
    <xf numFmtId="0" fontId="82" fillId="5" borderId="13" xfId="0" applyNumberFormat="1" applyFont="1" applyFill="1" applyBorder="1" applyAlignment="1" applyProtection="1">
      <alignment horizontal="center" vertical="center" wrapText="1"/>
    </xf>
    <xf numFmtId="49" fontId="82" fillId="0" borderId="24" xfId="0" applyNumberFormat="1" applyFont="1" applyFill="1" applyBorder="1" applyAlignment="1" applyProtection="1">
      <alignment horizontal="center" vertical="center" wrapText="1"/>
      <protection locked="0"/>
    </xf>
    <xf numFmtId="0" fontId="82" fillId="5" borderId="25" xfId="0" applyNumberFormat="1" applyFont="1" applyFill="1" applyBorder="1" applyAlignment="1" applyProtection="1">
      <alignment horizontal="center" vertical="center" wrapText="1"/>
    </xf>
    <xf numFmtId="0" fontId="69" fillId="5" borderId="50" xfId="0" applyFont="1" applyFill="1" applyBorder="1" applyAlignment="1" applyProtection="1">
      <alignment horizontal="center" vertical="center" wrapText="1"/>
    </xf>
    <xf numFmtId="0" fontId="82" fillId="2" borderId="18" xfId="0" applyNumberFormat="1" applyFont="1" applyFill="1" applyBorder="1" applyAlignment="1" applyProtection="1">
      <alignment horizontal="center" vertical="center" wrapText="1"/>
      <protection locked="0"/>
    </xf>
    <xf numFmtId="49" fontId="82" fillId="2" borderId="18" xfId="0" applyNumberFormat="1" applyFont="1" applyFill="1" applyBorder="1" applyAlignment="1" applyProtection="1">
      <alignment horizontal="center" vertical="center" wrapText="1"/>
      <protection locked="0"/>
    </xf>
    <xf numFmtId="49" fontId="82" fillId="2" borderId="24" xfId="0" applyNumberFormat="1" applyFont="1" applyFill="1" applyBorder="1" applyAlignment="1" applyProtection="1">
      <alignment horizontal="center" vertical="center" wrapText="1"/>
      <protection locked="0"/>
    </xf>
    <xf numFmtId="49" fontId="82" fillId="0" borderId="32" xfId="0" applyNumberFormat="1" applyFont="1" applyFill="1" applyBorder="1" applyAlignment="1" applyProtection="1">
      <alignment horizontal="center" vertical="center" wrapText="1"/>
      <protection locked="0"/>
    </xf>
    <xf numFmtId="0" fontId="82" fillId="5" borderId="4" xfId="0" applyNumberFormat="1" applyFont="1" applyFill="1" applyBorder="1" applyAlignment="1" applyProtection="1">
      <alignment horizontal="center" vertical="center" wrapText="1"/>
    </xf>
    <xf numFmtId="49" fontId="82" fillId="0" borderId="22" xfId="0" applyNumberFormat="1" applyFont="1" applyFill="1" applyBorder="1" applyAlignment="1" applyProtection="1">
      <alignment horizontal="center" vertical="center" wrapText="1"/>
      <protection locked="0"/>
    </xf>
    <xf numFmtId="0" fontId="82" fillId="5" borderId="32" xfId="0" applyNumberFormat="1" applyFont="1" applyFill="1" applyBorder="1" applyAlignment="1" applyProtection="1">
      <alignment horizontal="center" vertical="center" wrapText="1"/>
    </xf>
    <xf numFmtId="0" fontId="82" fillId="2" borderId="11" xfId="0" applyNumberFormat="1" applyFont="1" applyFill="1" applyBorder="1" applyAlignment="1" applyProtection="1">
      <alignment horizontal="center" vertical="center" wrapText="1"/>
      <protection locked="0"/>
    </xf>
    <xf numFmtId="0" fontId="82" fillId="5" borderId="5" xfId="0" applyNumberFormat="1" applyFont="1" applyFill="1" applyBorder="1" applyAlignment="1" applyProtection="1">
      <alignment horizontal="center" vertical="center" wrapText="1"/>
    </xf>
    <xf numFmtId="0" fontId="82" fillId="2" borderId="49" xfId="0" applyNumberFormat="1" applyFont="1" applyFill="1" applyBorder="1" applyAlignment="1" applyProtection="1">
      <alignment horizontal="center" vertical="center" wrapText="1"/>
      <protection locked="0"/>
    </xf>
    <xf numFmtId="0" fontId="73" fillId="5" borderId="31" xfId="0" applyFont="1" applyFill="1" applyBorder="1" applyAlignment="1" applyProtection="1">
      <alignment vertical="center" wrapText="1"/>
    </xf>
    <xf numFmtId="0" fontId="69" fillId="5" borderId="51" xfId="0"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protection locked="0"/>
    </xf>
    <xf numFmtId="0" fontId="82" fillId="2" borderId="8" xfId="0" applyNumberFormat="1" applyFont="1" applyFill="1" applyBorder="1" applyAlignment="1" applyProtection="1">
      <alignment horizontal="center" vertical="center" wrapText="1"/>
      <protection locked="0"/>
    </xf>
    <xf numFmtId="0" fontId="104" fillId="5" borderId="9" xfId="0" applyNumberFormat="1" applyFont="1" applyFill="1" applyBorder="1" applyAlignment="1" applyProtection="1">
      <alignment horizontal="center" vertical="center" wrapText="1"/>
    </xf>
    <xf numFmtId="0" fontId="69" fillId="5" borderId="12" xfId="0" applyFont="1" applyFill="1" applyBorder="1" applyAlignment="1" applyProtection="1">
      <alignment horizontal="center" vertical="center" wrapText="1"/>
    </xf>
    <xf numFmtId="0" fontId="82" fillId="2" borderId="64" xfId="0" applyNumberFormat="1" applyFont="1" applyFill="1" applyBorder="1" applyAlignment="1" applyProtection="1">
      <alignment horizontal="center" vertical="center" wrapText="1"/>
      <protection locked="0"/>
    </xf>
    <xf numFmtId="0" fontId="104" fillId="0" borderId="9" xfId="0" applyNumberFormat="1"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82" fillId="0" borderId="9"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horizontal="center" vertical="center"/>
    </xf>
    <xf numFmtId="0" fontId="82" fillId="0" borderId="12" xfId="0" applyFont="1" applyFill="1" applyBorder="1" applyAlignment="1" applyProtection="1">
      <alignment horizontal="center" vertical="center"/>
      <protection locked="0"/>
    </xf>
    <xf numFmtId="0" fontId="98" fillId="5" borderId="53" xfId="0" applyFont="1" applyFill="1" applyBorder="1" applyAlignment="1" applyProtection="1">
      <alignment vertical="center" textRotation="255" wrapText="1"/>
    </xf>
    <xf numFmtId="0" fontId="78" fillId="0" borderId="45" xfId="0" applyFont="1" applyFill="1" applyBorder="1" applyAlignment="1" applyProtection="1">
      <alignment horizontal="center" vertical="center"/>
      <protection locked="0"/>
    </xf>
    <xf numFmtId="0" fontId="82" fillId="0" borderId="3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2" xfId="0" applyNumberFormat="1" applyFont="1" applyFill="1" applyBorder="1" applyAlignment="1" applyProtection="1">
      <alignment horizontal="center" vertical="center" wrapText="1"/>
      <protection locked="0"/>
    </xf>
    <xf numFmtId="0" fontId="81" fillId="5" borderId="24" xfId="0" applyFont="1" applyFill="1" applyBorder="1" applyAlignment="1" applyProtection="1">
      <alignment vertical="center" textRotation="255" wrapText="1"/>
    </xf>
    <xf numFmtId="0" fontId="69" fillId="5" borderId="17" xfId="0" applyFont="1" applyFill="1" applyBorder="1" applyAlignment="1" applyProtection="1">
      <alignment horizontal="center" vertical="center" wrapText="1"/>
    </xf>
    <xf numFmtId="0" fontId="82" fillId="0" borderId="1" xfId="0" applyNumberFormat="1" applyFont="1" applyFill="1" applyBorder="1" applyAlignment="1" applyProtection="1">
      <alignment horizontal="center" vertical="center" wrapText="1"/>
      <protection locked="0"/>
    </xf>
    <xf numFmtId="0" fontId="82" fillId="5" borderId="7" xfId="0" applyNumberFormat="1" applyFont="1" applyFill="1" applyBorder="1" applyAlignment="1" applyProtection="1">
      <alignment horizontal="center" vertical="center" wrapText="1"/>
    </xf>
    <xf numFmtId="0" fontId="82" fillId="0" borderId="6" xfId="0" applyNumberFormat="1" applyFont="1" applyFill="1" applyBorder="1" applyAlignment="1" applyProtection="1">
      <alignment horizontal="center" vertical="center" wrapText="1"/>
      <protection locked="0"/>
    </xf>
    <xf numFmtId="49" fontId="82" fillId="2" borderId="11" xfId="0" applyNumberFormat="1" applyFont="1" applyFill="1" applyBorder="1" applyAlignment="1" applyProtection="1">
      <alignment horizontal="center" vertical="center" wrapText="1"/>
      <protection locked="0"/>
    </xf>
    <xf numFmtId="0" fontId="73" fillId="5" borderId="24" xfId="0" applyFont="1" applyFill="1" applyBorder="1" applyAlignment="1" applyProtection="1">
      <alignment vertical="center" textRotation="255" wrapText="1"/>
    </xf>
    <xf numFmtId="9" fontId="69" fillId="2" borderId="64"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protection locked="0"/>
    </xf>
    <xf numFmtId="0" fontId="98" fillId="5" borderId="24" xfId="0" applyFont="1" applyFill="1" applyBorder="1" applyAlignment="1" applyProtection="1">
      <alignment vertical="center" textRotation="255" wrapText="1"/>
    </xf>
    <xf numFmtId="0" fontId="78" fillId="0" borderId="59" xfId="0" applyNumberFormat="1" applyFont="1" applyFill="1" applyBorder="1" applyAlignment="1" applyProtection="1">
      <alignment horizontal="center" vertical="center" wrapText="1"/>
      <protection locked="0"/>
    </xf>
    <xf numFmtId="0" fontId="78" fillId="5" borderId="45" xfId="0" applyNumberFormat="1" applyFont="1" applyFill="1" applyBorder="1" applyAlignment="1" applyProtection="1">
      <alignment horizontal="center" vertical="center" wrapText="1"/>
    </xf>
    <xf numFmtId="0" fontId="105" fillId="5" borderId="9" xfId="0" applyNumberFormat="1" applyFont="1" applyFill="1" applyBorder="1" applyAlignment="1" applyProtection="1">
      <alignment horizontal="center" vertical="center" wrapText="1"/>
    </xf>
    <xf numFmtId="49" fontId="81" fillId="5" borderId="58" xfId="0" applyNumberFormat="1" applyFont="1" applyFill="1" applyBorder="1" applyAlignment="1" applyProtection="1">
      <alignment vertical="center"/>
    </xf>
    <xf numFmtId="49" fontId="81" fillId="2" borderId="7" xfId="0" applyNumberFormat="1" applyFont="1" applyFill="1" applyBorder="1" applyAlignment="1" applyProtection="1">
      <alignment vertical="center"/>
      <protection locked="0"/>
    </xf>
    <xf numFmtId="0" fontId="81" fillId="5" borderId="30" xfId="0" applyFont="1" applyFill="1" applyBorder="1" applyAlignment="1" applyProtection="1">
      <alignment horizontal="right" vertical="center" wrapText="1"/>
    </xf>
    <xf numFmtId="0" fontId="81" fillId="5" borderId="56" xfId="0" applyFont="1" applyFill="1" applyBorder="1" applyAlignment="1" applyProtection="1">
      <alignment vertical="center" wrapText="1"/>
    </xf>
    <xf numFmtId="0" fontId="106" fillId="3" borderId="30" xfId="0" applyFont="1" applyFill="1" applyBorder="1" applyAlignment="1" applyProtection="1">
      <alignment vertical="center" wrapText="1"/>
      <protection locked="0"/>
    </xf>
    <xf numFmtId="0" fontId="106" fillId="5" borderId="30" xfId="0" applyFont="1" applyFill="1" applyBorder="1" applyAlignment="1" applyProtection="1">
      <alignment vertical="center" wrapText="1"/>
    </xf>
    <xf numFmtId="0" fontId="106" fillId="3" borderId="58" xfId="0" applyFont="1" applyFill="1" applyBorder="1" applyAlignment="1" applyProtection="1">
      <alignment vertical="center" wrapText="1"/>
      <protection locked="0"/>
    </xf>
    <xf numFmtId="0" fontId="106" fillId="5" borderId="56" xfId="0" applyFont="1" applyFill="1" applyBorder="1" applyAlignment="1" applyProtection="1">
      <alignment vertical="center" wrapText="1"/>
    </xf>
    <xf numFmtId="49" fontId="81" fillId="5" borderId="59" xfId="0" applyNumberFormat="1" applyFont="1" applyFill="1" applyBorder="1" applyAlignment="1" applyProtection="1">
      <alignment vertical="center"/>
    </xf>
    <xf numFmtId="49" fontId="81" fillId="5" borderId="47" xfId="0" applyNumberFormat="1" applyFont="1" applyFill="1" applyBorder="1" applyAlignment="1" applyProtection="1">
      <alignment vertical="center"/>
    </xf>
    <xf numFmtId="185" fontId="81" fillId="5" borderId="55" xfId="0" applyNumberFormat="1" applyFont="1" applyFill="1" applyBorder="1" applyAlignment="1" applyProtection="1">
      <alignment vertical="center" wrapText="1"/>
    </xf>
    <xf numFmtId="185" fontId="81" fillId="5" borderId="59" xfId="0" applyNumberFormat="1" applyFont="1" applyFill="1" applyBorder="1" applyAlignment="1" applyProtection="1">
      <alignment vertical="center" wrapText="1"/>
    </xf>
    <xf numFmtId="49" fontId="81" fillId="0" borderId="53" xfId="0" applyNumberFormat="1" applyFont="1" applyFill="1" applyBorder="1" applyAlignment="1" applyProtection="1">
      <alignment vertical="center"/>
      <protection locked="0"/>
    </xf>
    <xf numFmtId="49" fontId="81" fillId="0" borderId="66" xfId="0" applyNumberFormat="1" applyFont="1" applyFill="1" applyBorder="1" applyAlignment="1" applyProtection="1">
      <alignment vertical="center"/>
      <protection locked="0"/>
    </xf>
    <xf numFmtId="185" fontId="81" fillId="5" borderId="60" xfId="0" applyNumberFormat="1" applyFont="1" applyFill="1" applyBorder="1" applyAlignment="1" applyProtection="1">
      <alignment vertical="center" wrapText="1"/>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wrapText="1"/>
    </xf>
    <xf numFmtId="182" fontId="82" fillId="5" borderId="5" xfId="0" applyNumberFormat="1" applyFont="1" applyFill="1" applyBorder="1" applyAlignment="1" applyProtection="1">
      <alignment horizontal="center" vertical="center"/>
    </xf>
    <xf numFmtId="182" fontId="82" fillId="5" borderId="9" xfId="0" applyNumberFormat="1" applyFont="1" applyFill="1" applyBorder="1" applyAlignment="1" applyProtection="1">
      <alignment vertical="center"/>
    </xf>
    <xf numFmtId="0" fontId="81" fillId="5" borderId="9" xfId="0" applyFont="1" applyFill="1" applyBorder="1" applyAlignment="1" applyProtection="1">
      <alignment horizontal="center" vertical="center" wrapText="1"/>
    </xf>
    <xf numFmtId="14" fontId="82" fillId="5" borderId="1" xfId="0" applyNumberFormat="1" applyFont="1" applyFill="1" applyBorder="1" applyAlignment="1" applyProtection="1">
      <alignment horizontal="left" vertical="center"/>
    </xf>
    <xf numFmtId="177" fontId="82" fillId="5" borderId="6" xfId="0" applyNumberFormat="1" applyFont="1" applyFill="1" applyBorder="1" applyAlignment="1" applyProtection="1">
      <alignment horizontal="center" vertical="center"/>
    </xf>
    <xf numFmtId="0" fontId="82" fillId="5" borderId="6" xfId="0" applyFont="1" applyFill="1" applyBorder="1" applyAlignment="1" applyProtection="1">
      <alignment horizontal="center" vertical="center"/>
    </xf>
    <xf numFmtId="0" fontId="82" fillId="5" borderId="7" xfId="0" applyFont="1" applyFill="1" applyBorder="1" applyAlignment="1" applyProtection="1">
      <alignment horizontal="center" vertical="center"/>
    </xf>
    <xf numFmtId="0" fontId="84" fillId="5" borderId="11" xfId="0" applyFont="1" applyFill="1" applyBorder="1" applyAlignment="1" applyProtection="1"/>
    <xf numFmtId="185" fontId="84" fillId="5" borderId="2" xfId="3" applyNumberFormat="1" applyFont="1" applyFill="1" applyBorder="1" applyAlignment="1" applyProtection="1">
      <alignment horizontal="center"/>
    </xf>
    <xf numFmtId="0" fontId="84" fillId="5" borderId="2" xfId="0" applyFont="1" applyFill="1" applyBorder="1" applyAlignment="1" applyProtection="1">
      <alignment horizontal="center"/>
    </xf>
    <xf numFmtId="178" fontId="84" fillId="5" borderId="12" xfId="3" applyNumberFormat="1" applyFont="1" applyFill="1" applyBorder="1" applyAlignment="1" applyProtection="1">
      <alignment horizontal="center"/>
    </xf>
    <xf numFmtId="0" fontId="84" fillId="5" borderId="11" xfId="3" applyFont="1" applyFill="1" applyBorder="1" applyAlignment="1" applyProtection="1"/>
    <xf numFmtId="0" fontId="84" fillId="5" borderId="2" xfId="3" applyFont="1" applyFill="1" applyBorder="1" applyAlignment="1" applyProtection="1">
      <alignment horizontal="center"/>
    </xf>
    <xf numFmtId="180" fontId="84" fillId="0" borderId="2" xfId="3" applyNumberFormat="1" applyFont="1" applyFill="1" applyBorder="1" applyAlignment="1" applyProtection="1">
      <alignment horizontal="center"/>
      <protection locked="0"/>
    </xf>
    <xf numFmtId="0" fontId="74" fillId="5" borderId="12" xfId="0" applyFont="1" applyFill="1" applyBorder="1" applyAlignment="1" applyProtection="1">
      <alignment horizontal="center" vertical="center"/>
    </xf>
    <xf numFmtId="180" fontId="84" fillId="5" borderId="2" xfId="3" applyNumberFormat="1" applyFont="1" applyFill="1" applyBorder="1" applyAlignment="1" applyProtection="1">
      <alignment horizontal="center"/>
    </xf>
    <xf numFmtId="0" fontId="93" fillId="5" borderId="42" xfId="3" applyFont="1" applyFill="1" applyBorder="1" applyAlignment="1" applyProtection="1"/>
    <xf numFmtId="0" fontId="84" fillId="5" borderId="43" xfId="0" applyFont="1" applyFill="1" applyBorder="1" applyAlignment="1" applyProtection="1">
      <alignment horizontal="center"/>
    </xf>
    <xf numFmtId="178" fontId="93" fillId="5" borderId="45" xfId="0" applyNumberFormat="1" applyFont="1" applyFill="1" applyBorder="1" applyAlignment="1" applyProtection="1">
      <alignment horizontal="center"/>
    </xf>
    <xf numFmtId="0" fontId="73" fillId="5" borderId="26" xfId="0" applyNumberFormat="1" applyFont="1" applyFill="1" applyBorder="1" applyAlignment="1" applyProtection="1">
      <alignment vertical="center" wrapText="1"/>
    </xf>
    <xf numFmtId="0" fontId="73" fillId="5" borderId="57" xfId="0" applyNumberFormat="1" applyFont="1" applyFill="1" applyBorder="1" applyAlignment="1" applyProtection="1">
      <alignment vertical="center" wrapText="1"/>
    </xf>
    <xf numFmtId="0" fontId="73" fillId="5" borderId="31" xfId="0" applyNumberFormat="1" applyFont="1" applyFill="1" applyBorder="1" applyAlignment="1" applyProtection="1">
      <alignment vertical="center" wrapText="1"/>
    </xf>
    <xf numFmtId="0" fontId="73" fillId="5" borderId="18" xfId="0" applyNumberFormat="1" applyFont="1" applyFill="1" applyBorder="1" applyAlignment="1" applyProtection="1">
      <alignment vertical="center" wrapText="1"/>
    </xf>
    <xf numFmtId="0" fontId="69" fillId="5" borderId="32"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69" fillId="0" borderId="25" xfId="0" applyNumberFormat="1" applyFont="1" applyFill="1" applyBorder="1" applyAlignment="1" applyProtection="1">
      <alignment horizontal="center" vertical="center" wrapText="1"/>
      <protection locked="0"/>
    </xf>
    <xf numFmtId="0" fontId="73" fillId="5" borderId="53" xfId="0" applyNumberFormat="1" applyFont="1" applyFill="1" applyBorder="1" applyAlignment="1" applyProtection="1">
      <alignment vertical="center"/>
    </xf>
    <xf numFmtId="0" fontId="73" fillId="5" borderId="67" xfId="0" applyNumberFormat="1" applyFont="1" applyFill="1" applyBorder="1" applyAlignment="1" applyProtection="1">
      <alignment vertical="center" wrapText="1"/>
    </xf>
    <xf numFmtId="0" fontId="69" fillId="0" borderId="67" xfId="0" applyNumberFormat="1" applyFont="1" applyFill="1" applyBorder="1" applyAlignment="1" applyProtection="1">
      <alignment horizontal="center" vertical="center" wrapText="1"/>
      <protection locked="0"/>
    </xf>
    <xf numFmtId="0" fontId="69" fillId="0" borderId="54" xfId="0" applyNumberFormat="1" applyFont="1" applyFill="1" applyBorder="1" applyAlignment="1" applyProtection="1">
      <alignment horizontal="center" vertical="center" wrapText="1"/>
      <protection locked="0"/>
    </xf>
    <xf numFmtId="0" fontId="69" fillId="0" borderId="68" xfId="0" applyNumberFormat="1" applyFont="1" applyFill="1" applyBorder="1" applyAlignment="1" applyProtection="1">
      <alignment horizontal="center" vertical="center" wrapText="1"/>
      <protection locked="0"/>
    </xf>
    <xf numFmtId="0" fontId="69" fillId="0" borderId="69" xfId="0" applyNumberFormat="1" applyFont="1" applyFill="1" applyBorder="1" applyAlignment="1" applyProtection="1">
      <alignment horizontal="center" vertical="center" wrapText="1"/>
      <protection locked="0"/>
    </xf>
    <xf numFmtId="0" fontId="73" fillId="5" borderId="13" xfId="0" applyNumberFormat="1" applyFont="1" applyFill="1" applyBorder="1" applyAlignment="1" applyProtection="1">
      <alignment vertical="center" wrapText="1"/>
    </xf>
    <xf numFmtId="0" fontId="69" fillId="5" borderId="20" xfId="0" applyNumberFormat="1" applyFont="1" applyFill="1" applyBorder="1" applyAlignment="1" applyProtection="1">
      <alignment horizontal="center" vertical="center" wrapText="1"/>
    </xf>
    <xf numFmtId="0" fontId="69" fillId="0" borderId="21"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vertical="center" wrapText="1"/>
    </xf>
    <xf numFmtId="0" fontId="69" fillId="5" borderId="27" xfId="0" applyNumberFormat="1" applyFont="1" applyFill="1" applyBorder="1" applyAlignment="1" applyProtection="1">
      <alignment horizontal="center" vertical="center" wrapText="1"/>
    </xf>
    <xf numFmtId="0" fontId="103" fillId="0" borderId="6" xfId="0" applyNumberFormat="1" applyFont="1" applyFill="1" applyBorder="1" applyAlignment="1" applyProtection="1">
      <alignment horizontal="center" vertical="center" wrapText="1"/>
      <protection locked="0"/>
    </xf>
    <xf numFmtId="0" fontId="103" fillId="0" borderId="6" xfId="0" applyNumberFormat="1" applyFont="1" applyFill="1" applyBorder="1" applyAlignment="1" applyProtection="1">
      <alignment horizontal="left" vertical="center" wrapText="1"/>
      <protection locked="0"/>
    </xf>
    <xf numFmtId="0" fontId="103" fillId="0" borderId="7" xfId="0" applyNumberFormat="1" applyFont="1" applyFill="1" applyBorder="1" applyAlignment="1" applyProtection="1">
      <alignment horizontal="center" vertical="center" wrapText="1"/>
      <protection locked="0"/>
    </xf>
    <xf numFmtId="0" fontId="81" fillId="5" borderId="24" xfId="0" applyNumberFormat="1" applyFont="1" applyFill="1" applyBorder="1" applyAlignment="1" applyProtection="1">
      <alignment vertical="center" wrapText="1"/>
    </xf>
    <xf numFmtId="0" fontId="78" fillId="5" borderId="70" xfId="0" applyNumberFormat="1" applyFont="1" applyFill="1" applyBorder="1" applyAlignment="1" applyProtection="1">
      <alignment horizontal="center" vertical="center" wrapText="1"/>
    </xf>
    <xf numFmtId="0" fontId="82" fillId="0" borderId="71" xfId="0" applyNumberFormat="1" applyFont="1" applyFill="1" applyBorder="1" applyAlignment="1" applyProtection="1">
      <alignment horizontal="center" vertical="center" wrapText="1"/>
      <protection locked="0"/>
    </xf>
    <xf numFmtId="0" fontId="82" fillId="0" borderId="72" xfId="0" applyNumberFormat="1" applyFont="1" applyFill="1" applyBorder="1" applyAlignment="1" applyProtection="1">
      <alignment horizontal="center" vertical="center" wrapText="1"/>
      <protection locked="0"/>
    </xf>
    <xf numFmtId="0" fontId="69" fillId="5" borderId="73"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left" vertical="center" wrapText="1"/>
    </xf>
    <xf numFmtId="0" fontId="103" fillId="5" borderId="75" xfId="0" applyNumberFormat="1" applyFont="1" applyFill="1" applyBorder="1" applyAlignment="1" applyProtection="1">
      <alignment horizontal="center" vertical="center" wrapText="1"/>
    </xf>
    <xf numFmtId="0" fontId="69" fillId="5" borderId="70" xfId="0" applyNumberFormat="1" applyFont="1" applyFill="1" applyBorder="1" applyAlignment="1" applyProtection="1">
      <alignment horizontal="center" vertical="center" wrapText="1"/>
    </xf>
    <xf numFmtId="0" fontId="82" fillId="5" borderId="71" xfId="0" applyNumberFormat="1" applyFont="1" applyFill="1" applyBorder="1" applyAlignment="1" applyProtection="1">
      <alignment horizontal="center" vertical="center" wrapText="1"/>
    </xf>
    <xf numFmtId="0" fontId="82" fillId="5" borderId="72" xfId="0" applyNumberFormat="1" applyFont="1" applyFill="1" applyBorder="1" applyAlignment="1" applyProtection="1">
      <alignment horizontal="center" vertical="center" wrapText="1"/>
    </xf>
    <xf numFmtId="0" fontId="69" fillId="5" borderId="3" xfId="0" applyNumberFormat="1" applyFont="1" applyFill="1" applyBorder="1" applyAlignment="1" applyProtection="1">
      <alignment horizontal="center" vertical="center" wrapText="1"/>
    </xf>
    <xf numFmtId="0" fontId="82" fillId="5" borderId="21" xfId="0" applyNumberFormat="1" applyFont="1" applyFill="1" applyBorder="1" applyAlignment="1" applyProtection="1">
      <alignment horizontal="center" vertical="center" wrapText="1"/>
    </xf>
    <xf numFmtId="0" fontId="78" fillId="5" borderId="3"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2" xfId="0" applyNumberFormat="1" applyFont="1" applyFill="1" applyBorder="1" applyAlignment="1" applyProtection="1">
      <alignment horizontal="left" vertical="center" wrapText="1"/>
      <protection locked="0"/>
    </xf>
    <xf numFmtId="0" fontId="103" fillId="0" borderId="12" xfId="0" applyNumberFormat="1" applyFont="1" applyFill="1" applyBorder="1" applyAlignment="1" applyProtection="1">
      <alignment horizontal="center" vertical="center" wrapText="1"/>
      <protection locked="0"/>
    </xf>
    <xf numFmtId="0" fontId="98" fillId="5" borderId="24" xfId="0" applyNumberFormat="1" applyFont="1" applyFill="1" applyBorder="1" applyAlignment="1" applyProtection="1">
      <alignment vertical="center" wrapText="1"/>
    </xf>
    <xf numFmtId="0" fontId="69"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left" vertical="center" wrapText="1"/>
      <protection locked="0"/>
    </xf>
    <xf numFmtId="0" fontId="78" fillId="0" borderId="75" xfId="0" applyNumberFormat="1" applyFont="1" applyFill="1" applyBorder="1" applyAlignment="1" applyProtection="1">
      <alignment horizontal="center" vertical="center" wrapText="1"/>
      <protection locked="0"/>
    </xf>
    <xf numFmtId="0" fontId="69" fillId="0" borderId="71" xfId="0" applyNumberFormat="1" applyFont="1" applyFill="1" applyBorder="1" applyAlignment="1" applyProtection="1">
      <alignment horizontal="center" vertical="center" wrapText="1"/>
      <protection locked="0"/>
    </xf>
    <xf numFmtId="0" fontId="78" fillId="0" borderId="71" xfId="0" applyNumberFormat="1" applyFont="1" applyFill="1" applyBorder="1" applyAlignment="1" applyProtection="1">
      <alignment horizontal="center" vertical="center" wrapText="1"/>
      <protection locked="0"/>
    </xf>
    <xf numFmtId="0" fontId="78" fillId="0" borderId="72"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left" vertical="center" wrapText="1"/>
      <protection locked="0"/>
    </xf>
    <xf numFmtId="0" fontId="78" fillId="0" borderId="50" xfId="0" applyNumberFormat="1" applyFont="1" applyFill="1" applyBorder="1" applyAlignment="1" applyProtection="1">
      <alignment horizontal="center" vertical="center" wrapText="1"/>
      <protection locked="0"/>
    </xf>
    <xf numFmtId="0" fontId="98" fillId="5" borderId="23" xfId="0" applyNumberFormat="1" applyFont="1" applyFill="1" applyBorder="1" applyAlignment="1" applyProtection="1">
      <alignment vertical="center" wrapText="1"/>
    </xf>
    <xf numFmtId="0" fontId="69" fillId="5" borderId="54" xfId="0" applyNumberFormat="1" applyFont="1" applyFill="1" applyBorder="1" applyAlignment="1" applyProtection="1">
      <alignment horizontal="center" vertical="center" wrapText="1"/>
    </xf>
    <xf numFmtId="0" fontId="69" fillId="0" borderId="43" xfId="0" applyNumberFormat="1" applyFont="1" applyFill="1" applyBorder="1" applyAlignment="1" applyProtection="1">
      <alignment horizontal="center" vertical="center" wrapText="1"/>
      <protection locked="0"/>
    </xf>
    <xf numFmtId="0" fontId="78" fillId="0" borderId="43" xfId="0" applyNumberFormat="1" applyFont="1" applyFill="1" applyBorder="1" applyAlignment="1" applyProtection="1">
      <alignment horizontal="center" vertical="center" wrapText="1"/>
      <protection locked="0"/>
    </xf>
    <xf numFmtId="0" fontId="78" fillId="0" borderId="45" xfId="0" applyNumberFormat="1" applyFont="1" applyFill="1" applyBorder="1" applyAlignment="1" applyProtection="1">
      <alignment horizontal="center" vertical="center" wrapText="1"/>
      <protection locked="0"/>
    </xf>
    <xf numFmtId="0" fontId="69" fillId="5" borderId="6" xfId="0" applyNumberFormat="1" applyFont="1" applyFill="1" applyBorder="1" applyAlignment="1" applyProtection="1">
      <alignment horizontal="center" vertical="center" wrapText="1"/>
    </xf>
    <xf numFmtId="0" fontId="82"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left" vertical="center" wrapText="1"/>
    </xf>
    <xf numFmtId="0" fontId="103" fillId="5" borderId="7" xfId="0" applyNumberFormat="1" applyFont="1" applyFill="1" applyBorder="1" applyAlignment="1" applyProtection="1">
      <alignment horizontal="center" vertical="center" wrapText="1"/>
    </xf>
    <xf numFmtId="0" fontId="69" fillId="5" borderId="74" xfId="0" applyNumberFormat="1" applyFont="1" applyFill="1" applyBorder="1" applyAlignment="1" applyProtection="1">
      <alignment horizontal="center" vertical="center" wrapText="1"/>
    </xf>
    <xf numFmtId="0" fontId="73" fillId="5" borderId="24" xfId="0" applyNumberFormat="1" applyFont="1" applyFill="1" applyBorder="1" applyAlignment="1" applyProtection="1">
      <alignment vertical="center" wrapText="1"/>
    </xf>
    <xf numFmtId="0" fontId="69" fillId="5" borderId="74" xfId="0" applyNumberFormat="1" applyFont="1" applyFill="1" applyBorder="1" applyAlignment="1" applyProtection="1">
      <alignment horizontal="left" vertical="center" wrapText="1"/>
    </xf>
    <xf numFmtId="0" fontId="69" fillId="5" borderId="75" xfId="0" applyNumberFormat="1" applyFont="1" applyFill="1" applyBorder="1" applyAlignment="1" applyProtection="1">
      <alignment horizontal="center" vertical="center" wrapText="1"/>
    </xf>
    <xf numFmtId="0" fontId="69" fillId="5" borderId="71" xfId="0" applyNumberFormat="1" applyFont="1" applyFill="1" applyBorder="1" applyAlignment="1" applyProtection="1">
      <alignment horizontal="center" vertical="center" wrapText="1"/>
    </xf>
    <xf numFmtId="0" fontId="78" fillId="5" borderId="74" xfId="0" applyNumberFormat="1" applyFont="1" applyFill="1" applyBorder="1" applyAlignment="1" applyProtection="1">
      <alignment horizontal="center" vertical="center" wrapText="1"/>
    </xf>
    <xf numFmtId="0" fontId="78" fillId="5" borderId="74" xfId="0" applyNumberFormat="1" applyFont="1" applyFill="1" applyBorder="1" applyAlignment="1" applyProtection="1">
      <alignment horizontal="left" vertical="center" wrapText="1"/>
    </xf>
    <xf numFmtId="0" fontId="78" fillId="5" borderId="75" xfId="0" applyNumberFormat="1" applyFont="1" applyFill="1" applyBorder="1" applyAlignment="1" applyProtection="1">
      <alignment horizontal="center" vertical="center" wrapText="1"/>
    </xf>
    <xf numFmtId="0" fontId="78" fillId="5" borderId="71" xfId="0" applyNumberFormat="1" applyFont="1" applyFill="1" applyBorder="1" applyAlignment="1" applyProtection="1">
      <alignment horizontal="center" vertical="center" wrapText="1"/>
    </xf>
    <xf numFmtId="0" fontId="78" fillId="5" borderId="72" xfId="0" applyNumberFormat="1" applyFont="1" applyFill="1" applyBorder="1" applyAlignment="1" applyProtection="1">
      <alignment horizontal="center" vertical="center" wrapText="1"/>
    </xf>
    <xf numFmtId="0" fontId="82" fillId="0" borderId="74" xfId="0" applyNumberFormat="1" applyFont="1" applyFill="1" applyBorder="1" applyAlignment="1" applyProtection="1">
      <alignment horizontal="center" vertical="center" wrapText="1"/>
      <protection locked="0"/>
    </xf>
    <xf numFmtId="0" fontId="103" fillId="0" borderId="74" xfId="0" applyNumberFormat="1" applyFont="1" applyFill="1" applyBorder="1" applyAlignment="1" applyProtection="1">
      <alignment horizontal="center" vertical="center" wrapText="1"/>
      <protection locked="0"/>
    </xf>
    <xf numFmtId="0" fontId="103" fillId="0" borderId="74" xfId="0" applyNumberFormat="1" applyFont="1" applyFill="1" applyBorder="1" applyAlignment="1" applyProtection="1">
      <alignment horizontal="left" vertical="center" wrapText="1"/>
      <protection locked="0"/>
    </xf>
    <xf numFmtId="0" fontId="103" fillId="0" borderId="75"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103" fillId="0" borderId="21" xfId="0" applyNumberFormat="1" applyFont="1" applyFill="1" applyBorder="1" applyAlignment="1" applyProtection="1">
      <alignment horizontal="center" vertical="center" wrapText="1"/>
      <protection locked="0"/>
    </xf>
    <xf numFmtId="0" fontId="103" fillId="0" borderId="21" xfId="0" applyNumberFormat="1" applyFont="1" applyFill="1" applyBorder="1" applyAlignment="1" applyProtection="1">
      <alignment horizontal="left" vertical="center" wrapText="1"/>
      <protection locked="0"/>
    </xf>
    <xf numFmtId="0" fontId="103" fillId="0" borderId="50" xfId="0" applyNumberFormat="1" applyFont="1" applyFill="1" applyBorder="1" applyAlignment="1" applyProtection="1">
      <alignment horizontal="center" vertical="center" wrapText="1"/>
      <protection locked="0"/>
    </xf>
    <xf numFmtId="0" fontId="82" fillId="0" borderId="43" xfId="0" applyNumberFormat="1" applyFont="1" applyFill="1" applyBorder="1" applyAlignment="1" applyProtection="1">
      <alignment horizontal="center" vertical="center" wrapText="1"/>
      <protection locked="0"/>
    </xf>
    <xf numFmtId="0" fontId="82" fillId="0" borderId="45" xfId="0" applyNumberFormat="1" applyFont="1" applyFill="1" applyBorder="1" applyAlignment="1" applyProtection="1">
      <alignment horizontal="center" vertical="center" wrapText="1"/>
      <protection locked="0"/>
    </xf>
    <xf numFmtId="0" fontId="98" fillId="5" borderId="24" xfId="0" applyNumberFormat="1" applyFont="1" applyFill="1" applyBorder="1" applyAlignment="1" applyProtection="1">
      <alignment vertical="center" textRotation="255" wrapText="1"/>
    </xf>
    <xf numFmtId="0" fontId="69" fillId="5" borderId="13" xfId="0" applyNumberFormat="1"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0" borderId="12" xfId="0" applyNumberFormat="1" applyFont="1" applyFill="1" applyBorder="1" applyAlignment="1" applyProtection="1">
      <alignment horizontal="center" vertical="center" wrapText="1"/>
      <protection locked="0"/>
    </xf>
    <xf numFmtId="0" fontId="82" fillId="0" borderId="25" xfId="0" applyNumberFormat="1" applyFont="1" applyFill="1" applyBorder="1" applyAlignment="1" applyProtection="1">
      <alignment horizontal="center" vertical="center" wrapText="1"/>
      <protection locked="0"/>
    </xf>
    <xf numFmtId="0" fontId="81" fillId="5" borderId="24" xfId="0" applyNumberFormat="1" applyFont="1" applyFill="1" applyBorder="1" applyAlignment="1" applyProtection="1">
      <alignment vertical="center" textRotation="255" wrapText="1"/>
    </xf>
    <xf numFmtId="0" fontId="78" fillId="5" borderId="54" xfId="0" applyNumberFormat="1" applyFont="1" applyFill="1" applyBorder="1" applyAlignment="1" applyProtection="1">
      <alignment horizontal="center" vertical="center" wrapText="1"/>
    </xf>
    <xf numFmtId="0" fontId="109" fillId="5" borderId="14" xfId="0" applyFont="1" applyFill="1" applyBorder="1" applyAlignment="1" applyProtection="1">
      <alignment vertical="center"/>
    </xf>
    <xf numFmtId="0" fontId="110" fillId="5" borderId="0" xfId="0" applyFont="1" applyFill="1" applyAlignment="1" applyProtection="1">
      <alignment horizontal="center" vertical="center"/>
    </xf>
    <xf numFmtId="188" fontId="109" fillId="5" borderId="14" xfId="0" applyNumberFormat="1" applyFont="1" applyFill="1" applyBorder="1" applyAlignment="1" applyProtection="1">
      <alignment horizontal="center" vertical="center"/>
    </xf>
    <xf numFmtId="0" fontId="69" fillId="5" borderId="4" xfId="0" applyNumberFormat="1" applyFont="1" applyFill="1" applyBorder="1" applyAlignment="1" applyProtection="1">
      <alignment horizontal="center" vertical="center" wrapText="1"/>
    </xf>
    <xf numFmtId="0" fontId="82" fillId="0" borderId="46" xfId="0" applyNumberFormat="1" applyFont="1" applyFill="1" applyBorder="1" applyAlignment="1" applyProtection="1">
      <alignment horizontal="center" vertical="center" wrapText="1"/>
      <protection locked="0"/>
    </xf>
    <xf numFmtId="0" fontId="95" fillId="5" borderId="30" xfId="3" applyFont="1" applyFill="1" applyBorder="1" applyAlignment="1" applyProtection="1">
      <alignment vertical="center"/>
    </xf>
    <xf numFmtId="0" fontId="93" fillId="5" borderId="1" xfId="3" applyFont="1" applyFill="1" applyBorder="1" applyAlignment="1" applyProtection="1">
      <alignment horizontal="left" vertical="center"/>
    </xf>
    <xf numFmtId="0" fontId="93" fillId="5" borderId="29" xfId="3" applyFont="1" applyFill="1" applyBorder="1" applyAlignment="1" applyProtection="1">
      <alignment vertical="center"/>
    </xf>
    <xf numFmtId="178" fontId="93" fillId="5" borderId="6" xfId="3" applyNumberFormat="1" applyFont="1" applyFill="1" applyBorder="1" applyAlignment="1" applyProtection="1">
      <alignment horizontal="center" vertical="center"/>
    </xf>
    <xf numFmtId="0" fontId="93" fillId="5" borderId="6" xfId="3" applyFont="1" applyFill="1" applyBorder="1" applyAlignment="1" applyProtection="1">
      <alignment horizontal="center" vertical="center"/>
    </xf>
    <xf numFmtId="0" fontId="93" fillId="5" borderId="5" xfId="3" applyFont="1" applyFill="1" applyBorder="1" applyAlignment="1" applyProtection="1">
      <alignment vertical="center"/>
    </xf>
    <xf numFmtId="178" fontId="93" fillId="5" borderId="2" xfId="3" applyNumberFormat="1" applyFont="1" applyFill="1" applyBorder="1" applyAlignment="1" applyProtection="1">
      <alignment horizontal="center" vertical="center"/>
    </xf>
    <xf numFmtId="0" fontId="93" fillId="5" borderId="2" xfId="3" applyFont="1" applyFill="1" applyBorder="1" applyAlignment="1" applyProtection="1">
      <alignment horizontal="center" vertical="center"/>
    </xf>
    <xf numFmtId="0" fontId="93" fillId="5" borderId="12" xfId="3" applyFont="1" applyFill="1" applyBorder="1" applyAlignment="1" applyProtection="1">
      <alignment horizontal="left" vertical="center"/>
    </xf>
    <xf numFmtId="0" fontId="84" fillId="5" borderId="5" xfId="3" applyFont="1" applyFill="1" applyBorder="1" applyAlignment="1" applyProtection="1">
      <alignment vertical="center"/>
    </xf>
    <xf numFmtId="178" fontId="84" fillId="5" borderId="2" xfId="3" applyNumberFormat="1" applyFont="1" applyFill="1" applyBorder="1" applyAlignment="1" applyProtection="1">
      <alignment horizontal="center" vertical="center"/>
    </xf>
    <xf numFmtId="178" fontId="84" fillId="5" borderId="2" xfId="3" applyNumberFormat="1" applyFont="1" applyFill="1" applyBorder="1" applyAlignment="1" applyProtection="1">
      <alignment vertical="center"/>
    </xf>
    <xf numFmtId="10" fontId="84" fillId="5" borderId="2" xfId="3" applyNumberFormat="1" applyFont="1" applyFill="1" applyBorder="1" applyAlignment="1" applyProtection="1">
      <alignment horizontal="center" vertical="center"/>
    </xf>
    <xf numFmtId="0" fontId="111" fillId="5" borderId="5" xfId="3" applyFont="1" applyFill="1" applyBorder="1" applyAlignment="1" applyProtection="1">
      <alignment vertical="center"/>
    </xf>
    <xf numFmtId="178" fontId="111" fillId="5" borderId="2" xfId="3" applyNumberFormat="1" applyFont="1" applyFill="1" applyBorder="1" applyAlignment="1" applyProtection="1">
      <alignment horizontal="center" vertical="center"/>
    </xf>
    <xf numFmtId="0" fontId="84" fillId="5" borderId="12" xfId="3" applyFont="1" applyFill="1" applyBorder="1" applyAlignment="1" applyProtection="1">
      <alignment vertical="center" wrapText="1"/>
    </xf>
    <xf numFmtId="180" fontId="93" fillId="5" borderId="2" xfId="3" applyNumberFormat="1" applyFont="1" applyFill="1" applyBorder="1" applyAlignment="1" applyProtection="1">
      <alignment horizontal="center" vertical="center"/>
    </xf>
    <xf numFmtId="9" fontId="93" fillId="5" borderId="5" xfId="3" applyNumberFormat="1" applyFont="1" applyFill="1" applyBorder="1" applyAlignment="1" applyProtection="1">
      <alignment horizontal="center" vertical="center"/>
    </xf>
    <xf numFmtId="0" fontId="93" fillId="5" borderId="2" xfId="0" applyFont="1" applyFill="1" applyBorder="1" applyAlignment="1" applyProtection="1">
      <alignment horizontal="right" vertical="center"/>
    </xf>
    <xf numFmtId="0" fontId="93" fillId="5" borderId="2" xfId="0" applyFont="1" applyFill="1" applyBorder="1" applyAlignment="1" applyProtection="1">
      <alignment horizontal="left" vertical="center"/>
    </xf>
    <xf numFmtId="10" fontId="93" fillId="5" borderId="5" xfId="3" applyNumberFormat="1" applyFont="1" applyFill="1" applyBorder="1" applyAlignment="1" applyProtection="1">
      <alignment horizontal="center" vertical="center"/>
    </xf>
    <xf numFmtId="0" fontId="93" fillId="5" borderId="12" xfId="0" applyFont="1" applyFill="1" applyBorder="1" applyAlignment="1" applyProtection="1">
      <alignment vertical="center" wrapText="1"/>
    </xf>
    <xf numFmtId="0" fontId="93" fillId="5" borderId="5" xfId="3" applyNumberFormat="1" applyFont="1" applyFill="1" applyBorder="1" applyAlignment="1" applyProtection="1">
      <alignment horizontal="center" vertical="center"/>
    </xf>
    <xf numFmtId="0" fontId="93" fillId="5" borderId="44" xfId="3" applyFont="1" applyFill="1" applyBorder="1" applyAlignment="1" applyProtection="1">
      <alignment vertical="center"/>
    </xf>
    <xf numFmtId="178" fontId="93" fillId="5" borderId="43" xfId="3" applyNumberFormat="1" applyFont="1" applyFill="1" applyBorder="1" applyAlignment="1" applyProtection="1">
      <alignment horizontal="center" vertical="center"/>
    </xf>
    <xf numFmtId="180" fontId="93" fillId="5" borderId="43" xfId="3" applyNumberFormat="1" applyFont="1" applyFill="1" applyBorder="1" applyAlignment="1" applyProtection="1">
      <alignment horizontal="center" vertical="center"/>
    </xf>
    <xf numFmtId="9" fontId="93" fillId="5" borderId="44" xfId="3" applyNumberFormat="1" applyFont="1" applyFill="1" applyBorder="1" applyAlignment="1" applyProtection="1">
      <alignment horizontal="center" vertical="center"/>
    </xf>
    <xf numFmtId="0" fontId="93" fillId="5" borderId="45" xfId="0" applyFont="1" applyFill="1" applyBorder="1" applyAlignment="1" applyProtection="1">
      <alignment vertical="center" wrapText="1"/>
    </xf>
    <xf numFmtId="49" fontId="100" fillId="5" borderId="19" xfId="0" applyNumberFormat="1" applyFont="1" applyFill="1" applyBorder="1" applyAlignment="1" applyProtection="1"/>
    <xf numFmtId="49" fontId="99" fillId="2" borderId="34" xfId="0" applyNumberFormat="1" applyFont="1" applyFill="1" applyBorder="1" applyAlignment="1" applyProtection="1">
      <alignment horizontal="left"/>
      <protection locked="0"/>
    </xf>
    <xf numFmtId="178" fontId="99" fillId="5" borderId="19" xfId="0" applyNumberFormat="1" applyFont="1" applyFill="1" applyBorder="1" applyAlignment="1" applyProtection="1"/>
    <xf numFmtId="0" fontId="68" fillId="5" borderId="2" xfId="0" applyFont="1" applyFill="1" applyBorder="1" applyAlignment="1" applyProtection="1">
      <alignment horizontal="center" vertical="center"/>
    </xf>
    <xf numFmtId="49" fontId="99" fillId="5" borderId="0" xfId="0" applyNumberFormat="1" applyFont="1" applyFill="1" applyBorder="1" applyAlignment="1" applyProtection="1">
      <alignment horizontal="center"/>
    </xf>
    <xf numFmtId="49" fontId="74" fillId="5" borderId="1" xfId="0" applyNumberFormat="1" applyFont="1" applyFill="1" applyBorder="1" applyAlignment="1" applyProtection="1">
      <alignment horizontal="center" vertical="center"/>
    </xf>
    <xf numFmtId="0" fontId="74" fillId="5" borderId="6" xfId="0" applyFont="1" applyFill="1" applyBorder="1" applyAlignment="1" applyProtection="1">
      <alignment horizontal="center" vertical="center"/>
    </xf>
    <xf numFmtId="0" fontId="74" fillId="5" borderId="29" xfId="0" applyFont="1" applyFill="1" applyBorder="1" applyAlignment="1" applyProtection="1">
      <alignment horizontal="right" vertical="center"/>
    </xf>
    <xf numFmtId="0" fontId="74" fillId="5" borderId="56" xfId="0" applyFont="1" applyFill="1" applyBorder="1" applyAlignment="1" applyProtection="1">
      <alignment horizontal="center" vertical="center"/>
    </xf>
    <xf numFmtId="49" fontId="83" fillId="5" borderId="22" xfId="0" applyNumberFormat="1" applyFont="1" applyFill="1" applyBorder="1" applyAlignment="1" applyProtection="1">
      <alignment vertical="center"/>
    </xf>
    <xf numFmtId="0" fontId="83" fillId="5" borderId="10" xfId="0" applyFont="1" applyFill="1" applyBorder="1" applyAlignment="1" applyProtection="1">
      <alignment vertical="center" wrapText="1"/>
    </xf>
    <xf numFmtId="0" fontId="83" fillId="5" borderId="10" xfId="0" applyFont="1" applyFill="1" applyBorder="1" applyAlignment="1" applyProtection="1">
      <alignment horizontal="center" vertical="center"/>
    </xf>
    <xf numFmtId="0" fontId="74" fillId="5" borderId="2" xfId="0" applyFont="1" applyFill="1" applyBorder="1" applyAlignment="1" applyProtection="1">
      <alignment horizontal="left" vertical="center"/>
    </xf>
    <xf numFmtId="0" fontId="83" fillId="5" borderId="12" xfId="0" applyFont="1" applyFill="1" applyBorder="1" applyAlignment="1" applyProtection="1">
      <alignment horizontal="center" vertical="center"/>
    </xf>
    <xf numFmtId="49" fontId="83" fillId="5" borderId="24" xfId="0" applyNumberFormat="1" applyFont="1" applyFill="1" applyBorder="1" applyAlignment="1" applyProtection="1">
      <alignment vertical="center"/>
    </xf>
    <xf numFmtId="0" fontId="83" fillId="5" borderId="3" xfId="0" applyFont="1" applyFill="1" applyBorder="1" applyAlignment="1" applyProtection="1">
      <alignment vertical="center" wrapText="1"/>
    </xf>
    <xf numFmtId="0" fontId="83" fillId="5" borderId="3" xfId="0" applyFont="1" applyFill="1" applyBorder="1" applyAlignment="1" applyProtection="1">
      <alignment horizontal="center" vertical="center"/>
    </xf>
    <xf numFmtId="0" fontId="74" fillId="5" borderId="3" xfId="0" applyFont="1" applyFill="1" applyBorder="1" applyAlignment="1" applyProtection="1">
      <alignment vertical="center"/>
    </xf>
    <xf numFmtId="49" fontId="83" fillId="5" borderId="49" xfId="0" applyNumberFormat="1" applyFont="1" applyFill="1" applyBorder="1" applyAlignment="1" applyProtection="1">
      <alignment vertical="center"/>
    </xf>
    <xf numFmtId="0" fontId="83" fillId="5" borderId="21" xfId="0" applyFont="1" applyFill="1" applyBorder="1" applyAlignment="1" applyProtection="1">
      <alignment vertical="center" wrapText="1"/>
    </xf>
    <xf numFmtId="0" fontId="83" fillId="5" borderId="21" xfId="0" applyFont="1" applyFill="1" applyBorder="1" applyAlignment="1" applyProtection="1">
      <alignment horizontal="center" vertical="center"/>
    </xf>
    <xf numFmtId="0" fontId="74" fillId="5" borderId="21" xfId="0" applyFont="1" applyFill="1" applyBorder="1" applyAlignment="1" applyProtection="1">
      <alignment vertical="center"/>
    </xf>
    <xf numFmtId="182" fontId="83" fillId="5" borderId="12" xfId="0" applyNumberFormat="1" applyFont="1" applyFill="1" applyBorder="1" applyAlignment="1" applyProtection="1">
      <alignment horizontal="center" vertical="center"/>
    </xf>
    <xf numFmtId="0" fontId="74" fillId="5" borderId="10" xfId="0" applyFont="1" applyFill="1" applyBorder="1" applyAlignment="1" applyProtection="1">
      <alignment horizontal="left" vertical="center"/>
    </xf>
    <xf numFmtId="182" fontId="83" fillId="5" borderId="25"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left" vertical="center"/>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xf>
    <xf numFmtId="182" fontId="74" fillId="5" borderId="25" xfId="0" applyNumberFormat="1" applyFont="1" applyFill="1" applyBorder="1" applyAlignment="1" applyProtection="1">
      <alignment horizontal="center" vertical="center"/>
    </xf>
    <xf numFmtId="0" fontId="97" fillId="5" borderId="8" xfId="0" applyFont="1" applyFill="1" applyBorder="1" applyAlignment="1" applyProtection="1">
      <alignment vertical="center"/>
    </xf>
    <xf numFmtId="0" fontId="97" fillId="5" borderId="16" xfId="0" applyFont="1" applyFill="1" applyBorder="1" applyAlignment="1" applyProtection="1">
      <alignment vertical="center"/>
    </xf>
    <xf numFmtId="49" fontId="74" fillId="5" borderId="11" xfId="0" applyNumberFormat="1" applyFont="1" applyFill="1" applyBorder="1" applyAlignment="1" applyProtection="1">
      <alignment horizontal="left" vertical="center"/>
    </xf>
    <xf numFmtId="0" fontId="191" fillId="5" borderId="5" xfId="0" applyFont="1" applyFill="1" applyBorder="1" applyAlignment="1" applyProtection="1">
      <alignment horizontal="center" vertical="center"/>
    </xf>
    <xf numFmtId="180" fontId="83" fillId="5" borderId="16" xfId="0" applyNumberFormat="1" applyFont="1" applyFill="1" applyBorder="1" applyAlignment="1" applyProtection="1">
      <alignment horizontal="center" vertical="center"/>
    </xf>
    <xf numFmtId="0" fontId="74" fillId="5" borderId="21" xfId="0" applyFont="1" applyFill="1" applyBorder="1" applyAlignment="1" applyProtection="1">
      <alignment horizontal="left" vertical="center"/>
    </xf>
    <xf numFmtId="182" fontId="74" fillId="5" borderId="50" xfId="0" applyNumberFormat="1" applyFont="1" applyFill="1" applyBorder="1" applyAlignment="1" applyProtection="1">
      <alignment horizontal="center" vertical="center"/>
    </xf>
    <xf numFmtId="182" fontId="83" fillId="5" borderId="10" xfId="0" applyNumberFormat="1" applyFont="1" applyFill="1" applyBorder="1" applyAlignment="1" applyProtection="1">
      <alignment horizontal="center" vertical="center"/>
    </xf>
    <xf numFmtId="182" fontId="74" fillId="5" borderId="12" xfId="0" applyNumberFormat="1" applyFont="1" applyFill="1" applyBorder="1" applyAlignment="1" applyProtection="1">
      <alignment horizontal="center" vertical="center"/>
    </xf>
    <xf numFmtId="0" fontId="74" fillId="2" borderId="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49" fontId="74" fillId="5" borderId="22" xfId="0" applyNumberFormat="1" applyFont="1" applyFill="1" applyBorder="1" applyAlignment="1" applyProtection="1">
      <alignment vertical="center"/>
    </xf>
    <xf numFmtId="0" fontId="74" fillId="5" borderId="10" xfId="0" applyFont="1" applyFill="1" applyBorder="1" applyAlignment="1" applyProtection="1">
      <alignment horizontal="left" vertical="center" wrapText="1"/>
    </xf>
    <xf numFmtId="49" fontId="74" fillId="5" borderId="49" xfId="0" applyNumberFormat="1" applyFont="1" applyFill="1" applyBorder="1" applyAlignment="1" applyProtection="1">
      <alignment vertical="center"/>
    </xf>
    <xf numFmtId="0" fontId="74" fillId="5" borderId="21" xfId="0" applyFont="1" applyFill="1" applyBorder="1" applyAlignment="1" applyProtection="1">
      <alignment horizontal="left" vertical="center" wrapText="1"/>
    </xf>
    <xf numFmtId="10" fontId="83" fillId="5" borderId="12" xfId="0" applyNumberFormat="1" applyFont="1" applyFill="1" applyBorder="1" applyAlignment="1" applyProtection="1">
      <alignment horizontal="center" vertical="center"/>
    </xf>
    <xf numFmtId="183" fontId="83" fillId="5" borderId="12" xfId="0" applyNumberFormat="1" applyFont="1" applyFill="1" applyBorder="1" applyAlignment="1" applyProtection="1">
      <alignment horizontal="center" vertical="center"/>
    </xf>
    <xf numFmtId="10" fontId="74" fillId="5" borderId="12" xfId="0" applyNumberFormat="1" applyFont="1" applyFill="1" applyBorder="1" applyAlignment="1" applyProtection="1">
      <alignment horizontal="center" vertical="center"/>
    </xf>
    <xf numFmtId="0" fontId="74" fillId="5" borderId="16"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wrapText="1"/>
    </xf>
    <xf numFmtId="180" fontId="83" fillId="5" borderId="12" xfId="0" applyNumberFormat="1" applyFont="1" applyFill="1" applyBorder="1" applyAlignment="1" applyProtection="1">
      <alignment horizontal="center" vertical="center"/>
    </xf>
    <xf numFmtId="49" fontId="83" fillId="5" borderId="42" xfId="0" applyNumberFormat="1" applyFont="1" applyFill="1" applyBorder="1" applyAlignment="1" applyProtection="1">
      <alignment horizontal="left" vertical="center"/>
    </xf>
    <xf numFmtId="0" fontId="83" fillId="5" borderId="43" xfId="0" applyFont="1" applyFill="1" applyBorder="1" applyAlignment="1" applyProtection="1">
      <alignment horizontal="left" vertical="center"/>
    </xf>
    <xf numFmtId="0" fontId="83" fillId="5" borderId="43" xfId="0" applyFont="1" applyFill="1" applyBorder="1" applyAlignment="1" applyProtection="1">
      <alignment horizontal="center" vertical="center"/>
    </xf>
    <xf numFmtId="0" fontId="74" fillId="5" borderId="43" xfId="0" applyFont="1" applyFill="1" applyBorder="1" applyAlignment="1" applyProtection="1">
      <alignment vertical="center"/>
    </xf>
    <xf numFmtId="0" fontId="74" fillId="5" borderId="43" xfId="0" applyFont="1" applyFill="1" applyBorder="1" applyAlignment="1" applyProtection="1">
      <alignment horizontal="left" vertical="center"/>
    </xf>
    <xf numFmtId="180" fontId="83" fillId="5" borderId="45" xfId="0" applyNumberFormat="1" applyFont="1" applyFill="1" applyBorder="1" applyAlignment="1" applyProtection="1">
      <alignment horizontal="center" vertical="center"/>
    </xf>
    <xf numFmtId="0" fontId="83" fillId="5" borderId="9" xfId="0" applyFont="1" applyFill="1" applyBorder="1" applyAlignment="1" applyProtection="1">
      <alignment horizontal="center" vertical="center"/>
    </xf>
    <xf numFmtId="182" fontId="83" fillId="5" borderId="50" xfId="0" applyNumberFormat="1" applyFont="1" applyFill="1" applyBorder="1" applyAlignment="1" applyProtection="1">
      <alignment horizontal="center" vertical="center"/>
    </xf>
    <xf numFmtId="49" fontId="74" fillId="5" borderId="23" xfId="0" applyNumberFormat="1" applyFont="1" applyFill="1" applyBorder="1" applyAlignment="1" applyProtection="1">
      <alignment horizontal="left" vertical="center"/>
    </xf>
    <xf numFmtId="49" fontId="99" fillId="5" borderId="19" xfId="0" applyNumberFormat="1" applyFont="1" applyFill="1" applyBorder="1" applyAlignment="1" applyProtection="1"/>
    <xf numFmtId="0" fontId="95" fillId="5" borderId="43" xfId="3" applyFont="1" applyFill="1" applyBorder="1" applyAlignment="1" applyProtection="1">
      <alignment vertical="center"/>
    </xf>
    <xf numFmtId="0" fontId="68" fillId="5" borderId="43" xfId="0" applyFont="1" applyFill="1" applyBorder="1" applyAlignment="1" applyProtection="1">
      <alignment horizontal="center" vertical="center"/>
    </xf>
    <xf numFmtId="0" fontId="69" fillId="5" borderId="2" xfId="0" applyFont="1" applyFill="1" applyBorder="1" applyAlignment="1" applyProtection="1"/>
    <xf numFmtId="0" fontId="69" fillId="5" borderId="2" xfId="0" applyFont="1" applyFill="1" applyBorder="1" applyAlignment="1" applyProtection="1">
      <alignment horizontal="center"/>
    </xf>
    <xf numFmtId="0" fontId="84" fillId="5" borderId="2" xfId="0" applyFont="1" applyFill="1" applyBorder="1" applyAlignment="1" applyProtection="1">
      <alignment horizontal="left"/>
    </xf>
    <xf numFmtId="185" fontId="84" fillId="5" borderId="2" xfId="0" applyNumberFormat="1" applyFont="1" applyFill="1" applyBorder="1" applyAlignment="1" applyProtection="1">
      <alignment horizontal="center"/>
    </xf>
    <xf numFmtId="0" fontId="84" fillId="5" borderId="2" xfId="0" applyFont="1" applyFill="1" applyBorder="1" applyAlignment="1" applyProtection="1">
      <alignment vertical="center" wrapText="1"/>
    </xf>
    <xf numFmtId="182" fontId="83" fillId="5" borderId="2" xfId="0" applyNumberFormat="1" applyFont="1" applyFill="1" applyBorder="1" applyAlignment="1" applyProtection="1">
      <alignment horizontal="center" vertical="center"/>
    </xf>
    <xf numFmtId="0" fontId="196" fillId="5" borderId="2" xfId="0" applyFont="1" applyFill="1" applyBorder="1" applyAlignment="1" applyProtection="1">
      <alignment horizontal="left"/>
    </xf>
    <xf numFmtId="0" fontId="196" fillId="5" borderId="2" xfId="0" applyFont="1" applyFill="1" applyBorder="1" applyAlignment="1" applyProtection="1">
      <alignment horizontal="center"/>
    </xf>
    <xf numFmtId="0" fontId="115" fillId="5" borderId="2" xfId="0" applyFont="1" applyFill="1" applyBorder="1" applyAlignment="1" applyProtection="1">
      <alignment horizontal="left"/>
    </xf>
    <xf numFmtId="0" fontId="115" fillId="5" borderId="2" xfId="0" applyFont="1" applyFill="1" applyBorder="1" applyAlignment="1" applyProtection="1">
      <alignment horizontal="center"/>
    </xf>
    <xf numFmtId="182" fontId="84" fillId="5" borderId="2" xfId="0" applyNumberFormat="1" applyFont="1" applyFill="1" applyBorder="1" applyAlignment="1" applyProtection="1">
      <alignment horizontal="center"/>
    </xf>
    <xf numFmtId="0" fontId="104" fillId="5" borderId="2" xfId="0" applyFont="1" applyFill="1" applyBorder="1" applyAlignment="1" applyProtection="1">
      <alignment horizontal="center" vertical="center"/>
    </xf>
    <xf numFmtId="0" fontId="74" fillId="5" borderId="2" xfId="0" applyFont="1" applyFill="1" applyBorder="1" applyAlignment="1" applyProtection="1"/>
    <xf numFmtId="182" fontId="74" fillId="5" borderId="2" xfId="0" applyNumberFormat="1" applyFont="1" applyFill="1" applyBorder="1" applyAlignment="1" applyProtection="1">
      <alignment horizontal="center"/>
    </xf>
    <xf numFmtId="0" fontId="99" fillId="2" borderId="14" xfId="0" applyFont="1" applyFill="1" applyBorder="1" applyAlignment="1" applyProtection="1">
      <alignment vertical="center"/>
      <protection locked="0"/>
    </xf>
    <xf numFmtId="0" fontId="95" fillId="5" borderId="2" xfId="0" applyFont="1" applyFill="1" applyBorder="1" applyAlignment="1" applyProtection="1">
      <alignment horizontal="right" vertical="center"/>
    </xf>
    <xf numFmtId="0" fontId="95" fillId="5" borderId="10" xfId="0" applyFont="1" applyFill="1" applyBorder="1" applyAlignment="1" applyProtection="1">
      <alignment horizontal="right" vertical="center"/>
    </xf>
    <xf numFmtId="0" fontId="95" fillId="5" borderId="10" xfId="0" applyFont="1" applyFill="1" applyBorder="1" applyAlignment="1" applyProtection="1">
      <alignment horizontal="center" vertical="center"/>
    </xf>
    <xf numFmtId="188" fontId="69" fillId="5" borderId="56" xfId="0" applyNumberFormat="1" applyFont="1" applyFill="1" applyBorder="1" applyAlignment="1" applyProtection="1">
      <alignment horizontal="center" vertical="center" wrapText="1"/>
    </xf>
    <xf numFmtId="188" fontId="69" fillId="5" borderId="16" xfId="0" applyNumberFormat="1" applyFont="1" applyFill="1" applyBorder="1" applyAlignment="1" applyProtection="1">
      <alignment horizontal="center" vertical="center" wrapText="1"/>
    </xf>
    <xf numFmtId="0" fontId="69" fillId="5" borderId="16" xfId="0" applyNumberFormat="1" applyFont="1" applyFill="1" applyBorder="1" applyAlignment="1" applyProtection="1">
      <alignment horizontal="center" vertical="center" wrapText="1"/>
    </xf>
    <xf numFmtId="49" fontId="69" fillId="2" borderId="62" xfId="0" applyNumberFormat="1" applyFont="1" applyFill="1" applyBorder="1" applyAlignment="1" applyProtection="1">
      <alignment horizontal="center" vertical="center" wrapText="1"/>
      <protection locked="0"/>
    </xf>
    <xf numFmtId="0" fontId="69" fillId="0" borderId="58" xfId="0" applyNumberFormat="1" applyFont="1" applyFill="1" applyBorder="1" applyAlignment="1" applyProtection="1">
      <alignment horizontal="center" vertical="center" wrapText="1"/>
      <protection locked="0"/>
    </xf>
    <xf numFmtId="49" fontId="69" fillId="2" borderId="41" xfId="0" applyNumberFormat="1" applyFont="1" applyFill="1" applyBorder="1" applyAlignment="1" applyProtection="1">
      <alignment horizontal="center" vertical="center" wrapText="1"/>
      <protection locked="0"/>
    </xf>
    <xf numFmtId="0" fontId="69" fillId="5" borderId="29" xfId="0" applyNumberFormat="1" applyFont="1" applyFill="1" applyBorder="1" applyAlignment="1" applyProtection="1">
      <alignment horizontal="center" vertical="center" wrapText="1"/>
    </xf>
    <xf numFmtId="49" fontId="69" fillId="2" borderId="1" xfId="0" applyNumberFormat="1" applyFont="1" applyFill="1" applyBorder="1" applyAlignment="1" applyProtection="1">
      <alignment horizontal="center" vertical="center" wrapText="1"/>
      <protection locked="0"/>
    </xf>
    <xf numFmtId="49" fontId="69" fillId="2" borderId="11" xfId="0" applyNumberFormat="1" applyFont="1" applyFill="1" applyBorder="1" applyAlignment="1" applyProtection="1">
      <alignment horizontal="center" vertical="center" wrapText="1"/>
      <protection locked="0"/>
    </xf>
    <xf numFmtId="49" fontId="69" fillId="2" borderId="9" xfId="0" applyNumberFormat="1" applyFont="1" applyFill="1" applyBorder="1" applyAlignment="1" applyProtection="1">
      <alignment horizontal="center" vertical="center" wrapText="1"/>
      <protection locked="0"/>
    </xf>
    <xf numFmtId="0" fontId="69" fillId="5" borderId="5" xfId="0" applyNumberFormat="1" applyFont="1" applyFill="1" applyBorder="1" applyAlignment="1" applyProtection="1">
      <alignment horizontal="center" vertical="center" wrapText="1"/>
    </xf>
    <xf numFmtId="0" fontId="104" fillId="0" borderId="16" xfId="0" applyNumberFormat="1" applyFont="1" applyFill="1" applyBorder="1" applyAlignment="1" applyProtection="1">
      <alignment horizontal="center" vertical="center" wrapText="1"/>
      <protection locked="0"/>
    </xf>
    <xf numFmtId="0" fontId="104" fillId="5" borderId="16" xfId="0" applyNumberFormat="1" applyFont="1" applyFill="1" applyBorder="1" applyAlignment="1" applyProtection="1">
      <alignment horizontal="center" vertical="center" wrapText="1"/>
    </xf>
    <xf numFmtId="0" fontId="82" fillId="5" borderId="44" xfId="0" applyNumberFormat="1" applyFont="1" applyFill="1" applyBorder="1" applyAlignment="1" applyProtection="1">
      <alignment horizontal="center" vertical="center" wrapText="1"/>
    </xf>
    <xf numFmtId="49" fontId="82" fillId="5" borderId="52" xfId="0" applyNumberFormat="1" applyFont="1" applyFill="1" applyBorder="1" applyAlignment="1" applyProtection="1">
      <alignment horizontal="center" vertical="center" wrapText="1"/>
    </xf>
    <xf numFmtId="0" fontId="104" fillId="0" borderId="76" xfId="0" applyNumberFormat="1" applyFont="1" applyFill="1" applyBorder="1" applyAlignment="1" applyProtection="1">
      <alignment horizontal="center" vertical="center" wrapText="1"/>
      <protection locked="0"/>
    </xf>
    <xf numFmtId="0" fontId="82" fillId="5" borderId="0" xfId="0" applyFont="1" applyFill="1" applyBorder="1" applyAlignment="1" applyProtection="1">
      <alignment horizontal="center" vertical="center"/>
    </xf>
    <xf numFmtId="0" fontId="104" fillId="5" borderId="77" xfId="0" applyNumberFormat="1" applyFont="1" applyFill="1" applyBorder="1" applyAlignment="1" applyProtection="1">
      <alignment horizontal="center" vertical="center" wrapText="1"/>
    </xf>
    <xf numFmtId="0" fontId="69" fillId="5" borderId="4" xfId="0" applyFont="1" applyFill="1" applyBorder="1" applyAlignment="1" applyProtection="1">
      <alignment horizontal="center" vertical="center" wrapText="1"/>
    </xf>
    <xf numFmtId="0" fontId="82" fillId="5" borderId="22" xfId="0" applyNumberFormat="1" applyFont="1" applyFill="1" applyBorder="1" applyAlignment="1" applyProtection="1">
      <alignment horizontal="center" vertical="center" wrapText="1"/>
    </xf>
    <xf numFmtId="0" fontId="82" fillId="2" borderId="24" xfId="0" applyNumberFormat="1" applyFont="1" applyFill="1" applyBorder="1" applyAlignment="1" applyProtection="1">
      <alignment horizontal="center" vertical="center" wrapText="1"/>
      <protection locked="0"/>
    </xf>
    <xf numFmtId="49" fontId="82" fillId="2" borderId="9" xfId="0" applyNumberFormat="1" applyFont="1" applyFill="1" applyBorder="1" applyAlignment="1" applyProtection="1">
      <alignment horizontal="center" vertical="center" wrapText="1"/>
      <protection locked="0"/>
    </xf>
    <xf numFmtId="0" fontId="69" fillId="5" borderId="50" xfId="0" applyNumberFormat="1" applyFont="1" applyFill="1" applyBorder="1" applyAlignment="1" applyProtection="1">
      <alignment horizontal="center" vertical="center" wrapText="1"/>
    </xf>
    <xf numFmtId="0" fontId="69" fillId="5" borderId="17"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wrapText="1"/>
      <protection locked="0"/>
    </xf>
    <xf numFmtId="0" fontId="82" fillId="2" borderId="41" xfId="0" applyFont="1" applyFill="1" applyBorder="1" applyAlignment="1" applyProtection="1">
      <alignment horizontal="center" vertical="center" wrapText="1"/>
      <protection locked="0"/>
    </xf>
    <xf numFmtId="0" fontId="69" fillId="0" borderId="64" xfId="0" applyNumberFormat="1" applyFont="1" applyFill="1" applyBorder="1" applyAlignment="1" applyProtection="1">
      <alignment horizontal="center" vertical="center" wrapText="1"/>
      <protection locked="0"/>
    </xf>
    <xf numFmtId="0" fontId="82" fillId="2" borderId="11" xfId="0" applyFont="1" applyFill="1" applyBorder="1" applyAlignment="1" applyProtection="1">
      <alignment horizontal="center" vertical="center" wrapText="1"/>
      <protection locked="0"/>
    </xf>
    <xf numFmtId="0" fontId="82" fillId="2" borderId="9" xfId="0" applyFont="1" applyFill="1" applyBorder="1" applyAlignment="1" applyProtection="1">
      <alignment horizontal="center" vertical="center" wrapText="1"/>
      <protection locked="0"/>
    </xf>
    <xf numFmtId="9" fontId="69" fillId="0" borderId="64" xfId="0" applyNumberFormat="1" applyFont="1" applyFill="1" applyBorder="1" applyAlignment="1" applyProtection="1">
      <alignment horizontal="center" vertical="center" wrapText="1"/>
      <protection locked="0"/>
    </xf>
    <xf numFmtId="9" fontId="69" fillId="0" borderId="9" xfId="0" applyNumberFormat="1" applyFont="1" applyFill="1" applyBorder="1" applyAlignment="1" applyProtection="1">
      <alignment horizontal="center" vertical="center" wrapText="1"/>
      <protection locked="0"/>
    </xf>
    <xf numFmtId="9" fontId="69" fillId="0" borderId="11" xfId="0" applyNumberFormat="1" applyFont="1" applyFill="1" applyBorder="1" applyAlignment="1" applyProtection="1">
      <alignment horizontal="center" vertical="center" wrapText="1"/>
      <protection locked="0"/>
    </xf>
    <xf numFmtId="0" fontId="81" fillId="5" borderId="23" xfId="0" applyFont="1" applyFill="1" applyBorder="1" applyAlignment="1" applyProtection="1">
      <alignment vertical="center" textRotation="255" wrapText="1"/>
    </xf>
    <xf numFmtId="49" fontId="81" fillId="5" borderId="30" xfId="0" applyNumberFormat="1" applyFont="1" applyFill="1" applyBorder="1" applyAlignment="1" applyProtection="1">
      <alignment vertical="center"/>
    </xf>
    <xf numFmtId="49" fontId="81" fillId="5" borderId="55" xfId="0" applyNumberFormat="1" applyFont="1" applyFill="1" applyBorder="1" applyAlignment="1" applyProtection="1">
      <alignment vertical="center"/>
    </xf>
    <xf numFmtId="0" fontId="69" fillId="0" borderId="32"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left"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protection locked="0"/>
    </xf>
    <xf numFmtId="0" fontId="81" fillId="5" borderId="23" xfId="0" applyNumberFormat="1" applyFont="1" applyFill="1" applyBorder="1" applyAlignment="1" applyProtection="1">
      <alignment vertical="center" wrapText="1"/>
    </xf>
    <xf numFmtId="0" fontId="69" fillId="5" borderId="2"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left" vertical="center" wrapText="1"/>
    </xf>
    <xf numFmtId="0" fontId="78" fillId="5" borderId="12" xfId="0" applyNumberFormat="1" applyFont="1" applyFill="1" applyBorder="1" applyAlignment="1" applyProtection="1">
      <alignment horizontal="center" vertical="center" wrapText="1"/>
    </xf>
    <xf numFmtId="0" fontId="104" fillId="0" borderId="22" xfId="0" applyNumberFormat="1" applyFont="1" applyFill="1" applyBorder="1" applyAlignment="1" applyProtection="1">
      <alignment horizontal="center" vertical="center" wrapText="1"/>
      <protection locked="0"/>
    </xf>
    <xf numFmtId="0" fontId="104" fillId="5" borderId="49" xfId="0" applyNumberFormat="1" applyFont="1" applyFill="1" applyBorder="1" applyAlignment="1" applyProtection="1">
      <alignment horizontal="center" vertical="center" wrapText="1"/>
    </xf>
    <xf numFmtId="49" fontId="82" fillId="5" borderId="22" xfId="0" applyNumberFormat="1" applyFont="1" applyFill="1" applyBorder="1" applyAlignment="1" applyProtection="1">
      <alignment horizontal="center" vertical="center" wrapText="1"/>
    </xf>
    <xf numFmtId="0" fontId="69" fillId="2" borderId="49" xfId="0" applyNumberFormat="1" applyFont="1" applyFill="1" applyBorder="1" applyAlignment="1" applyProtection="1">
      <alignment horizontal="center" vertical="center" wrapText="1"/>
      <protection locked="0"/>
    </xf>
    <xf numFmtId="17" fontId="78" fillId="0" borderId="64" xfId="0" applyNumberFormat="1" applyFont="1" applyFill="1" applyBorder="1" applyAlignment="1" applyProtection="1">
      <alignment horizontal="center" vertical="center" wrapText="1"/>
      <protection locked="0"/>
    </xf>
    <xf numFmtId="0" fontId="78" fillId="0" borderId="64" xfId="0" applyNumberFormat="1" applyFont="1" applyFill="1" applyBorder="1" applyAlignment="1" applyProtection="1">
      <alignment horizontal="center" vertical="center" wrapText="1"/>
      <protection locked="0"/>
    </xf>
    <xf numFmtId="0" fontId="82" fillId="5" borderId="5" xfId="0" applyFont="1" applyFill="1" applyBorder="1" applyAlignment="1" applyProtection="1">
      <alignment horizontal="center" vertical="center" wrapText="1"/>
    </xf>
    <xf numFmtId="0" fontId="82"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left" vertical="center" wrapText="1"/>
      <protection locked="0"/>
    </xf>
    <xf numFmtId="0" fontId="103" fillId="0" borderId="51" xfId="0" applyNumberFormat="1" applyFont="1" applyFill="1" applyBorder="1" applyAlignment="1" applyProtection="1">
      <alignment horizontal="center" vertical="center" wrapText="1"/>
      <protection locked="0"/>
    </xf>
    <xf numFmtId="0" fontId="188" fillId="0" borderId="74" xfId="0" applyNumberFormat="1" applyFont="1" applyFill="1" applyBorder="1" applyAlignment="1" applyProtection="1">
      <alignment horizontal="center" vertical="center" wrapText="1"/>
      <protection locked="0"/>
    </xf>
    <xf numFmtId="0" fontId="69" fillId="0" borderId="20" xfId="0" applyNumberFormat="1" applyFont="1" applyFill="1" applyBorder="1" applyAlignment="1" applyProtection="1">
      <alignment horizontal="center" vertical="center" wrapText="1"/>
      <protection locked="0"/>
    </xf>
    <xf numFmtId="0" fontId="69" fillId="0" borderId="23" xfId="0" applyNumberFormat="1" applyFont="1" applyFill="1" applyBorder="1" applyAlignment="1" applyProtection="1">
      <alignment horizontal="center" vertical="center" wrapText="1"/>
      <protection locked="0"/>
    </xf>
    <xf numFmtId="0" fontId="82" fillId="0" borderId="8" xfId="0" applyNumberFormat="1" applyFont="1" applyFill="1" applyBorder="1" applyAlignment="1" applyProtection="1">
      <alignment horizontal="center" vertical="center" wrapText="1"/>
      <protection locked="0"/>
    </xf>
    <xf numFmtId="0" fontId="69" fillId="2" borderId="20" xfId="0" applyNumberFormat="1" applyFont="1" applyFill="1" applyBorder="1" applyAlignment="1" applyProtection="1">
      <alignment horizontal="center" vertical="center" wrapText="1"/>
      <protection locked="0"/>
    </xf>
    <xf numFmtId="0" fontId="69" fillId="0" borderId="45" xfId="0" applyFont="1" applyFill="1" applyBorder="1" applyAlignment="1" applyProtection="1">
      <alignment horizontal="center" vertical="center" wrapText="1"/>
      <protection locked="0"/>
    </xf>
    <xf numFmtId="0" fontId="82" fillId="0" borderId="55" xfId="0" applyNumberFormat="1" applyFont="1" applyFill="1" applyBorder="1" applyAlignment="1" applyProtection="1">
      <alignment horizontal="center" vertical="center" wrapText="1"/>
      <protection locked="0"/>
    </xf>
    <xf numFmtId="0" fontId="82" fillId="2" borderId="1" xfId="0" applyNumberFormat="1" applyFont="1" applyFill="1" applyBorder="1" applyAlignment="1" applyProtection="1">
      <alignment horizontal="center" vertical="center" wrapText="1"/>
      <protection locked="0"/>
    </xf>
    <xf numFmtId="0" fontId="82" fillId="5" borderId="73" xfId="0" applyNumberFormat="1" applyFont="1" applyFill="1" applyBorder="1" applyAlignment="1" applyProtection="1">
      <alignment horizontal="center" vertical="center" wrapText="1"/>
    </xf>
    <xf numFmtId="0" fontId="82" fillId="0" borderId="74" xfId="0" applyNumberFormat="1" applyFont="1" applyFill="1" applyBorder="1" applyAlignment="1" applyProtection="1">
      <alignment horizontal="left" vertical="center" wrapText="1"/>
      <protection locked="0"/>
    </xf>
    <xf numFmtId="0" fontId="82" fillId="0" borderId="75"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82" fillId="5" borderId="52" xfId="0" applyNumberFormat="1" applyFont="1" applyFill="1" applyBorder="1" applyAlignment="1" applyProtection="1">
      <alignment horizontal="center" vertical="center" wrapText="1"/>
    </xf>
    <xf numFmtId="0" fontId="69" fillId="5" borderId="13" xfId="0" applyFont="1" applyFill="1" applyBorder="1" applyAlignment="1" applyProtection="1">
      <alignment horizontal="center" vertical="center" wrapText="1"/>
    </xf>
    <xf numFmtId="0" fontId="99" fillId="2" borderId="14" xfId="0" applyFont="1" applyFill="1" applyBorder="1" applyAlignment="1" applyProtection="1">
      <alignment horizontal="right" vertical="center"/>
      <protection locked="0"/>
    </xf>
    <xf numFmtId="0" fontId="82" fillId="5" borderId="51" xfId="0" applyFont="1" applyFill="1" applyBorder="1" applyAlignment="1" applyProtection="1">
      <alignment horizontal="center" vertical="center"/>
    </xf>
    <xf numFmtId="0" fontId="69" fillId="0" borderId="25" xfId="0" applyFont="1" applyFill="1" applyBorder="1" applyAlignment="1" applyProtection="1">
      <alignment horizontal="center" vertical="center" wrapText="1"/>
      <protection locked="0"/>
    </xf>
    <xf numFmtId="0" fontId="69" fillId="5" borderId="69" xfId="0" applyNumberFormat="1" applyFont="1" applyFill="1" applyBorder="1" applyAlignment="1" applyProtection="1">
      <alignment horizontal="center" vertical="center" wrapText="1"/>
    </xf>
    <xf numFmtId="0" fontId="69" fillId="5" borderId="68" xfId="0" applyNumberFormat="1" applyFont="1" applyFill="1" applyBorder="1" applyAlignment="1" applyProtection="1">
      <alignment horizontal="center" vertical="center" wrapText="1"/>
    </xf>
    <xf numFmtId="0" fontId="82" fillId="5" borderId="49" xfId="0" applyNumberFormat="1" applyFont="1" applyFill="1" applyBorder="1" applyAlignment="1" applyProtection="1">
      <alignment horizontal="center" vertical="center" wrapText="1"/>
    </xf>
    <xf numFmtId="0" fontId="98" fillId="5" borderId="31" xfId="0" applyFont="1" applyFill="1" applyBorder="1" applyAlignment="1" applyProtection="1">
      <alignment vertical="center" textRotation="255" wrapText="1"/>
    </xf>
    <xf numFmtId="49" fontId="69" fillId="0" borderId="64"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vertical="center" textRotation="255" wrapText="1"/>
    </xf>
    <xf numFmtId="0" fontId="69" fillId="2" borderId="64" xfId="0" applyNumberFormat="1" applyFont="1" applyFill="1" applyBorder="1" applyAlignment="1" applyProtection="1">
      <alignment horizontal="center" vertical="center" wrapText="1"/>
      <protection locked="0"/>
    </xf>
    <xf numFmtId="0" fontId="73" fillId="5" borderId="31" xfId="0" applyFont="1" applyFill="1" applyBorder="1" applyAlignment="1" applyProtection="1">
      <alignment vertical="center" textRotation="255" wrapText="1"/>
    </xf>
    <xf numFmtId="0" fontId="81" fillId="5" borderId="53" xfId="0" applyFont="1" applyFill="1" applyBorder="1" applyAlignment="1" applyProtection="1">
      <alignment vertical="center" textRotation="255" wrapText="1"/>
    </xf>
    <xf numFmtId="0" fontId="82" fillId="5" borderId="3" xfId="0" applyNumberFormat="1" applyFont="1" applyFill="1" applyBorder="1" applyAlignment="1" applyProtection="1">
      <alignment horizontal="center" vertical="center" wrapText="1"/>
    </xf>
    <xf numFmtId="49" fontId="82"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left" vertical="center" wrapText="1"/>
      <protection locked="0"/>
    </xf>
    <xf numFmtId="49" fontId="103" fillId="0" borderId="7" xfId="0" applyNumberFormat="1" applyFont="1" applyFill="1" applyBorder="1" applyAlignment="1" applyProtection="1">
      <alignment horizontal="center" vertical="center" wrapText="1"/>
      <protection locked="0"/>
    </xf>
    <xf numFmtId="0" fontId="82" fillId="0" borderId="79" xfId="0" applyNumberFormat="1" applyFont="1" applyFill="1" applyBorder="1" applyAlignment="1" applyProtection="1">
      <alignment horizontal="center" vertical="center" wrapText="1"/>
      <protection locked="0"/>
    </xf>
    <xf numFmtId="0" fontId="69" fillId="5" borderId="51" xfId="0" applyNumberFormat="1" applyFont="1" applyFill="1" applyBorder="1" applyAlignment="1" applyProtection="1">
      <alignment horizontal="center" vertical="center" wrapText="1"/>
    </xf>
    <xf numFmtId="0" fontId="69" fillId="5" borderId="13" xfId="0" applyNumberFormat="1" applyFont="1" applyFill="1" applyBorder="1" applyAlignment="1" applyProtection="1">
      <alignment horizontal="center" vertical="center" wrapText="1"/>
    </xf>
    <xf numFmtId="0" fontId="82" fillId="5" borderId="29" xfId="0" applyNumberFormat="1" applyFont="1" applyFill="1" applyBorder="1" applyAlignment="1" applyProtection="1">
      <alignment horizontal="center" vertical="center" wrapText="1"/>
    </xf>
    <xf numFmtId="0" fontId="69" fillId="0" borderId="59" xfId="0" applyNumberFormat="1" applyFont="1" applyFill="1" applyBorder="1" applyAlignment="1" applyProtection="1">
      <alignment horizontal="center" vertical="center" wrapText="1"/>
      <protection locked="0"/>
    </xf>
    <xf numFmtId="0" fontId="103" fillId="5" borderId="3" xfId="0" applyNumberFormat="1" applyFont="1" applyFill="1" applyBorder="1" applyAlignment="1" applyProtection="1">
      <alignment horizontal="center" vertical="center" wrapText="1"/>
    </xf>
    <xf numFmtId="0" fontId="103" fillId="5" borderId="3" xfId="0" applyNumberFormat="1" applyFont="1" applyFill="1" applyBorder="1" applyAlignment="1" applyProtection="1">
      <alignment horizontal="left" vertical="center" wrapText="1"/>
    </xf>
    <xf numFmtId="0" fontId="103" fillId="5" borderId="51" xfId="0" applyNumberFormat="1" applyFont="1" applyFill="1" applyBorder="1" applyAlignment="1" applyProtection="1">
      <alignment horizontal="center" vertical="center" wrapText="1"/>
    </xf>
    <xf numFmtId="0" fontId="74" fillId="5" borderId="0" xfId="0" applyFont="1" applyFill="1" applyAlignment="1" applyProtection="1">
      <alignment horizontal="center" vertical="center"/>
    </xf>
    <xf numFmtId="0" fontId="74" fillId="5" borderId="1" xfId="0" applyNumberFormat="1" applyFont="1" applyFill="1" applyBorder="1" applyAlignment="1" applyProtection="1">
      <alignment horizontal="center" vertical="center" wrapText="1"/>
    </xf>
    <xf numFmtId="0" fontId="74" fillId="5" borderId="6" xfId="0" applyNumberFormat="1" applyFont="1" applyFill="1" applyBorder="1" applyAlignment="1" applyProtection="1">
      <alignment horizontal="center" vertical="center" wrapText="1"/>
    </xf>
    <xf numFmtId="0" fontId="74" fillId="5" borderId="38" xfId="0" applyNumberFormat="1" applyFont="1" applyFill="1" applyBorder="1" applyAlignment="1" applyProtection="1">
      <alignment horizontal="center" vertical="center" wrapText="1"/>
    </xf>
    <xf numFmtId="0" fontId="74" fillId="5" borderId="31" xfId="0" applyNumberFormat="1" applyFont="1" applyFill="1" applyBorder="1" applyAlignment="1" applyProtection="1">
      <alignment horizontal="center" vertical="center"/>
    </xf>
    <xf numFmtId="0" fontId="74" fillId="0" borderId="11"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5" borderId="15" xfId="0" applyNumberFormat="1" applyFont="1" applyFill="1" applyBorder="1" applyAlignment="1" applyProtection="1">
      <alignment horizontal="center" vertical="center" wrapText="1"/>
    </xf>
    <xf numFmtId="0" fontId="74" fillId="0" borderId="65" xfId="0" applyNumberFormat="1" applyFont="1" applyFill="1" applyBorder="1" applyAlignment="1" applyProtection="1">
      <alignment horizontal="center" vertical="center" wrapText="1"/>
      <protection locked="0"/>
    </xf>
    <xf numFmtId="0" fontId="68" fillId="5" borderId="2" xfId="0" applyFont="1" applyFill="1" applyBorder="1" applyProtection="1">
      <alignment vertical="center"/>
    </xf>
    <xf numFmtId="0" fontId="115" fillId="0" borderId="2" xfId="0" applyFont="1" applyFill="1" applyBorder="1" applyAlignment="1" applyProtection="1">
      <alignment horizontal="center" vertical="center"/>
      <protection locked="0"/>
    </xf>
    <xf numFmtId="0" fontId="115" fillId="5" borderId="2" xfId="0" applyFont="1" applyFill="1" applyBorder="1" applyAlignment="1" applyProtection="1">
      <alignment horizontal="center" vertical="center"/>
    </xf>
    <xf numFmtId="0" fontId="115" fillId="2" borderId="2" xfId="0" applyFont="1" applyFill="1" applyBorder="1" applyAlignment="1" applyProtection="1">
      <alignment horizontal="center" vertical="center"/>
      <protection locked="0"/>
    </xf>
    <xf numFmtId="0" fontId="115" fillId="0" borderId="2" xfId="0" applyNumberFormat="1" applyFont="1" applyBorder="1" applyAlignment="1" applyProtection="1">
      <alignment horizontal="center" vertical="center"/>
      <protection locked="0"/>
    </xf>
    <xf numFmtId="0" fontId="74" fillId="0" borderId="2" xfId="0" applyFont="1" applyBorder="1" applyProtection="1">
      <alignment vertical="center"/>
      <protection locked="0"/>
    </xf>
    <xf numFmtId="0" fontId="80" fillId="5" borderId="9" xfId="0" applyFont="1" applyFill="1" applyBorder="1" applyAlignment="1" applyProtection="1">
      <alignment horizontal="center" vertical="center" wrapText="1"/>
    </xf>
    <xf numFmtId="0" fontId="50" fillId="5" borderId="18" xfId="0" applyFont="1" applyFill="1" applyBorder="1" applyAlignment="1" applyProtection="1">
      <alignment horizontal="center" vertical="center" wrapText="1"/>
    </xf>
    <xf numFmtId="0" fontId="73" fillId="5" borderId="58" xfId="0" applyFont="1" applyFill="1" applyBorder="1" applyAlignment="1" applyProtection="1">
      <alignment horizontal="left" vertical="center"/>
    </xf>
    <xf numFmtId="0" fontId="69" fillId="5" borderId="56" xfId="0" applyFont="1" applyFill="1" applyBorder="1" applyAlignment="1" applyProtection="1">
      <alignment horizontal="left" vertical="center"/>
    </xf>
    <xf numFmtId="0" fontId="73" fillId="5" borderId="79" xfId="0" applyFont="1" applyFill="1" applyBorder="1" applyAlignment="1" applyProtection="1">
      <alignment horizontal="right" vertical="center"/>
    </xf>
    <xf numFmtId="180" fontId="73" fillId="2" borderId="12" xfId="0" applyNumberFormat="1" applyFont="1" applyFill="1" applyBorder="1" applyAlignment="1" applyProtection="1">
      <alignment horizontal="center" vertical="center"/>
      <protection locked="0"/>
    </xf>
    <xf numFmtId="0" fontId="69" fillId="5" borderId="11" xfId="0" applyFont="1" applyFill="1" applyBorder="1" applyAlignment="1" applyProtection="1">
      <alignment horizontal="center" vertical="center"/>
    </xf>
    <xf numFmtId="180" fontId="69" fillId="5" borderId="12" xfId="0" applyNumberFormat="1" applyFont="1" applyFill="1" applyBorder="1" applyAlignment="1" applyProtection="1">
      <alignment horizontal="center" vertical="center"/>
    </xf>
    <xf numFmtId="0" fontId="69" fillId="5" borderId="11" xfId="0" applyFont="1" applyFill="1" applyBorder="1" applyAlignment="1" applyProtection="1">
      <alignment vertical="center"/>
    </xf>
    <xf numFmtId="177" fontId="69" fillId="5" borderId="42" xfId="0" applyNumberFormat="1" applyFont="1" applyFill="1" applyBorder="1" applyAlignment="1" applyProtection="1">
      <alignment vertical="center"/>
    </xf>
    <xf numFmtId="177" fontId="69" fillId="5" borderId="69" xfId="0" applyNumberFormat="1" applyFont="1" applyFill="1" applyBorder="1" applyAlignment="1" applyProtection="1">
      <alignment vertical="center"/>
    </xf>
    <xf numFmtId="0" fontId="69" fillId="5" borderId="80" xfId="0" applyFont="1" applyFill="1" applyBorder="1" applyAlignment="1" applyProtection="1">
      <alignment horizontal="center" vertical="center"/>
    </xf>
    <xf numFmtId="0" fontId="84" fillId="0" borderId="50" xfId="3" applyNumberFormat="1" applyFont="1" applyFill="1" applyBorder="1" applyAlignment="1" applyProtection="1">
      <alignment horizontal="center" vertical="center"/>
      <protection locked="0"/>
    </xf>
    <xf numFmtId="0" fontId="69" fillId="5" borderId="22" xfId="0" applyFont="1" applyFill="1" applyBorder="1" applyAlignment="1" applyProtection="1">
      <alignment horizontal="left" vertical="center" wrapText="1"/>
    </xf>
    <xf numFmtId="0" fontId="74" fillId="6" borderId="36" xfId="0" applyFont="1" applyFill="1" applyBorder="1" applyProtection="1">
      <alignment vertical="center"/>
      <protection locked="0"/>
    </xf>
    <xf numFmtId="0" fontId="69" fillId="0" borderId="37" xfId="0" applyFont="1" applyFill="1" applyBorder="1" applyProtection="1">
      <alignment vertical="center"/>
      <protection locked="0"/>
    </xf>
    <xf numFmtId="0" fontId="73" fillId="0" borderId="43" xfId="0" applyFont="1" applyFill="1" applyBorder="1" applyAlignment="1" applyProtection="1">
      <alignment horizontal="center" vertical="center"/>
      <protection locked="0"/>
    </xf>
    <xf numFmtId="0" fontId="197" fillId="0" borderId="12" xfId="0" applyFont="1" applyFill="1" applyBorder="1" applyAlignment="1" applyProtection="1">
      <alignment vertical="center" wrapText="1"/>
      <protection locked="0"/>
    </xf>
    <xf numFmtId="0" fontId="197" fillId="0" borderId="45" xfId="0" applyFont="1" applyFill="1" applyBorder="1" applyAlignment="1" applyProtection="1">
      <alignment vertical="center" wrapText="1"/>
      <protection locked="0"/>
    </xf>
    <xf numFmtId="10" fontId="74" fillId="5" borderId="5" xfId="0" applyNumberFormat="1" applyFont="1" applyFill="1" applyBorder="1" applyAlignment="1" applyProtection="1">
      <alignment horizontal="left"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0" fontId="74" fillId="5" borderId="5"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93" fillId="5" borderId="6" xfId="0" applyFont="1" applyFill="1" applyBorder="1" applyAlignment="1" applyProtection="1">
      <alignment horizontal="center" vertical="center" wrapText="1"/>
    </xf>
    <xf numFmtId="0" fontId="74" fillId="5" borderId="19" xfId="0" applyFont="1" applyFill="1" applyBorder="1" applyAlignment="1" applyProtection="1">
      <alignment horizontal="center" vertical="center"/>
    </xf>
    <xf numFmtId="0" fontId="74" fillId="5" borderId="9" xfId="0" applyFont="1" applyFill="1" applyBorder="1" applyAlignment="1" applyProtection="1">
      <alignment horizontal="center" vertical="center" wrapText="1"/>
    </xf>
    <xf numFmtId="0" fontId="74" fillId="5" borderId="25" xfId="0" applyFont="1" applyFill="1" applyBorder="1" applyAlignment="1" applyProtection="1">
      <alignment horizontal="center" vertical="center"/>
    </xf>
    <xf numFmtId="0" fontId="74" fillId="5" borderId="50" xfId="0" applyFont="1" applyFill="1" applyBorder="1" applyAlignment="1" applyProtection="1">
      <alignment horizontal="center" vertical="center"/>
    </xf>
    <xf numFmtId="0" fontId="74" fillId="5" borderId="16" xfId="0" applyFont="1" applyFill="1" applyBorder="1" applyAlignment="1" applyProtection="1">
      <alignment horizontal="left" vertical="center" wrapText="1"/>
    </xf>
    <xf numFmtId="0" fontId="74" fillId="5" borderId="5" xfId="0" applyFont="1" applyFill="1" applyBorder="1" applyAlignment="1" applyProtection="1">
      <alignment horizontal="center" vertical="center"/>
    </xf>
    <xf numFmtId="0" fontId="74" fillId="5" borderId="8"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74" fillId="5" borderId="0" xfId="0" applyFont="1" applyFill="1" applyBorder="1" applyAlignment="1" applyProtection="1">
      <alignment horizontal="center" vertical="center"/>
    </xf>
    <xf numFmtId="0" fontId="198" fillId="5" borderId="0" xfId="0" applyFont="1" applyFill="1" applyAlignment="1" applyProtection="1">
      <alignment horizontal="center" vertical="center" wrapText="1"/>
    </xf>
    <xf numFmtId="0" fontId="199" fillId="5" borderId="0" xfId="0" applyFont="1" applyFill="1" applyAlignment="1" applyProtection="1">
      <alignment horizontal="center" vertical="center"/>
    </xf>
    <xf numFmtId="0" fontId="69" fillId="5" borderId="21" xfId="0" applyFont="1" applyFill="1" applyBorder="1" applyAlignment="1" applyProtection="1">
      <alignment horizontal="center" vertical="center" wrapText="1"/>
    </xf>
    <xf numFmtId="0" fontId="97" fillId="0" borderId="11" xfId="0" applyNumberFormat="1" applyFont="1" applyFill="1" applyBorder="1" applyAlignment="1" applyProtection="1">
      <alignment horizontal="center" vertical="center" wrapText="1"/>
      <protection locked="0"/>
    </xf>
    <xf numFmtId="180" fontId="45" fillId="0" borderId="19" xfId="7" applyNumberFormat="1" applyFont="1" applyBorder="1" applyAlignment="1" applyProtection="1">
      <alignment vertical="center"/>
    </xf>
    <xf numFmtId="0" fontId="45" fillId="0" borderId="19" xfId="7" applyNumberFormat="1" applyFont="1" applyBorder="1" applyAlignment="1" applyProtection="1">
      <alignment vertical="center"/>
    </xf>
    <xf numFmtId="0" fontId="186" fillId="0" borderId="0" xfId="7" applyNumberFormat="1" applyProtection="1">
      <alignment vertical="center"/>
    </xf>
    <xf numFmtId="180" fontId="38" fillId="5" borderId="2" xfId="7" applyNumberFormat="1" applyFont="1" applyFill="1" applyBorder="1" applyAlignment="1" applyProtection="1">
      <alignment horizontal="center" vertical="center"/>
    </xf>
    <xf numFmtId="0" fontId="38" fillId="5" borderId="2" xfId="7" applyNumberFormat="1" applyFont="1" applyFill="1" applyBorder="1" applyAlignment="1" applyProtection="1">
      <alignment horizontal="center" vertical="center"/>
    </xf>
    <xf numFmtId="0" fontId="38" fillId="5" borderId="2" xfId="7" applyNumberFormat="1" applyFont="1" applyFill="1" applyBorder="1" applyAlignment="1" applyProtection="1">
      <alignment horizontal="center" vertical="center" wrapText="1"/>
    </xf>
    <xf numFmtId="0" fontId="38" fillId="5" borderId="3" xfId="7" applyNumberFormat="1" applyFont="1" applyFill="1" applyBorder="1" applyAlignment="1" applyProtection="1">
      <alignment horizontal="center" vertical="center"/>
    </xf>
    <xf numFmtId="0" fontId="84" fillId="5" borderId="3" xfId="7" applyNumberFormat="1" applyFont="1" applyFill="1" applyBorder="1" applyAlignment="1" applyProtection="1">
      <alignment horizontal="center" vertical="center" wrapText="1"/>
    </xf>
    <xf numFmtId="0" fontId="84" fillId="5" borderId="27" xfId="7" applyNumberFormat="1" applyFont="1" applyFill="1" applyBorder="1" applyAlignment="1" applyProtection="1">
      <alignment horizontal="center" vertical="center" wrapText="1"/>
    </xf>
    <xf numFmtId="0" fontId="197" fillId="5" borderId="28" xfId="7" applyNumberFormat="1" applyFont="1" applyFill="1" applyBorder="1" applyAlignment="1" applyProtection="1">
      <alignment horizontal="center" vertical="center" wrapText="1"/>
    </xf>
    <xf numFmtId="0" fontId="124" fillId="5" borderId="2" xfId="7" applyNumberFormat="1" applyFont="1" applyFill="1" applyBorder="1" applyAlignment="1" applyProtection="1">
      <alignment horizontal="center" vertical="center" wrapText="1"/>
    </xf>
    <xf numFmtId="0" fontId="200" fillId="5" borderId="2" xfId="7" applyNumberFormat="1" applyFont="1" applyFill="1" applyBorder="1" applyAlignment="1" applyProtection="1">
      <alignment horizontal="center" vertical="center"/>
    </xf>
    <xf numFmtId="0" fontId="201" fillId="5" borderId="2" xfId="7" applyNumberFormat="1" applyFont="1" applyFill="1" applyBorder="1" applyAlignment="1" applyProtection="1">
      <alignment horizontal="center" vertical="center"/>
    </xf>
    <xf numFmtId="0" fontId="186" fillId="0" borderId="0" xfId="7" applyNumberFormat="1" applyFont="1" applyProtection="1">
      <alignment vertical="center"/>
    </xf>
    <xf numFmtId="0" fontId="84" fillId="5" borderId="26" xfId="7" applyNumberFormat="1" applyFont="1" applyFill="1" applyBorder="1" applyAlignment="1" applyProtection="1">
      <alignment vertical="center" wrapText="1"/>
    </xf>
    <xf numFmtId="0" fontId="38" fillId="5" borderId="6" xfId="7" applyNumberFormat="1" applyFont="1" applyFill="1" applyBorder="1" applyAlignment="1" applyProtection="1">
      <alignment horizontal="center" vertical="center"/>
    </xf>
    <xf numFmtId="0" fontId="38" fillId="5" borderId="21" xfId="7" applyNumberFormat="1" applyFont="1" applyFill="1" applyBorder="1" applyAlignment="1" applyProtection="1">
      <alignment horizontal="center" vertical="center"/>
    </xf>
    <xf numFmtId="0" fontId="38" fillId="5" borderId="21" xfId="7" applyNumberFormat="1" applyFont="1" applyFill="1" applyBorder="1" applyAlignment="1" applyProtection="1">
      <alignment horizontal="center" vertical="center" wrapText="1"/>
    </xf>
    <xf numFmtId="0" fontId="38" fillId="5" borderId="27" xfId="7" applyNumberFormat="1" applyFont="1" applyFill="1" applyBorder="1" applyAlignment="1" applyProtection="1">
      <alignment horizontal="center" vertical="center"/>
    </xf>
    <xf numFmtId="0" fontId="38" fillId="5" borderId="40" xfId="7" applyNumberFormat="1" applyFont="1" applyFill="1" applyBorder="1" applyAlignment="1" applyProtection="1">
      <alignment horizontal="center" vertical="center"/>
    </xf>
    <xf numFmtId="0" fontId="84" fillId="5" borderId="11" xfId="7" applyNumberFormat="1" applyFont="1" applyFill="1" applyBorder="1" applyAlignment="1" applyProtection="1">
      <alignment horizontal="center" vertical="center" wrapText="1"/>
    </xf>
    <xf numFmtId="0" fontId="197" fillId="5" borderId="2" xfId="7" applyNumberFormat="1" applyFont="1" applyFill="1" applyBorder="1" applyAlignment="1" applyProtection="1">
      <alignment horizontal="center" vertical="center" wrapText="1"/>
    </xf>
    <xf numFmtId="0" fontId="197" fillId="5" borderId="12" xfId="7" applyNumberFormat="1" applyFont="1" applyFill="1" applyBorder="1" applyAlignment="1" applyProtection="1">
      <alignment horizontal="center" vertical="center" wrapText="1"/>
    </xf>
    <xf numFmtId="0" fontId="124" fillId="5" borderId="11" xfId="7" applyNumberFormat="1" applyFont="1" applyFill="1" applyBorder="1" applyAlignment="1" applyProtection="1">
      <alignment horizontal="center" vertical="center" wrapText="1"/>
    </xf>
    <xf numFmtId="0" fontId="84" fillId="5" borderId="42" xfId="7" applyNumberFormat="1" applyFont="1" applyFill="1" applyBorder="1" applyAlignment="1" applyProtection="1">
      <alignment horizontal="center" vertical="center" wrapText="1"/>
    </xf>
    <xf numFmtId="0" fontId="197" fillId="5" borderId="43" xfId="7" applyNumberFormat="1" applyFont="1" applyFill="1" applyBorder="1" applyAlignment="1" applyProtection="1">
      <alignment horizontal="center" vertical="center" wrapText="1"/>
    </xf>
    <xf numFmtId="0" fontId="197" fillId="5" borderId="45" xfId="7" applyNumberFormat="1" applyFont="1" applyFill="1" applyBorder="1" applyAlignment="1" applyProtection="1">
      <alignment horizontal="center" vertical="center" wrapText="1"/>
    </xf>
    <xf numFmtId="180" fontId="38" fillId="5" borderId="2" xfId="7" applyNumberFormat="1" applyFont="1" applyFill="1" applyBorder="1" applyAlignment="1" applyProtection="1">
      <alignment horizontal="center" vertical="center" wrapText="1"/>
    </xf>
    <xf numFmtId="180" fontId="186" fillId="0" borderId="0" xfId="7" applyNumberFormat="1" applyProtection="1">
      <alignment vertical="center"/>
    </xf>
    <xf numFmtId="0" fontId="95" fillId="5" borderId="10" xfId="4" applyFont="1" applyFill="1" applyBorder="1" applyAlignment="1" applyProtection="1">
      <alignment horizontal="right" vertical="center"/>
    </xf>
    <xf numFmtId="180" fontId="82" fillId="5" borderId="2" xfId="4" applyNumberFormat="1" applyFont="1" applyFill="1" applyBorder="1" applyAlignment="1" applyProtection="1">
      <alignment horizontal="center" vertical="center" wrapText="1"/>
    </xf>
    <xf numFmtId="178" fontId="82" fillId="0" borderId="2" xfId="4" applyNumberFormat="1" applyFont="1" applyFill="1" applyBorder="1" applyAlignment="1" applyProtection="1">
      <alignment horizontal="center" vertical="center" wrapText="1"/>
      <protection locked="0"/>
    </xf>
    <xf numFmtId="0" fontId="81" fillId="5" borderId="14" xfId="4" applyFont="1" applyFill="1" applyBorder="1" applyAlignment="1" applyProtection="1">
      <alignment horizontal="center" vertical="center"/>
    </xf>
    <xf numFmtId="0" fontId="93" fillId="5" borderId="48" xfId="4" applyFont="1" applyFill="1" applyBorder="1" applyAlignment="1" applyProtection="1">
      <alignment horizontal="center" vertical="center"/>
    </xf>
    <xf numFmtId="0" fontId="93" fillId="5" borderId="29" xfId="4" applyNumberFormat="1" applyFont="1" applyFill="1" applyBorder="1" applyAlignment="1" applyProtection="1">
      <alignment horizontal="center" vertical="center" wrapText="1"/>
    </xf>
    <xf numFmtId="0" fontId="84" fillId="0" borderId="6" xfId="4" applyFont="1" applyFill="1" applyBorder="1" applyAlignment="1" applyProtection="1">
      <alignment horizontal="center" vertical="center" wrapText="1"/>
      <protection locked="0"/>
    </xf>
    <xf numFmtId="0" fontId="84" fillId="5" borderId="21" xfId="4" applyFont="1" applyFill="1" applyBorder="1" applyAlignment="1" applyProtection="1">
      <alignment horizontal="center" vertical="center" wrapText="1"/>
    </xf>
    <xf numFmtId="0" fontId="84" fillId="5" borderId="17" xfId="4" applyFont="1" applyFill="1" applyBorder="1" applyAlignment="1" applyProtection="1">
      <alignment horizontal="center" vertical="center" wrapText="1"/>
    </xf>
    <xf numFmtId="9" fontId="84" fillId="5" borderId="2" xfId="4" applyNumberFormat="1" applyFont="1" applyFill="1" applyBorder="1" applyAlignment="1" applyProtection="1">
      <alignment horizontal="center" vertical="center" wrapText="1"/>
    </xf>
    <xf numFmtId="0" fontId="84" fillId="5" borderId="2" xfId="4" applyFont="1" applyFill="1" applyBorder="1" applyAlignment="1" applyProtection="1">
      <alignment horizontal="center" vertical="center" wrapText="1"/>
    </xf>
    <xf numFmtId="0" fontId="84" fillId="5" borderId="10" xfId="4" applyFont="1" applyFill="1" applyBorder="1" applyAlignment="1" applyProtection="1">
      <alignment horizontal="center" vertical="center" wrapText="1"/>
    </xf>
    <xf numFmtId="0" fontId="202" fillId="6" borderId="2" xfId="4" applyFont="1" applyFill="1" applyBorder="1" applyAlignment="1" applyProtection="1">
      <alignment horizontal="center" vertical="center" wrapText="1"/>
      <protection locked="0"/>
    </xf>
    <xf numFmtId="0" fontId="84" fillId="5" borderId="43" xfId="4" applyFont="1" applyFill="1" applyBorder="1" applyAlignment="1" applyProtection="1">
      <alignment horizontal="center" vertical="center" wrapText="1"/>
    </xf>
    <xf numFmtId="0" fontId="93" fillId="5" borderId="6" xfId="4" applyFont="1" applyFill="1" applyBorder="1" applyAlignment="1" applyProtection="1">
      <alignment horizontal="center" vertical="center" wrapText="1"/>
    </xf>
    <xf numFmtId="186" fontId="81" fillId="5" borderId="81" xfId="4" applyNumberFormat="1" applyFont="1" applyFill="1" applyBorder="1" applyAlignment="1" applyProtection="1">
      <alignment horizontal="center" vertical="center" wrapText="1"/>
    </xf>
    <xf numFmtId="14" fontId="82" fillId="5" borderId="81" xfId="4" applyNumberFormat="1" applyFont="1" applyFill="1" applyBorder="1" applyAlignment="1" applyProtection="1">
      <alignment horizontal="center" vertical="center" wrapText="1"/>
    </xf>
    <xf numFmtId="14" fontId="82" fillId="5" borderId="36" xfId="4" applyNumberFormat="1" applyFont="1" applyFill="1" applyBorder="1" applyAlignment="1" applyProtection="1">
      <alignment horizontal="center" vertical="center" wrapText="1"/>
    </xf>
    <xf numFmtId="0" fontId="82" fillId="5" borderId="2" xfId="4" applyFont="1" applyFill="1" applyBorder="1" applyAlignment="1" applyProtection="1">
      <alignment horizontal="center" vertical="center" wrapText="1"/>
    </xf>
    <xf numFmtId="0" fontId="81" fillId="5" borderId="21" xfId="4" applyFont="1" applyFill="1" applyBorder="1" applyAlignment="1" applyProtection="1">
      <alignment horizontal="center" vertical="center" wrapText="1"/>
    </xf>
    <xf numFmtId="186" fontId="81" fillId="5" borderId="10" xfId="4" applyNumberFormat="1" applyFont="1" applyFill="1" applyBorder="1" applyAlignment="1" applyProtection="1">
      <alignment horizontal="center" vertical="center" wrapText="1"/>
    </xf>
    <xf numFmtId="0" fontId="93" fillId="5" borderId="2" xfId="4" applyFont="1" applyFill="1" applyBorder="1" applyAlignment="1" applyProtection="1">
      <alignment horizontal="center" vertical="center" wrapText="1"/>
    </xf>
    <xf numFmtId="0" fontId="93" fillId="5" borderId="3" xfId="4" applyFont="1" applyFill="1" applyBorder="1" applyAlignment="1" applyProtection="1">
      <alignment horizontal="center" vertical="center" wrapText="1"/>
    </xf>
    <xf numFmtId="0" fontId="93" fillId="5" borderId="43" xfId="4" applyFont="1" applyFill="1" applyBorder="1" applyAlignment="1" applyProtection="1">
      <alignment horizontal="center" vertical="center" wrapText="1"/>
    </xf>
    <xf numFmtId="0" fontId="186" fillId="5" borderId="0" xfId="4" applyFill="1" applyProtection="1">
      <alignment vertical="center"/>
    </xf>
    <xf numFmtId="0" fontId="203" fillId="5" borderId="11" xfId="4" applyFont="1" applyFill="1" applyBorder="1" applyAlignment="1" applyProtection="1">
      <alignment horizontal="center" vertical="center" wrapText="1"/>
    </xf>
    <xf numFmtId="0" fontId="203" fillId="5" borderId="2" xfId="4" applyFont="1" applyFill="1" applyBorder="1" applyAlignment="1" applyProtection="1">
      <alignment horizontal="center" vertical="center" wrapText="1"/>
    </xf>
    <xf numFmtId="0" fontId="186" fillId="5" borderId="31" xfId="4" applyFill="1" applyBorder="1" applyProtection="1">
      <alignment vertical="center"/>
    </xf>
    <xf numFmtId="0" fontId="204" fillId="5" borderId="0" xfId="4" applyFont="1" applyFill="1" applyProtection="1">
      <alignment vertical="center"/>
    </xf>
    <xf numFmtId="0" fontId="186" fillId="5" borderId="52" xfId="4" applyFill="1" applyBorder="1" applyAlignment="1" applyProtection="1">
      <alignment horizontal="center" vertical="center"/>
    </xf>
    <xf numFmtId="0" fontId="186" fillId="5" borderId="27" xfId="4" applyFill="1" applyBorder="1" applyAlignment="1" applyProtection="1">
      <alignment horizontal="center" vertical="center"/>
    </xf>
    <xf numFmtId="0" fontId="186" fillId="5" borderId="40" xfId="4" applyFill="1" applyBorder="1" applyAlignment="1" applyProtection="1">
      <alignment horizontal="center" vertical="center"/>
    </xf>
    <xf numFmtId="0" fontId="205" fillId="5" borderId="11" xfId="4" applyFont="1" applyFill="1" applyBorder="1" applyAlignment="1" applyProtection="1">
      <alignment horizontal="center" vertical="center" wrapText="1"/>
    </xf>
    <xf numFmtId="0" fontId="205" fillId="5" borderId="2" xfId="4" applyFont="1" applyFill="1" applyBorder="1" applyAlignment="1" applyProtection="1">
      <alignment horizontal="center" vertical="center" wrapText="1"/>
    </xf>
    <xf numFmtId="0" fontId="204" fillId="5" borderId="28" xfId="4" applyFont="1" applyFill="1" applyBorder="1" applyProtection="1">
      <alignment vertical="center"/>
    </xf>
    <xf numFmtId="0" fontId="206" fillId="5" borderId="29" xfId="4" applyFont="1" applyFill="1" applyBorder="1" applyAlignment="1" applyProtection="1">
      <alignment horizontal="center" vertical="center"/>
    </xf>
    <xf numFmtId="0" fontId="204" fillId="5" borderId="31" xfId="4" applyFont="1" applyFill="1" applyBorder="1" applyProtection="1">
      <alignment vertical="center"/>
    </xf>
    <xf numFmtId="0" fontId="206" fillId="5" borderId="43" xfId="4" applyFont="1" applyFill="1" applyBorder="1" applyAlignment="1" applyProtection="1">
      <alignment horizontal="center" vertical="center"/>
    </xf>
    <xf numFmtId="0" fontId="206" fillId="5" borderId="44" xfId="4" applyFont="1" applyFill="1" applyBorder="1" applyAlignment="1" applyProtection="1">
      <alignment horizontal="center" vertical="center"/>
    </xf>
    <xf numFmtId="0" fontId="205" fillId="5" borderId="52" xfId="4" applyFont="1" applyFill="1" applyBorder="1" applyAlignment="1" applyProtection="1">
      <alignment vertical="center" wrapText="1"/>
    </xf>
    <xf numFmtId="0" fontId="205" fillId="5" borderId="6" xfId="4" applyFont="1" applyFill="1" applyBorder="1" applyAlignment="1" applyProtection="1">
      <alignment horizontal="center" vertical="center" wrapText="1"/>
    </xf>
    <xf numFmtId="0" fontId="205" fillId="5" borderId="29" xfId="4" applyFont="1" applyFill="1" applyBorder="1" applyAlignment="1" applyProtection="1">
      <alignment horizontal="center" vertical="center" wrapText="1"/>
    </xf>
    <xf numFmtId="0" fontId="207" fillId="5" borderId="1" xfId="4" applyFont="1" applyFill="1" applyBorder="1" applyAlignment="1" applyProtection="1">
      <alignment horizontal="center" vertical="center"/>
    </xf>
    <xf numFmtId="0" fontId="207" fillId="5" borderId="29" xfId="4" applyFont="1" applyFill="1" applyBorder="1" applyProtection="1">
      <alignment vertical="center"/>
    </xf>
    <xf numFmtId="0" fontId="205" fillId="5" borderId="17" xfId="4" applyFont="1" applyFill="1" applyBorder="1" applyAlignment="1" applyProtection="1">
      <alignment horizontal="center" vertical="center" wrapText="1"/>
    </xf>
    <xf numFmtId="0" fontId="207" fillId="5" borderId="11" xfId="4" applyFont="1" applyFill="1" applyBorder="1" applyAlignment="1" applyProtection="1">
      <alignment horizontal="center" vertical="center"/>
    </xf>
    <xf numFmtId="0" fontId="207" fillId="5" borderId="5" xfId="4" applyFont="1" applyFill="1" applyBorder="1" applyProtection="1">
      <alignment vertical="center"/>
    </xf>
    <xf numFmtId="0" fontId="205" fillId="5" borderId="21" xfId="4" applyFont="1" applyFill="1" applyBorder="1" applyAlignment="1" applyProtection="1">
      <alignment horizontal="center" vertical="center" wrapText="1"/>
    </xf>
    <xf numFmtId="0" fontId="205" fillId="5" borderId="54" xfId="4" applyFont="1" applyFill="1" applyBorder="1" applyAlignment="1" applyProtection="1">
      <alignment horizontal="center" vertical="center" wrapText="1"/>
    </xf>
    <xf numFmtId="0" fontId="205" fillId="5" borderId="43" xfId="4" applyFont="1" applyFill="1" applyBorder="1" applyAlignment="1" applyProtection="1">
      <alignment horizontal="center" vertical="center" wrapText="1"/>
    </xf>
    <xf numFmtId="0" fontId="199" fillId="5" borderId="44" xfId="4" applyFont="1" applyFill="1" applyBorder="1" applyProtection="1">
      <alignment vertical="center"/>
    </xf>
    <xf numFmtId="0" fontId="205" fillId="5" borderId="5" xfId="4" applyFont="1" applyFill="1" applyBorder="1" applyAlignment="1" applyProtection="1">
      <alignment horizontal="center" vertical="center" wrapText="1"/>
    </xf>
    <xf numFmtId="0" fontId="207" fillId="5" borderId="42" xfId="4" applyFont="1" applyFill="1" applyBorder="1" applyAlignment="1" applyProtection="1">
      <alignment horizontal="center" vertical="center"/>
    </xf>
    <xf numFmtId="0" fontId="207" fillId="5" borderId="44" xfId="4" applyFont="1" applyFill="1" applyBorder="1" applyProtection="1">
      <alignment vertical="center"/>
    </xf>
    <xf numFmtId="0" fontId="199" fillId="5" borderId="5" xfId="4" applyFont="1" applyFill="1" applyBorder="1" applyProtection="1">
      <alignment vertical="center"/>
    </xf>
    <xf numFmtId="0" fontId="208" fillId="5" borderId="0" xfId="4" applyFont="1" applyFill="1" applyBorder="1" applyProtection="1">
      <alignment vertical="center"/>
    </xf>
    <xf numFmtId="0" fontId="205" fillId="5" borderId="33" xfId="4" applyFont="1" applyFill="1" applyBorder="1" applyAlignment="1" applyProtection="1">
      <alignment vertical="center" wrapText="1"/>
    </xf>
    <xf numFmtId="0" fontId="209" fillId="5" borderId="0" xfId="4" applyFont="1" applyFill="1" applyProtection="1">
      <alignment vertical="center"/>
    </xf>
    <xf numFmtId="0" fontId="208" fillId="5" borderId="0" xfId="4" applyFont="1" applyFill="1" applyProtection="1">
      <alignment vertical="center"/>
    </xf>
    <xf numFmtId="0" fontId="205" fillId="5" borderId="44" xfId="4" applyFont="1" applyFill="1" applyBorder="1" applyAlignment="1" applyProtection="1">
      <alignment horizontal="center" vertical="center" wrapText="1"/>
    </xf>
    <xf numFmtId="0" fontId="186" fillId="5" borderId="5" xfId="4" applyFill="1" applyBorder="1" applyProtection="1">
      <alignment vertical="center"/>
    </xf>
    <xf numFmtId="0" fontId="186" fillId="5" borderId="2" xfId="4" applyFill="1" applyBorder="1" applyProtection="1">
      <alignment vertical="center"/>
    </xf>
    <xf numFmtId="0" fontId="186" fillId="5" borderId="29" xfId="4" applyFill="1" applyBorder="1" applyProtection="1">
      <alignment vertical="center"/>
    </xf>
    <xf numFmtId="0" fontId="186" fillId="5" borderId="0" xfId="4" applyFill="1" applyAlignment="1" applyProtection="1">
      <alignment horizontal="center" vertical="center"/>
    </xf>
    <xf numFmtId="0" fontId="186" fillId="5" borderId="52" xfId="4" applyFill="1" applyBorder="1" applyAlignment="1" applyProtection="1">
      <alignment horizontal="right" vertical="center"/>
    </xf>
    <xf numFmtId="0" fontId="186" fillId="5" borderId="1" xfId="4" applyFill="1" applyBorder="1" applyAlignment="1" applyProtection="1">
      <alignment horizontal="center" vertical="center"/>
    </xf>
    <xf numFmtId="179" fontId="186" fillId="5" borderId="6" xfId="4" applyNumberFormat="1" applyFill="1" applyBorder="1" applyAlignment="1" applyProtection="1">
      <alignment horizontal="center" vertical="center"/>
    </xf>
    <xf numFmtId="179" fontId="186" fillId="5" borderId="29" xfId="4" applyNumberFormat="1" applyFill="1" applyBorder="1" applyAlignment="1" applyProtection="1">
      <alignment horizontal="center" vertical="center"/>
    </xf>
    <xf numFmtId="179" fontId="186" fillId="5" borderId="7" xfId="4" applyNumberFormat="1" applyFill="1" applyBorder="1" applyAlignment="1" applyProtection="1">
      <alignment horizontal="center" vertical="center"/>
    </xf>
    <xf numFmtId="0" fontId="186" fillId="5" borderId="11" xfId="4" applyFill="1" applyBorder="1" applyAlignment="1" applyProtection="1">
      <alignment horizontal="center" vertical="center"/>
    </xf>
    <xf numFmtId="179" fontId="186" fillId="5" borderId="2" xfId="4" applyNumberFormat="1" applyFill="1" applyBorder="1" applyAlignment="1" applyProtection="1">
      <alignment horizontal="center" vertical="center"/>
    </xf>
    <xf numFmtId="179" fontId="186" fillId="5" borderId="5" xfId="4" applyNumberFormat="1" applyFill="1" applyBorder="1" applyAlignment="1" applyProtection="1">
      <alignment horizontal="center" vertical="center"/>
    </xf>
    <xf numFmtId="179" fontId="186" fillId="5" borderId="12" xfId="4" applyNumberFormat="1" applyFill="1" applyBorder="1" applyAlignment="1" applyProtection="1">
      <alignment horizontal="center" vertical="center"/>
    </xf>
    <xf numFmtId="0" fontId="186" fillId="5" borderId="42" xfId="4" applyFill="1" applyBorder="1" applyAlignment="1" applyProtection="1">
      <alignment horizontal="center" vertical="center"/>
    </xf>
    <xf numFmtId="179" fontId="186" fillId="5" borderId="44" xfId="4" applyNumberFormat="1" applyFill="1" applyBorder="1" applyAlignment="1" applyProtection="1">
      <alignment horizontal="center" vertical="center"/>
    </xf>
    <xf numFmtId="179" fontId="186" fillId="5" borderId="43" xfId="4" applyNumberFormat="1" applyFill="1" applyBorder="1" applyAlignment="1" applyProtection="1">
      <alignment horizontal="center" vertical="center"/>
    </xf>
    <xf numFmtId="179" fontId="186" fillId="5" borderId="45" xfId="4" applyNumberFormat="1" applyFill="1" applyBorder="1" applyAlignment="1" applyProtection="1">
      <alignment horizontal="center" vertical="center"/>
    </xf>
    <xf numFmtId="0" fontId="203" fillId="5" borderId="1" xfId="4" applyFont="1" applyFill="1" applyBorder="1" applyAlignment="1" applyProtection="1">
      <alignment horizontal="center" vertical="center" wrapText="1"/>
    </xf>
    <xf numFmtId="0" fontId="203" fillId="5" borderId="6" xfId="4" applyFont="1" applyFill="1" applyBorder="1" applyAlignment="1" applyProtection="1">
      <alignment horizontal="center" vertical="center" wrapText="1"/>
    </xf>
    <xf numFmtId="0" fontId="203" fillId="5" borderId="7" xfId="4" applyFont="1" applyFill="1" applyBorder="1" applyAlignment="1" applyProtection="1">
      <alignment horizontal="center" vertical="center" wrapText="1"/>
    </xf>
    <xf numFmtId="0" fontId="203" fillId="5" borderId="12" xfId="4" applyFont="1" applyFill="1" applyBorder="1" applyAlignment="1" applyProtection="1">
      <alignment horizontal="center" vertical="center" wrapText="1"/>
    </xf>
    <xf numFmtId="0" fontId="203" fillId="5" borderId="22" xfId="4" applyFont="1" applyFill="1" applyBorder="1" applyAlignment="1" applyProtection="1">
      <alignment horizontal="center" vertical="center" wrapText="1"/>
    </xf>
    <xf numFmtId="0" fontId="203" fillId="5" borderId="25" xfId="4" applyFont="1" applyFill="1" applyBorder="1" applyAlignment="1" applyProtection="1">
      <alignment horizontal="center" vertical="center" wrapText="1"/>
    </xf>
    <xf numFmtId="0" fontId="186" fillId="5" borderId="2" xfId="4" applyFill="1" applyBorder="1" applyAlignment="1" applyProtection="1">
      <alignment horizontal="center" vertical="center"/>
    </xf>
    <xf numFmtId="0" fontId="210" fillId="5" borderId="19" xfId="4" applyFont="1" applyFill="1" applyBorder="1" applyAlignment="1" applyProtection="1">
      <alignment vertical="center"/>
    </xf>
    <xf numFmtId="0" fontId="210" fillId="5" borderId="0" xfId="4" applyFont="1" applyFill="1" applyBorder="1" applyAlignment="1" applyProtection="1">
      <alignment vertical="center"/>
    </xf>
    <xf numFmtId="0" fontId="203" fillId="5" borderId="5" xfId="4" applyFont="1" applyFill="1" applyBorder="1" applyAlignment="1" applyProtection="1">
      <alignment horizontal="center" vertical="center" wrapText="1"/>
    </xf>
    <xf numFmtId="0" fontId="203" fillId="5" borderId="9" xfId="4" applyFont="1" applyFill="1" applyBorder="1" applyAlignment="1" applyProtection="1">
      <alignment horizontal="center" vertical="center" wrapText="1"/>
    </xf>
    <xf numFmtId="0" fontId="203" fillId="5" borderId="0" xfId="4" applyFont="1" applyFill="1" applyBorder="1" applyAlignment="1" applyProtection="1">
      <alignment horizontal="center" vertical="center" wrapText="1"/>
    </xf>
    <xf numFmtId="0" fontId="203" fillId="5" borderId="5" xfId="4" applyFont="1" applyFill="1" applyBorder="1" applyAlignment="1" applyProtection="1">
      <alignment horizontal="left" vertical="center"/>
    </xf>
    <xf numFmtId="0" fontId="203" fillId="5" borderId="9" xfId="4" applyFont="1" applyFill="1" applyBorder="1" applyAlignment="1" applyProtection="1">
      <alignment horizontal="left" vertical="center"/>
    </xf>
    <xf numFmtId="0" fontId="203" fillId="5" borderId="0" xfId="4" applyFont="1" applyFill="1" applyBorder="1" applyAlignment="1" applyProtection="1">
      <alignment vertical="center"/>
    </xf>
    <xf numFmtId="0" fontId="203" fillId="5" borderId="0" xfId="4" applyFont="1" applyFill="1" applyBorder="1" applyAlignment="1" applyProtection="1">
      <alignment horizontal="center" vertical="center"/>
    </xf>
    <xf numFmtId="0" fontId="203" fillId="5" borderId="17" xfId="4" applyFont="1" applyFill="1" applyBorder="1" applyAlignment="1" applyProtection="1">
      <alignment vertical="center" wrapText="1"/>
    </xf>
    <xf numFmtId="0" fontId="203" fillId="5" borderId="21" xfId="4" applyFont="1" applyFill="1" applyBorder="1" applyAlignment="1" applyProtection="1">
      <alignment vertical="center" wrapText="1"/>
    </xf>
    <xf numFmtId="0" fontId="203" fillId="5" borderId="20" xfId="4" applyFont="1" applyFill="1" applyBorder="1" applyAlignment="1" applyProtection="1">
      <alignment vertical="center" wrapText="1"/>
    </xf>
    <xf numFmtId="0" fontId="203" fillId="5" borderId="0" xfId="4" applyFont="1" applyFill="1" applyAlignment="1" applyProtection="1">
      <alignment horizontal="center" vertical="center"/>
    </xf>
    <xf numFmtId="9" fontId="203" fillId="5" borderId="2" xfId="4" applyNumberFormat="1" applyFont="1" applyFill="1" applyBorder="1" applyAlignment="1" applyProtection="1">
      <alignment horizontal="center" vertical="center"/>
    </xf>
    <xf numFmtId="0" fontId="203" fillId="5" borderId="5" xfId="4" applyFont="1" applyFill="1" applyBorder="1" applyAlignment="1" applyProtection="1">
      <alignment vertical="center"/>
    </xf>
    <xf numFmtId="0" fontId="203" fillId="5" borderId="8" xfId="4" applyFont="1" applyFill="1" applyBorder="1" applyAlignment="1" applyProtection="1">
      <alignment vertical="center"/>
    </xf>
    <xf numFmtId="0" fontId="203" fillId="5" borderId="9" xfId="4" applyFont="1" applyFill="1" applyBorder="1" applyAlignment="1" applyProtection="1">
      <alignment vertical="center"/>
    </xf>
    <xf numFmtId="185" fontId="203" fillId="5" borderId="2" xfId="4" applyNumberFormat="1" applyFont="1" applyFill="1" applyBorder="1" applyAlignment="1" applyProtection="1">
      <alignment horizontal="center" vertical="center"/>
    </xf>
    <xf numFmtId="186" fontId="203" fillId="5" borderId="2" xfId="4" applyNumberFormat="1" applyFont="1" applyFill="1" applyBorder="1" applyAlignment="1" applyProtection="1">
      <alignment horizontal="center" vertical="center"/>
    </xf>
    <xf numFmtId="178" fontId="211" fillId="5" borderId="2" xfId="4" applyNumberFormat="1" applyFont="1" applyFill="1" applyBorder="1" applyAlignment="1" applyProtection="1">
      <alignment horizontal="center" vertical="center"/>
    </xf>
    <xf numFmtId="186" fontId="211" fillId="5" borderId="2" xfId="4" applyNumberFormat="1" applyFont="1" applyFill="1" applyBorder="1" applyAlignment="1" applyProtection="1">
      <alignment horizontal="center" vertical="center" wrapText="1"/>
    </xf>
    <xf numFmtId="185" fontId="203" fillId="5" borderId="21" xfId="4" applyNumberFormat="1" applyFont="1" applyFill="1" applyBorder="1" applyAlignment="1" applyProtection="1">
      <alignment horizontal="center" vertical="center" wrapText="1"/>
    </xf>
    <xf numFmtId="180" fontId="211" fillId="5" borderId="2" xfId="4" applyNumberFormat="1" applyFont="1" applyFill="1" applyBorder="1" applyAlignment="1" applyProtection="1">
      <alignment horizontal="center" vertical="center"/>
    </xf>
    <xf numFmtId="0" fontId="50" fillId="0" borderId="2" xfId="0" applyFont="1" applyBorder="1" applyAlignment="1" applyProtection="1">
      <alignment horizontal="center" vertical="center"/>
      <protection locked="0"/>
    </xf>
    <xf numFmtId="0" fontId="69"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wrapText="1"/>
    </xf>
    <xf numFmtId="0" fontId="203" fillId="5" borderId="21" xfId="4" applyFont="1" applyFill="1" applyBorder="1" applyAlignment="1" applyProtection="1">
      <alignment horizontal="center" vertical="center"/>
    </xf>
    <xf numFmtId="0" fontId="203" fillId="5" borderId="10" xfId="4" applyFont="1" applyFill="1" applyBorder="1" applyAlignment="1" applyProtection="1">
      <alignment horizontal="center" vertical="center" wrapText="1"/>
    </xf>
    <xf numFmtId="0" fontId="203" fillId="5" borderId="2" xfId="4" applyFont="1" applyFill="1" applyBorder="1" applyAlignment="1" applyProtection="1">
      <alignment horizontal="center" vertical="center"/>
    </xf>
    <xf numFmtId="0" fontId="210" fillId="5" borderId="0" xfId="4" applyFont="1" applyFill="1" applyAlignment="1" applyProtection="1">
      <alignment horizontal="center" vertical="center"/>
    </xf>
    <xf numFmtId="0" fontId="15" fillId="5" borderId="5" xfId="0" applyFont="1" applyFill="1" applyBorder="1" applyProtection="1">
      <alignment vertical="center"/>
    </xf>
    <xf numFmtId="0" fontId="15" fillId="5" borderId="9" xfId="0" applyFont="1" applyFill="1" applyBorder="1" applyProtection="1">
      <alignment vertical="center"/>
    </xf>
    <xf numFmtId="0" fontId="82" fillId="5" borderId="21" xfId="4" applyFont="1" applyFill="1" applyBorder="1" applyAlignment="1" applyProtection="1">
      <alignment horizontal="center" vertical="center" wrapText="1"/>
    </xf>
    <xf numFmtId="0" fontId="202" fillId="6" borderId="2" xfId="0" applyFont="1" applyFill="1" applyBorder="1" applyAlignment="1" applyProtection="1">
      <alignment horizontal="center" vertical="center" wrapText="1"/>
      <protection locked="0"/>
    </xf>
    <xf numFmtId="0" fontId="189" fillId="0" borderId="0" xfId="0" applyFont="1" applyProtection="1">
      <alignment vertical="center"/>
    </xf>
    <xf numFmtId="0" fontId="212" fillId="0" borderId="0" xfId="0" applyFont="1" applyProtection="1">
      <alignment vertical="center"/>
    </xf>
    <xf numFmtId="0" fontId="68" fillId="0" borderId="2" xfId="0" applyFont="1" applyBorder="1" applyAlignment="1" applyProtection="1">
      <alignment horizontal="center" vertical="center" wrapText="1"/>
    </xf>
    <xf numFmtId="0" fontId="188" fillId="0" borderId="0" xfId="0" applyFont="1" applyProtection="1">
      <alignment vertical="center"/>
    </xf>
    <xf numFmtId="0" fontId="188" fillId="0" borderId="0" xfId="0" applyFont="1" applyAlignment="1" applyProtection="1">
      <alignment horizontal="left" vertical="center"/>
    </xf>
    <xf numFmtId="0" fontId="68" fillId="0" borderId="0" xfId="0" applyFont="1" applyProtection="1">
      <alignment vertical="center"/>
    </xf>
    <xf numFmtId="0" fontId="68" fillId="2" borderId="2"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70" fillId="4" borderId="2" xfId="0" applyFont="1" applyFill="1" applyBorder="1" applyAlignment="1" applyProtection="1">
      <alignment horizontal="center" vertical="center"/>
    </xf>
    <xf numFmtId="0" fontId="71" fillId="0" borderId="2" xfId="0" applyFont="1" applyFill="1" applyBorder="1" applyAlignment="1" applyProtection="1">
      <alignment horizontal="center" vertical="center"/>
    </xf>
    <xf numFmtId="0" fontId="50" fillId="0" borderId="0" xfId="0" applyFont="1" applyProtection="1">
      <alignment vertical="center"/>
    </xf>
    <xf numFmtId="0" fontId="193" fillId="0" borderId="2" xfId="0" applyFont="1" applyBorder="1" applyAlignment="1" applyProtection="1">
      <alignment horizontal="center" vertical="center"/>
    </xf>
    <xf numFmtId="0" fontId="188" fillId="0" borderId="2" xfId="0" applyFont="1" applyBorder="1" applyAlignment="1" applyProtection="1">
      <alignment horizontal="left" vertical="center"/>
    </xf>
    <xf numFmtId="0" fontId="188" fillId="7" borderId="5" xfId="0" applyFont="1" applyFill="1" applyBorder="1" applyAlignment="1" applyProtection="1">
      <alignment vertical="center"/>
    </xf>
    <xf numFmtId="0" fontId="188" fillId="0" borderId="8" xfId="0" applyFont="1" applyBorder="1" applyAlignment="1" applyProtection="1">
      <alignment vertical="center"/>
    </xf>
    <xf numFmtId="0" fontId="188" fillId="0" borderId="9" xfId="0" applyFont="1" applyBorder="1" applyAlignment="1" applyProtection="1">
      <alignment vertical="center"/>
    </xf>
    <xf numFmtId="0" fontId="50" fillId="0" borderId="2" xfId="0" applyFont="1" applyBorder="1" applyAlignment="1" applyProtection="1">
      <alignment horizontal="left" vertical="center"/>
    </xf>
    <xf numFmtId="0" fontId="213" fillId="0" borderId="0" xfId="0" applyFont="1" applyProtection="1">
      <alignment vertical="center"/>
    </xf>
    <xf numFmtId="0" fontId="69" fillId="0" borderId="0" xfId="0" applyFont="1" applyAlignment="1" applyProtection="1">
      <alignment horizontal="left" vertical="center"/>
    </xf>
    <xf numFmtId="0" fontId="72" fillId="0" borderId="0" xfId="0" applyFont="1" applyAlignment="1" applyProtection="1">
      <alignment horizontal="left" vertical="center"/>
    </xf>
    <xf numFmtId="177" fontId="69" fillId="0" borderId="0" xfId="0" applyNumberFormat="1" applyFont="1" applyAlignment="1" applyProtection="1">
      <alignment horizontal="left" vertical="center"/>
    </xf>
    <xf numFmtId="0" fontId="188" fillId="0" borderId="3" xfId="0" applyFont="1" applyBorder="1" applyAlignment="1" applyProtection="1">
      <alignment vertical="center"/>
    </xf>
    <xf numFmtId="0" fontId="208" fillId="0" borderId="3" xfId="0" applyFont="1" applyBorder="1" applyAlignment="1" applyProtection="1">
      <alignment vertical="center"/>
    </xf>
    <xf numFmtId="0" fontId="208" fillId="0" borderId="21" xfId="0" applyFont="1" applyBorder="1" applyAlignment="1" applyProtection="1">
      <alignment vertical="center"/>
    </xf>
    <xf numFmtId="0" fontId="188" fillId="0" borderId="0" xfId="0" applyFont="1" applyAlignment="1" applyProtection="1">
      <alignment horizontal="center" vertical="center" wrapText="1"/>
    </xf>
    <xf numFmtId="0" fontId="188" fillId="0" borderId="0" xfId="0" applyFont="1" applyBorder="1" applyAlignment="1" applyProtection="1">
      <alignment horizontal="center" vertical="center"/>
    </xf>
    <xf numFmtId="0" fontId="74" fillId="5" borderId="2" xfId="0" applyFont="1" applyFill="1" applyBorder="1" applyAlignment="1" applyProtection="1">
      <alignment horizontal="center" vertical="center" wrapText="1"/>
      <protection locked="0"/>
    </xf>
    <xf numFmtId="0" fontId="74" fillId="5" borderId="5" xfId="0" applyFont="1" applyFill="1" applyBorder="1" applyAlignment="1" applyProtection="1">
      <alignment horizontal="left" vertical="center"/>
      <protection locked="0"/>
    </xf>
    <xf numFmtId="0" fontId="74" fillId="5" borderId="5" xfId="0" applyFont="1" applyFill="1" applyBorder="1" applyAlignment="1" applyProtection="1">
      <alignment horizontal="center" vertical="center"/>
      <protection locked="0"/>
    </xf>
    <xf numFmtId="0" fontId="74" fillId="5" borderId="9" xfId="0" applyFont="1" applyFill="1" applyBorder="1" applyAlignment="1" applyProtection="1">
      <alignment horizontal="left" vertical="center"/>
      <protection locked="0"/>
    </xf>
    <xf numFmtId="0" fontId="74" fillId="5" borderId="9" xfId="0" applyFont="1" applyFill="1" applyBorder="1" applyAlignment="1" applyProtection="1">
      <alignment horizontal="center" vertical="center"/>
      <protection locked="0"/>
    </xf>
    <xf numFmtId="0" fontId="74" fillId="5" borderId="17" xfId="0" applyFont="1" applyFill="1" applyBorder="1" applyAlignment="1" applyProtection="1">
      <alignment horizontal="center" vertical="center" wrapText="1"/>
      <protection locked="0"/>
    </xf>
    <xf numFmtId="0" fontId="74" fillId="5" borderId="21" xfId="0" applyFont="1" applyFill="1" applyBorder="1" applyAlignment="1" applyProtection="1">
      <alignment horizontal="center" vertical="center" wrapText="1"/>
      <protection locked="0"/>
    </xf>
    <xf numFmtId="0" fontId="74" fillId="5" borderId="0" xfId="0" applyFont="1" applyFill="1" applyAlignment="1" applyProtection="1">
      <alignment horizontal="center" vertical="center" wrapText="1"/>
    </xf>
    <xf numFmtId="0" fontId="77" fillId="5" borderId="17" xfId="0" applyFont="1" applyFill="1" applyBorder="1" applyAlignment="1" applyProtection="1">
      <alignment horizontal="left" vertical="center"/>
    </xf>
    <xf numFmtId="180" fontId="74" fillId="5" borderId="0" xfId="0" applyNumberFormat="1" applyFont="1" applyFill="1" applyBorder="1" applyAlignment="1" applyProtection="1">
      <alignment horizontal="center" vertical="center" wrapText="1"/>
    </xf>
    <xf numFmtId="180" fontId="77" fillId="5" borderId="0" xfId="0" applyNumberFormat="1" applyFont="1" applyFill="1" applyBorder="1" applyAlignment="1" applyProtection="1">
      <alignment horizontal="center" vertical="center" wrapText="1"/>
    </xf>
    <xf numFmtId="177" fontId="74" fillId="5" borderId="0" xfId="0" applyNumberFormat="1" applyFont="1" applyFill="1" applyAlignment="1" applyProtection="1">
      <alignment horizontal="center" vertical="center" wrapText="1"/>
    </xf>
    <xf numFmtId="0" fontId="69" fillId="5" borderId="5" xfId="0" applyFont="1" applyFill="1" applyBorder="1" applyProtection="1">
      <alignment vertical="center"/>
    </xf>
    <xf numFmtId="0" fontId="69" fillId="5" borderId="8" xfId="0" applyFont="1" applyFill="1" applyBorder="1" applyProtection="1">
      <alignment vertical="center"/>
    </xf>
    <xf numFmtId="0" fontId="73" fillId="5" borderId="9" xfId="0" applyFont="1" applyFill="1" applyBorder="1" applyAlignment="1" applyProtection="1">
      <alignment horizontal="center" vertical="center"/>
    </xf>
    <xf numFmtId="0" fontId="69" fillId="5" borderId="21" xfId="0" applyFont="1" applyFill="1" applyBorder="1" applyProtection="1">
      <alignment vertical="center"/>
    </xf>
    <xf numFmtId="0" fontId="74" fillId="5" borderId="0" xfId="0" applyFont="1" applyFill="1" applyAlignment="1" applyProtection="1">
      <alignment vertical="center"/>
    </xf>
    <xf numFmtId="0" fontId="74" fillId="0" borderId="0" xfId="0" applyFont="1" applyAlignment="1" applyProtection="1">
      <alignment vertical="center"/>
    </xf>
    <xf numFmtId="0" fontId="69" fillId="5" borderId="0" xfId="0" applyFont="1" applyFill="1" applyAlignment="1" applyProtection="1">
      <alignment vertical="center"/>
    </xf>
    <xf numFmtId="0" fontId="69" fillId="5" borderId="0" xfId="0" applyFont="1" applyFill="1" applyAlignment="1" applyProtection="1">
      <alignment horizontal="center" vertical="center"/>
    </xf>
    <xf numFmtId="0" fontId="69" fillId="0" borderId="0" xfId="0" applyFont="1" applyAlignment="1" applyProtection="1">
      <alignment vertical="center"/>
    </xf>
    <xf numFmtId="0" fontId="69" fillId="5" borderId="0" xfId="0" applyFont="1" applyFill="1" applyAlignment="1" applyProtection="1">
      <alignment vertical="center" wrapText="1"/>
    </xf>
    <xf numFmtId="180" fontId="69" fillId="5" borderId="36" xfId="0" applyNumberFormat="1" applyFont="1" applyFill="1" applyBorder="1" applyAlignment="1" applyProtection="1">
      <alignment vertical="center"/>
    </xf>
    <xf numFmtId="0" fontId="79" fillId="5" borderId="36" xfId="0" applyFont="1" applyFill="1" applyBorder="1" applyAlignment="1" applyProtection="1">
      <alignment vertical="center"/>
    </xf>
    <xf numFmtId="0" fontId="69" fillId="5" borderId="35" xfId="0" applyFont="1" applyFill="1" applyBorder="1" applyAlignment="1" applyProtection="1">
      <alignment horizontal="center" vertical="center"/>
    </xf>
    <xf numFmtId="0" fontId="69" fillId="5" borderId="36" xfId="0" applyFont="1" applyFill="1" applyBorder="1" applyAlignment="1" applyProtection="1">
      <alignment horizontal="center" vertical="center"/>
    </xf>
    <xf numFmtId="0" fontId="69" fillId="0" borderId="0" xfId="0" applyFont="1" applyAlignment="1" applyProtection="1">
      <alignment vertical="center" wrapText="1"/>
    </xf>
    <xf numFmtId="0" fontId="188" fillId="5" borderId="12" xfId="0" applyFont="1" applyFill="1" applyBorder="1" applyAlignment="1" applyProtection="1">
      <alignment horizontal="center" vertical="center"/>
    </xf>
    <xf numFmtId="0" fontId="83" fillId="5" borderId="0" xfId="0" applyFont="1" applyFill="1" applyAlignment="1" applyProtection="1">
      <alignment vertical="center" wrapText="1"/>
    </xf>
    <xf numFmtId="0" fontId="74" fillId="0" borderId="0" xfId="0" applyFont="1" applyFill="1" applyAlignment="1" applyProtection="1">
      <alignment vertical="center"/>
    </xf>
    <xf numFmtId="0" fontId="74" fillId="0" borderId="0" xfId="0" applyFont="1" applyAlignment="1" applyProtection="1">
      <alignment vertical="center" wrapText="1"/>
    </xf>
    <xf numFmtId="180" fontId="74" fillId="0" borderId="0" xfId="0" applyNumberFormat="1" applyFont="1" applyAlignment="1" applyProtection="1">
      <alignment vertical="center"/>
    </xf>
    <xf numFmtId="0" fontId="74" fillId="0" borderId="0" xfId="0" applyFont="1" applyAlignment="1" applyProtection="1">
      <alignment horizontal="center" vertical="center"/>
    </xf>
    <xf numFmtId="0" fontId="69" fillId="6" borderId="6" xfId="3"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0" fontId="74" fillId="0" borderId="0" xfId="0" applyFont="1" applyProtection="1">
      <alignment vertical="center"/>
    </xf>
    <xf numFmtId="0" fontId="74" fillId="5" borderId="16" xfId="0" applyFont="1" applyFill="1" applyBorder="1" applyProtection="1">
      <alignment vertical="center"/>
    </xf>
    <xf numFmtId="0" fontId="74" fillId="5" borderId="8" xfId="0" applyFont="1" applyFill="1" applyBorder="1" applyProtection="1">
      <alignment vertical="center"/>
    </xf>
    <xf numFmtId="0" fontId="74" fillId="5" borderId="5" xfId="0" applyFont="1" applyFill="1" applyBorder="1" applyProtection="1">
      <alignment vertical="center"/>
    </xf>
    <xf numFmtId="0" fontId="74" fillId="0" borderId="0" xfId="0" applyFont="1" applyFill="1" applyProtection="1">
      <alignment vertical="center"/>
    </xf>
    <xf numFmtId="0" fontId="212" fillId="5" borderId="58" xfId="0" applyFont="1" applyFill="1" applyBorder="1" applyAlignment="1" applyProtection="1">
      <alignment horizontal="left" vertical="center"/>
    </xf>
    <xf numFmtId="0" fontId="74" fillId="5" borderId="30" xfId="0" applyFont="1" applyFill="1" applyBorder="1" applyProtection="1">
      <alignment vertical="center"/>
    </xf>
    <xf numFmtId="0" fontId="74" fillId="5" borderId="56" xfId="0" applyFont="1" applyFill="1" applyBorder="1" applyProtection="1">
      <alignment vertical="center"/>
    </xf>
    <xf numFmtId="0" fontId="212" fillId="5" borderId="64" xfId="0" applyFont="1" applyFill="1" applyBorder="1" applyAlignment="1" applyProtection="1">
      <alignment horizontal="left" vertical="center"/>
    </xf>
    <xf numFmtId="0" fontId="74" fillId="5" borderId="37" xfId="0" applyFont="1" applyFill="1" applyBorder="1" applyProtection="1">
      <alignment vertical="center"/>
    </xf>
    <xf numFmtId="0" fontId="74" fillId="5" borderId="82" xfId="0" applyFont="1" applyFill="1" applyBorder="1" applyProtection="1">
      <alignment vertical="center"/>
    </xf>
    <xf numFmtId="0" fontId="212" fillId="5" borderId="53" xfId="0" applyFont="1" applyFill="1" applyBorder="1" applyAlignment="1" applyProtection="1">
      <alignment horizontal="left" vertical="center"/>
    </xf>
    <xf numFmtId="0" fontId="74" fillId="5" borderId="60" xfId="0" applyFont="1" applyFill="1" applyBorder="1" applyProtection="1">
      <alignment vertical="center"/>
    </xf>
    <xf numFmtId="0" fontId="74" fillId="5" borderId="66" xfId="0" applyFont="1" applyFill="1" applyBorder="1" applyProtection="1">
      <alignment vertical="center"/>
    </xf>
    <xf numFmtId="0" fontId="214" fillId="5" borderId="38" xfId="0" applyFont="1" applyFill="1" applyBorder="1" applyAlignment="1" applyProtection="1">
      <alignment horizontal="center" vertical="center" wrapText="1"/>
    </xf>
    <xf numFmtId="0" fontId="74" fillId="5" borderId="83" xfId="0" applyFont="1" applyFill="1" applyBorder="1" applyProtection="1">
      <alignment vertical="center"/>
    </xf>
    <xf numFmtId="0" fontId="214" fillId="5" borderId="65" xfId="0" applyFont="1" applyFill="1" applyBorder="1" applyAlignment="1" applyProtection="1">
      <alignment horizontal="center" vertical="center" wrapText="1"/>
    </xf>
    <xf numFmtId="0" fontId="188" fillId="5" borderId="66" xfId="0" applyFont="1" applyFill="1" applyBorder="1" applyAlignment="1" applyProtection="1">
      <alignment vertical="center" wrapText="1"/>
    </xf>
    <xf numFmtId="0" fontId="214" fillId="5" borderId="80" xfId="0" applyFont="1" applyFill="1" applyBorder="1" applyAlignment="1" applyProtection="1">
      <alignment horizontal="center" vertical="center" wrapText="1"/>
    </xf>
    <xf numFmtId="0" fontId="214" fillId="5" borderId="37" xfId="0" applyFont="1" applyFill="1" applyBorder="1" applyAlignment="1" applyProtection="1">
      <alignment horizontal="center" vertical="center" wrapText="1"/>
    </xf>
    <xf numFmtId="0" fontId="215" fillId="5" borderId="37" xfId="0" applyFont="1" applyFill="1" applyBorder="1" applyAlignment="1" applyProtection="1">
      <alignment horizontal="center" vertical="center" wrapText="1"/>
    </xf>
    <xf numFmtId="0" fontId="216" fillId="5" borderId="52" xfId="0" applyFont="1" applyFill="1" applyBorder="1" applyAlignment="1" applyProtection="1">
      <alignment horizontal="justify" vertical="center" wrapText="1"/>
    </xf>
    <xf numFmtId="0" fontId="216" fillId="5" borderId="27" xfId="0" applyFont="1" applyFill="1" applyBorder="1" applyAlignment="1" applyProtection="1">
      <alignment horizontal="center" vertical="center" wrapText="1"/>
    </xf>
    <xf numFmtId="0" fontId="217" fillId="5" borderId="11" xfId="0" applyFont="1" applyFill="1" applyBorder="1" applyAlignment="1" applyProtection="1">
      <alignment horizontal="center" vertical="center" wrapText="1"/>
    </xf>
    <xf numFmtId="0" fontId="217" fillId="5" borderId="2" xfId="0" applyFont="1" applyFill="1" applyBorder="1" applyAlignment="1" applyProtection="1">
      <alignment horizontal="center" vertical="center" wrapText="1"/>
    </xf>
    <xf numFmtId="180" fontId="212" fillId="5" borderId="2" xfId="0" applyNumberFormat="1" applyFont="1" applyFill="1" applyBorder="1" applyAlignment="1" applyProtection="1">
      <alignment horizontal="center" vertical="center" wrapText="1"/>
    </xf>
    <xf numFmtId="0" fontId="217" fillId="5" borderId="10" xfId="0" applyFont="1" applyFill="1" applyBorder="1" applyAlignment="1" applyProtection="1">
      <alignment horizontal="center" vertical="center" wrapText="1"/>
    </xf>
    <xf numFmtId="0" fontId="217" fillId="5" borderId="25" xfId="0" applyFont="1" applyFill="1" applyBorder="1" applyAlignment="1" applyProtection="1">
      <alignment horizontal="center" vertical="center" wrapText="1"/>
    </xf>
    <xf numFmtId="0" fontId="217" fillId="5" borderId="42" xfId="0" applyFont="1" applyFill="1" applyBorder="1" applyAlignment="1" applyProtection="1">
      <alignment horizontal="center" vertical="center" wrapText="1"/>
    </xf>
    <xf numFmtId="0" fontId="217" fillId="5" borderId="43" xfId="0" applyFont="1" applyFill="1" applyBorder="1" applyAlignment="1" applyProtection="1">
      <alignment horizontal="center" vertical="center" wrapText="1"/>
    </xf>
    <xf numFmtId="180" fontId="212" fillId="5" borderId="43" xfId="0" applyNumberFormat="1" applyFont="1" applyFill="1" applyBorder="1" applyAlignment="1" applyProtection="1">
      <alignment horizontal="center" vertical="center" wrapText="1"/>
    </xf>
    <xf numFmtId="0" fontId="74" fillId="5" borderId="54" xfId="0" applyFont="1" applyFill="1" applyBorder="1" applyProtection="1">
      <alignment vertical="center"/>
    </xf>
    <xf numFmtId="0" fontId="212" fillId="5" borderId="69" xfId="0" applyFont="1" applyFill="1" applyBorder="1" applyAlignment="1" applyProtection="1">
      <alignment horizontal="center" vertical="center" wrapText="1"/>
    </xf>
    <xf numFmtId="0" fontId="91" fillId="0" borderId="0" xfId="0" applyFont="1" applyBorder="1" applyAlignment="1" applyProtection="1">
      <alignment horizontal="left" vertical="center" wrapText="1"/>
    </xf>
    <xf numFmtId="0" fontId="189" fillId="5" borderId="0" xfId="0" applyFont="1" applyFill="1" applyBorder="1" applyAlignment="1" applyProtection="1">
      <alignment horizontal="left" vertical="center"/>
    </xf>
    <xf numFmtId="0" fontId="85" fillId="5" borderId="0" xfId="0" applyFont="1" applyFill="1" applyBorder="1" applyAlignment="1" applyProtection="1">
      <alignment horizontal="left" vertical="center"/>
    </xf>
    <xf numFmtId="0" fontId="67" fillId="5" borderId="0" xfId="0" applyFont="1" applyFill="1" applyBorder="1" applyAlignment="1" applyProtection="1">
      <alignment vertical="center"/>
    </xf>
    <xf numFmtId="0" fontId="67" fillId="5" borderId="0" xfId="0" applyFont="1" applyFill="1" applyBorder="1" applyAlignment="1" applyProtection="1">
      <alignment horizontal="center" vertical="center"/>
    </xf>
    <xf numFmtId="9" fontId="74" fillId="5" borderId="0" xfId="0" applyNumberFormat="1" applyFont="1" applyFill="1" applyAlignment="1" applyProtection="1">
      <alignment horizontal="center" vertical="center"/>
    </xf>
    <xf numFmtId="0" fontId="196" fillId="5" borderId="5" xfId="0" applyFont="1" applyFill="1" applyBorder="1" applyAlignment="1" applyProtection="1">
      <alignment horizontal="center" vertical="center" wrapText="1"/>
    </xf>
    <xf numFmtId="0" fontId="196" fillId="5" borderId="8" xfId="0" applyFont="1" applyFill="1" applyBorder="1" applyAlignment="1" applyProtection="1">
      <alignment horizontal="center" vertical="center" wrapText="1"/>
    </xf>
    <xf numFmtId="0" fontId="191" fillId="5" borderId="21" xfId="0" applyFont="1" applyFill="1" applyBorder="1" applyAlignment="1" applyProtection="1">
      <alignment horizontal="center" vertical="center" wrapText="1"/>
    </xf>
    <xf numFmtId="10" fontId="74" fillId="5" borderId="0" xfId="0" applyNumberFormat="1" applyFont="1" applyFill="1" applyAlignment="1" applyProtection="1">
      <alignment horizontal="center" vertical="center"/>
    </xf>
    <xf numFmtId="0" fontId="218" fillId="5" borderId="2" xfId="0" applyFont="1" applyFill="1" applyBorder="1" applyAlignment="1" applyProtection="1">
      <alignment horizontal="center" vertical="center" wrapText="1"/>
    </xf>
    <xf numFmtId="0" fontId="191" fillId="5" borderId="10" xfId="0" applyFont="1" applyFill="1" applyBorder="1" applyAlignment="1" applyProtection="1">
      <alignment horizontal="center" vertical="center" wrapText="1"/>
    </xf>
    <xf numFmtId="0" fontId="218" fillId="5" borderId="10" xfId="0" applyFont="1" applyFill="1" applyBorder="1" applyAlignment="1" applyProtection="1">
      <alignment horizontal="center" vertical="center" wrapText="1"/>
    </xf>
    <xf numFmtId="0" fontId="219" fillId="5" borderId="2" xfId="0" applyFont="1" applyFill="1" applyBorder="1" applyAlignment="1" applyProtection="1">
      <alignment horizontal="center" vertical="center" wrapText="1"/>
    </xf>
    <xf numFmtId="10" fontId="219" fillId="5" borderId="2" xfId="0" applyNumberFormat="1" applyFont="1" applyFill="1" applyBorder="1" applyAlignment="1" applyProtection="1">
      <alignment horizontal="center" vertical="center"/>
    </xf>
    <xf numFmtId="0" fontId="77" fillId="5" borderId="0" xfId="0" applyFont="1" applyFill="1" applyProtection="1">
      <alignment vertical="center"/>
    </xf>
    <xf numFmtId="9" fontId="219" fillId="5" borderId="2" xfId="0" applyNumberFormat="1" applyFont="1" applyFill="1" applyBorder="1" applyAlignment="1" applyProtection="1">
      <alignment horizontal="center" vertical="center"/>
    </xf>
    <xf numFmtId="0" fontId="219" fillId="5" borderId="10" xfId="0" applyFont="1" applyFill="1" applyBorder="1" applyAlignment="1" applyProtection="1">
      <alignment horizontal="center" vertical="center" wrapText="1"/>
    </xf>
    <xf numFmtId="9" fontId="219" fillId="5" borderId="10" xfId="0" applyNumberFormat="1" applyFont="1" applyFill="1" applyBorder="1" applyAlignment="1" applyProtection="1">
      <alignment horizontal="center" vertical="center"/>
    </xf>
    <xf numFmtId="0" fontId="219" fillId="5" borderId="5" xfId="0" applyFont="1" applyFill="1" applyBorder="1" applyAlignment="1" applyProtection="1">
      <alignment vertical="center" wrapText="1"/>
    </xf>
    <xf numFmtId="0" fontId="219" fillId="5" borderId="8" xfId="0" applyFont="1" applyFill="1" applyBorder="1" applyAlignment="1" applyProtection="1">
      <alignment horizontal="center" vertical="center" wrapText="1"/>
    </xf>
    <xf numFmtId="0" fontId="219" fillId="5" borderId="9" xfId="0" applyFont="1" applyFill="1" applyBorder="1" applyAlignment="1" applyProtection="1">
      <alignment vertical="center" wrapText="1"/>
    </xf>
    <xf numFmtId="0" fontId="74" fillId="5" borderId="0" xfId="0" applyFont="1" applyFill="1" applyBorder="1" applyAlignment="1" applyProtection="1">
      <alignment horizontal="left" vertical="center" wrapText="1"/>
    </xf>
    <xf numFmtId="0" fontId="219" fillId="5" borderId="84" xfId="0" applyFont="1" applyFill="1" applyBorder="1" applyAlignment="1" applyProtection="1">
      <alignment vertical="center" wrapText="1"/>
    </xf>
    <xf numFmtId="0" fontId="219" fillId="5" borderId="85" xfId="0" applyFont="1" applyFill="1" applyBorder="1" applyAlignment="1" applyProtection="1">
      <alignment horizontal="center" vertical="center" wrapText="1"/>
    </xf>
    <xf numFmtId="0" fontId="219" fillId="5" borderId="86" xfId="0" applyFont="1" applyFill="1" applyBorder="1" applyAlignment="1" applyProtection="1">
      <alignment vertical="center" wrapText="1"/>
    </xf>
    <xf numFmtId="49" fontId="83" fillId="5" borderId="31" xfId="0" applyNumberFormat="1" applyFont="1" applyFill="1" applyBorder="1" applyAlignment="1" applyProtection="1">
      <alignment horizontal="left" vertical="center" wrapText="1"/>
    </xf>
    <xf numFmtId="0" fontId="93" fillId="5" borderId="0" xfId="0" applyFont="1" applyFill="1" applyBorder="1" applyAlignment="1" applyProtection="1">
      <alignment horizontal="left" vertical="center" wrapText="1"/>
    </xf>
    <xf numFmtId="178" fontId="93" fillId="5" borderId="0" xfId="0" applyNumberFormat="1" applyFont="1" applyFill="1" applyBorder="1" applyAlignment="1" applyProtection="1">
      <alignment horizontal="center" vertical="center" wrapText="1"/>
    </xf>
    <xf numFmtId="10" fontId="84" fillId="5" borderId="0" xfId="0" applyNumberFormat="1" applyFont="1" applyFill="1" applyBorder="1" applyAlignment="1" applyProtection="1">
      <alignment horizontal="center" vertical="center" wrapText="1"/>
    </xf>
    <xf numFmtId="0" fontId="74" fillId="5" borderId="0" xfId="0" applyFont="1" applyFill="1" applyBorder="1" applyAlignment="1" applyProtection="1">
      <alignment horizontal="left" vertical="center"/>
    </xf>
    <xf numFmtId="0" fontId="188" fillId="0" borderId="0" xfId="0" applyFont="1" applyFill="1" applyProtection="1">
      <alignment vertical="center"/>
    </xf>
    <xf numFmtId="0" fontId="74" fillId="5" borderId="0" xfId="6" applyFont="1" applyFill="1" applyBorder="1" applyAlignment="1" applyProtection="1">
      <alignment horizontal="left" vertical="center" wrapText="1"/>
    </xf>
    <xf numFmtId="0" fontId="188" fillId="5" borderId="0" xfId="6" applyFont="1" applyFill="1" applyAlignment="1" applyProtection="1">
      <alignment vertical="center" wrapText="1"/>
    </xf>
    <xf numFmtId="0" fontId="188" fillId="5" borderId="0" xfId="6" applyFont="1" applyFill="1" applyProtection="1"/>
    <xf numFmtId="0" fontId="188" fillId="5" borderId="0" xfId="0" applyFont="1" applyFill="1" applyAlignment="1" applyProtection="1">
      <alignment vertical="center"/>
    </xf>
    <xf numFmtId="0" fontId="188" fillId="5" borderId="0" xfId="0" applyFont="1" applyFill="1" applyAlignment="1" applyProtection="1">
      <alignment horizontal="left" vertical="center"/>
    </xf>
    <xf numFmtId="0" fontId="188" fillId="5" borderId="0" xfId="6" applyFont="1" applyFill="1" applyAlignment="1" applyProtection="1">
      <alignment horizontal="left"/>
    </xf>
    <xf numFmtId="0" fontId="69" fillId="6" borderId="2" xfId="0" applyFont="1" applyFill="1" applyBorder="1" applyProtection="1">
      <alignment vertical="center"/>
      <protection locked="0"/>
    </xf>
    <xf numFmtId="0" fontId="196" fillId="5" borderId="14" xfId="0" applyFont="1" applyFill="1" applyBorder="1" applyAlignment="1" applyProtection="1">
      <alignment horizontal="left" vertical="center" wrapText="1"/>
    </xf>
    <xf numFmtId="0" fontId="196" fillId="5" borderId="14" xfId="0" applyFont="1" applyFill="1" applyBorder="1" applyAlignment="1" applyProtection="1">
      <alignment horizontal="center" vertical="center" wrapText="1"/>
    </xf>
    <xf numFmtId="0" fontId="196" fillId="5" borderId="32" xfId="0" applyFont="1" applyFill="1" applyBorder="1" applyAlignment="1" applyProtection="1">
      <alignment horizontal="center" vertical="center" wrapText="1"/>
    </xf>
    <xf numFmtId="191" fontId="218" fillId="5" borderId="21" xfId="0" applyNumberFormat="1" applyFont="1" applyFill="1" applyBorder="1" applyAlignment="1" applyProtection="1">
      <alignment horizontal="center" vertical="center" wrapText="1"/>
    </xf>
    <xf numFmtId="0" fontId="84" fillId="5" borderId="2" xfId="3" applyFont="1" applyFill="1" applyBorder="1" applyAlignment="1" applyProtection="1">
      <alignment horizontal="left"/>
    </xf>
    <xf numFmtId="0" fontId="93" fillId="5" borderId="2" xfId="3" applyFont="1" applyFill="1" applyBorder="1" applyAlignment="1" applyProtection="1">
      <alignment horizontal="left"/>
    </xf>
    <xf numFmtId="0" fontId="84" fillId="5" borderId="2" xfId="3" applyFont="1" applyFill="1" applyBorder="1" applyAlignment="1" applyProtection="1"/>
    <xf numFmtId="0" fontId="195" fillId="5" borderId="9" xfId="3" applyFont="1" applyFill="1" applyBorder="1" applyAlignment="1" applyProtection="1">
      <alignment horizontal="left"/>
    </xf>
    <xf numFmtId="0" fontId="98" fillId="5" borderId="9" xfId="0" applyFont="1" applyFill="1" applyBorder="1" applyAlignment="1" applyProtection="1">
      <alignment vertical="center" wrapText="1"/>
    </xf>
    <xf numFmtId="0" fontId="195" fillId="5" borderId="2" xfId="0" applyFont="1" applyFill="1" applyBorder="1" applyAlignment="1" applyProtection="1">
      <alignment vertical="center" wrapText="1"/>
    </xf>
    <xf numFmtId="0" fontId="195" fillId="5" borderId="0" xfId="0" applyFont="1" applyFill="1" applyBorder="1" applyAlignment="1" applyProtection="1">
      <alignment vertical="center" wrapText="1"/>
    </xf>
    <xf numFmtId="0" fontId="98" fillId="5" borderId="0" xfId="0" applyFont="1" applyFill="1" applyBorder="1" applyAlignment="1" applyProtection="1">
      <alignment vertical="center" wrapText="1"/>
    </xf>
    <xf numFmtId="0" fontId="98" fillId="5" borderId="65"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96" fillId="0" borderId="0" xfId="0" applyFont="1" applyFill="1" applyAlignment="1" applyProtection="1">
      <alignment horizontal="center" vertical="center"/>
    </xf>
    <xf numFmtId="0" fontId="82" fillId="0" borderId="0" xfId="0" applyFont="1" applyFill="1" applyAlignment="1" applyProtection="1">
      <alignment horizontal="center" vertical="center"/>
    </xf>
    <xf numFmtId="0" fontId="102" fillId="0" borderId="0" xfId="0" applyFont="1" applyFill="1" applyAlignment="1" applyProtection="1">
      <alignment horizontal="center" vertical="center"/>
    </xf>
    <xf numFmtId="0" fontId="78" fillId="0" borderId="0" xfId="0" applyFont="1" applyFill="1" applyAlignment="1" applyProtection="1">
      <alignment horizontal="center" vertical="center"/>
    </xf>
    <xf numFmtId="188" fontId="82" fillId="3" borderId="9" xfId="0" applyNumberFormat="1" applyFont="1" applyFill="1" applyBorder="1" applyAlignment="1" applyProtection="1">
      <alignment horizontal="center" vertical="center"/>
    </xf>
    <xf numFmtId="188" fontId="82" fillId="3" borderId="2" xfId="0" applyNumberFormat="1" applyFont="1" applyFill="1" applyBorder="1" applyAlignment="1" applyProtection="1">
      <alignment horizontal="center" vertical="center" wrapText="1"/>
    </xf>
    <xf numFmtId="188" fontId="82" fillId="0" borderId="0" xfId="0" applyNumberFormat="1" applyFont="1" applyFill="1" applyAlignment="1" applyProtection="1">
      <alignment horizontal="center" vertical="center"/>
    </xf>
    <xf numFmtId="182" fontId="82" fillId="0" borderId="0" xfId="0" applyNumberFormat="1" applyFont="1" applyFill="1" applyAlignment="1" applyProtection="1">
      <alignment horizontal="center" vertical="center"/>
    </xf>
    <xf numFmtId="0" fontId="103" fillId="0" borderId="0" xfId="0" applyFont="1" applyFill="1" applyAlignment="1" applyProtection="1">
      <alignment horizontal="center" vertical="center"/>
    </xf>
    <xf numFmtId="0" fontId="107" fillId="0" borderId="0" xfId="0" applyFont="1" applyFill="1" applyAlignment="1" applyProtection="1">
      <alignment horizontal="center" vertical="center"/>
    </xf>
    <xf numFmtId="49" fontId="69" fillId="0" borderId="0" xfId="0" applyNumberFormat="1" applyFont="1" applyFill="1" applyAlignment="1" applyProtection="1">
      <alignment horizontal="center" vertical="center"/>
    </xf>
    <xf numFmtId="0" fontId="97" fillId="5" borderId="11" xfId="0" applyNumberFormat="1" applyFont="1" applyFill="1" applyBorder="1" applyAlignment="1" applyProtection="1">
      <alignment horizontal="center" vertical="center" wrapText="1"/>
    </xf>
    <xf numFmtId="9" fontId="93" fillId="0" borderId="5" xfId="3" applyNumberFormat="1" applyFont="1" applyFill="1" applyBorder="1" applyAlignment="1" applyProtection="1">
      <alignment horizontal="center" vertical="center"/>
      <protection locked="0"/>
    </xf>
    <xf numFmtId="0" fontId="96" fillId="5" borderId="0" xfId="0" applyFont="1" applyFill="1" applyAlignment="1" applyProtection="1">
      <alignment vertical="center"/>
    </xf>
    <xf numFmtId="0" fontId="104" fillId="5" borderId="0" xfId="0" applyFont="1" applyFill="1" applyBorder="1" applyAlignment="1" applyProtection="1">
      <alignment vertical="center"/>
    </xf>
    <xf numFmtId="0" fontId="95" fillId="5" borderId="21" xfId="0" applyFont="1" applyFill="1" applyBorder="1" applyAlignment="1" applyProtection="1">
      <alignment vertical="center"/>
    </xf>
    <xf numFmtId="0" fontId="69" fillId="5" borderId="0" xfId="0" applyFont="1" applyFill="1" applyBorder="1" applyAlignment="1" applyProtection="1">
      <alignment horizontal="center"/>
    </xf>
    <xf numFmtId="0" fontId="69" fillId="5" borderId="0" xfId="0" applyFont="1" applyFill="1" applyBorder="1" applyAlignment="1" applyProtection="1"/>
    <xf numFmtId="0" fontId="69" fillId="5" borderId="65" xfId="0" applyFont="1" applyFill="1" applyBorder="1" applyAlignment="1" applyProtection="1"/>
    <xf numFmtId="0" fontId="69" fillId="5" borderId="10" xfId="0" applyFont="1" applyFill="1" applyBorder="1" applyAlignment="1" applyProtection="1"/>
    <xf numFmtId="0" fontId="69" fillId="5" borderId="5" xfId="0" applyFont="1" applyFill="1" applyBorder="1" applyAlignment="1" applyProtection="1">
      <alignment horizontal="center"/>
    </xf>
    <xf numFmtId="0" fontId="69" fillId="5" borderId="3" xfId="0" applyFont="1" applyFill="1" applyBorder="1" applyAlignment="1" applyProtection="1"/>
    <xf numFmtId="0" fontId="104" fillId="5" borderId="54" xfId="0" applyFont="1" applyFill="1" applyBorder="1" applyAlignment="1" applyProtection="1">
      <alignment vertical="center"/>
    </xf>
    <xf numFmtId="0" fontId="69" fillId="5" borderId="54" xfId="0" applyFont="1" applyFill="1" applyBorder="1" applyAlignment="1" applyProtection="1">
      <alignment horizontal="center"/>
    </xf>
    <xf numFmtId="0" fontId="69" fillId="5" borderId="54" xfId="0" applyFont="1" applyFill="1" applyBorder="1" applyAlignment="1" applyProtection="1"/>
    <xf numFmtId="0" fontId="104" fillId="0" borderId="0" xfId="0" applyFont="1" applyFill="1" applyAlignment="1" applyProtection="1">
      <alignment horizontal="center" vertical="center"/>
    </xf>
    <xf numFmtId="49" fontId="95" fillId="5" borderId="0" xfId="0" applyNumberFormat="1" applyFont="1" applyFill="1" applyBorder="1" applyAlignment="1" applyProtection="1">
      <alignment horizontal="center"/>
    </xf>
    <xf numFmtId="0" fontId="220" fillId="0" borderId="2" xfId="0" applyFont="1" applyBorder="1" applyAlignment="1" applyProtection="1">
      <alignment horizontal="center" vertical="center"/>
      <protection locked="0"/>
    </xf>
    <xf numFmtId="178" fontId="128" fillId="0" borderId="2" xfId="3" applyNumberFormat="1" applyFont="1" applyFill="1" applyBorder="1" applyAlignment="1" applyProtection="1">
      <alignment vertical="center"/>
      <protection locked="0"/>
    </xf>
    <xf numFmtId="177" fontId="81" fillId="5" borderId="56" xfId="3" applyNumberFormat="1" applyFont="1" applyFill="1" applyBorder="1" applyAlignment="1" applyProtection="1">
      <alignment horizontal="center" vertical="center"/>
    </xf>
    <xf numFmtId="0" fontId="69" fillId="5" borderId="50" xfId="0" applyFont="1" applyFill="1" applyBorder="1" applyAlignment="1" applyProtection="1">
      <alignment horizontal="center" vertical="center"/>
    </xf>
    <xf numFmtId="0" fontId="69" fillId="5" borderId="53" xfId="0" applyFont="1" applyFill="1" applyBorder="1" applyAlignment="1" applyProtection="1">
      <alignment vertical="center"/>
    </xf>
    <xf numFmtId="0" fontId="73" fillId="5" borderId="44" xfId="0" applyFont="1" applyFill="1" applyBorder="1" applyAlignment="1" applyProtection="1">
      <alignment vertical="center"/>
    </xf>
    <xf numFmtId="180" fontId="73" fillId="5" borderId="46" xfId="0" applyNumberFormat="1" applyFont="1" applyFill="1" applyBorder="1" applyAlignment="1" applyProtection="1">
      <alignment vertical="center"/>
    </xf>
    <xf numFmtId="180" fontId="73" fillId="5" borderId="43" xfId="0" applyNumberFormat="1" applyFont="1" applyFill="1" applyBorder="1" applyAlignment="1" applyProtection="1">
      <alignment vertical="center"/>
    </xf>
    <xf numFmtId="180" fontId="73" fillId="5" borderId="45" xfId="0" applyNumberFormat="1" applyFont="1" applyFill="1" applyBorder="1" applyAlignment="1" applyProtection="1">
      <alignment vertical="center"/>
    </xf>
    <xf numFmtId="49" fontId="50" fillId="0" borderId="49" xfId="0" applyNumberFormat="1" applyFont="1" applyFill="1" applyBorder="1" applyAlignment="1" applyProtection="1">
      <alignment horizontal="center" vertical="center" wrapText="1"/>
      <protection locked="0"/>
    </xf>
    <xf numFmtId="0" fontId="50" fillId="0" borderId="74" xfId="0" applyNumberFormat="1" applyFont="1" applyFill="1" applyBorder="1" applyAlignment="1" applyProtection="1">
      <alignment horizontal="center" vertical="center" wrapText="1"/>
      <protection locked="0"/>
    </xf>
    <xf numFmtId="0" fontId="128" fillId="0" borderId="74" xfId="0" applyNumberFormat="1" applyFont="1" applyFill="1" applyBorder="1" applyAlignment="1" applyProtection="1">
      <alignment horizontal="center" vertical="center" wrapText="1"/>
      <protection locked="0"/>
    </xf>
    <xf numFmtId="0" fontId="84" fillId="0" borderId="25" xfId="3" applyNumberFormat="1" applyFont="1" applyFill="1" applyBorder="1" applyAlignment="1" applyProtection="1">
      <alignment horizontal="center" vertical="center"/>
      <protection locked="0"/>
    </xf>
    <xf numFmtId="182" fontId="74" fillId="0" borderId="7" xfId="0" applyNumberFormat="1" applyFont="1" applyFill="1" applyBorder="1" applyAlignment="1" applyProtection="1">
      <alignment horizontal="center" vertical="center"/>
      <protection locked="0"/>
    </xf>
    <xf numFmtId="0" fontId="55" fillId="5" borderId="10" xfId="3" applyFont="1" applyFill="1" applyBorder="1" applyAlignment="1" applyProtection="1">
      <alignment vertical="center"/>
    </xf>
    <xf numFmtId="0" fontId="45" fillId="5" borderId="10" xfId="3" applyFont="1" applyFill="1" applyBorder="1" applyAlignment="1" applyProtection="1">
      <alignment vertical="center"/>
    </xf>
    <xf numFmtId="0" fontId="73" fillId="5" borderId="2" xfId="0" applyFont="1" applyFill="1" applyBorder="1" applyProtection="1">
      <alignment vertical="center"/>
    </xf>
    <xf numFmtId="0" fontId="83" fillId="5" borderId="16" xfId="0" applyFont="1" applyFill="1" applyBorder="1" applyAlignment="1" applyProtection="1">
      <alignment vertical="center"/>
    </xf>
    <xf numFmtId="0" fontId="73" fillId="5" borderId="10" xfId="0" applyFont="1" applyFill="1" applyBorder="1" applyProtection="1">
      <alignment vertical="center"/>
    </xf>
    <xf numFmtId="0" fontId="83" fillId="5" borderId="16" xfId="0" applyFont="1" applyFill="1" applyBorder="1" applyProtection="1">
      <alignment vertical="center"/>
    </xf>
    <xf numFmtId="0" fontId="73" fillId="5" borderId="3" xfId="0" applyFont="1" applyFill="1" applyBorder="1" applyProtection="1">
      <alignment vertical="center"/>
    </xf>
    <xf numFmtId="0" fontId="83" fillId="5" borderId="14" xfId="0" applyFont="1" applyFill="1" applyBorder="1" applyAlignment="1" applyProtection="1">
      <alignment horizontal="right" vertical="center"/>
    </xf>
    <xf numFmtId="0" fontId="83" fillId="5" borderId="15" xfId="0" applyFont="1" applyFill="1" applyBorder="1" applyAlignment="1" applyProtection="1">
      <alignment horizontal="left" vertical="center"/>
    </xf>
    <xf numFmtId="0" fontId="68" fillId="5" borderId="2" xfId="0" applyFont="1" applyFill="1" applyBorder="1" applyAlignment="1" applyProtection="1">
      <alignment horizontal="right" vertical="center"/>
    </xf>
    <xf numFmtId="0" fontId="221" fillId="5" borderId="66" xfId="0" applyFont="1" applyFill="1" applyBorder="1" applyAlignment="1" applyProtection="1">
      <alignment horizontal="center" vertical="center" wrapText="1"/>
    </xf>
    <xf numFmtId="0" fontId="198" fillId="0" borderId="2" xfId="2" applyFont="1" applyBorder="1" applyAlignment="1" applyProtection="1">
      <alignment horizontal="center" vertical="center" wrapText="1"/>
      <protection locked="0"/>
    </xf>
    <xf numFmtId="0" fontId="187" fillId="0" borderId="2" xfId="2" applyFont="1" applyBorder="1" applyAlignment="1" applyProtection="1">
      <alignment horizontal="center" vertical="center" wrapText="1"/>
      <protection locked="0"/>
    </xf>
    <xf numFmtId="0" fontId="198" fillId="0" borderId="2" xfId="2" applyFont="1" applyFill="1" applyBorder="1" applyAlignment="1" applyProtection="1">
      <alignment horizontal="center" vertical="center" wrapText="1"/>
      <protection locked="0"/>
    </xf>
    <xf numFmtId="0" fontId="187" fillId="0" borderId="2" xfId="2" applyFont="1" applyFill="1" applyBorder="1" applyAlignment="1" applyProtection="1">
      <alignment horizontal="center" vertical="center" wrapText="1"/>
      <protection locked="0"/>
    </xf>
    <xf numFmtId="0" fontId="130" fillId="0" borderId="2" xfId="2" applyFont="1" applyFill="1" applyBorder="1" applyAlignment="1" applyProtection="1">
      <alignment horizontal="center" vertical="center" wrapText="1"/>
      <protection locked="0"/>
    </xf>
    <xf numFmtId="0" fontId="202" fillId="0" borderId="2" xfId="2" applyFont="1" applyFill="1" applyBorder="1" applyAlignment="1" applyProtection="1">
      <alignment horizontal="center" vertical="center" wrapText="1"/>
      <protection locked="0"/>
    </xf>
    <xf numFmtId="0" fontId="222" fillId="5" borderId="58" xfId="4" applyFont="1" applyFill="1" applyBorder="1" applyAlignment="1" applyProtection="1">
      <alignment vertical="center"/>
    </xf>
    <xf numFmtId="0" fontId="45" fillId="5" borderId="30" xfId="4" applyFont="1" applyFill="1" applyBorder="1" applyAlignment="1" applyProtection="1">
      <alignment vertical="center"/>
    </xf>
    <xf numFmtId="0" fontId="38" fillId="5" borderId="0" xfId="4" applyFont="1" applyFill="1" applyAlignment="1" applyProtection="1">
      <alignment vertical="center" wrapText="1"/>
    </xf>
    <xf numFmtId="0" fontId="38" fillId="8" borderId="0" xfId="4" applyFont="1" applyFill="1" applyAlignment="1" applyProtection="1">
      <alignment vertical="center" wrapText="1"/>
    </xf>
    <xf numFmtId="0" fontId="38" fillId="8" borderId="0" xfId="4" applyFont="1" applyFill="1" applyAlignment="1" applyProtection="1">
      <alignment horizontal="center" vertical="center" wrapText="1"/>
    </xf>
    <xf numFmtId="0" fontId="38" fillId="0" borderId="0" xfId="4" applyFont="1" applyAlignment="1" applyProtection="1">
      <alignment horizontal="center" vertical="center" wrapText="1"/>
    </xf>
    <xf numFmtId="0" fontId="38" fillId="0" borderId="0" xfId="4" applyFont="1" applyAlignment="1" applyProtection="1">
      <alignment vertical="center" wrapText="1"/>
    </xf>
    <xf numFmtId="0" fontId="45" fillId="5" borderId="2" xfId="4" applyFont="1" applyFill="1" applyBorder="1" applyAlignment="1" applyProtection="1">
      <alignment vertical="center"/>
    </xf>
    <xf numFmtId="0" fontId="45" fillId="5" borderId="5" xfId="4" applyFont="1" applyFill="1" applyBorder="1" applyAlignment="1" applyProtection="1">
      <alignment vertical="center"/>
    </xf>
    <xf numFmtId="0" fontId="38" fillId="5" borderId="2" xfId="4" applyNumberFormat="1" applyFont="1" applyFill="1" applyBorder="1" applyAlignment="1" applyProtection="1">
      <alignment horizontal="left" vertical="center" wrapText="1"/>
    </xf>
    <xf numFmtId="0" fontId="38" fillId="6" borderId="2" xfId="4" applyNumberFormat="1" applyFont="1" applyFill="1" applyBorder="1" applyAlignment="1" applyProtection="1">
      <alignment horizontal="center" vertical="center" wrapText="1"/>
      <protection locked="0"/>
    </xf>
    <xf numFmtId="0" fontId="38" fillId="5" borderId="0" xfId="4" applyNumberFormat="1" applyFont="1" applyFill="1" applyAlignment="1" applyProtection="1">
      <alignment vertical="center" wrapText="1"/>
    </xf>
    <xf numFmtId="0" fontId="45" fillId="5" borderId="10" xfId="4" applyFont="1" applyFill="1" applyBorder="1" applyAlignment="1" applyProtection="1">
      <alignment vertical="center"/>
    </xf>
    <xf numFmtId="0" fontId="38" fillId="6" borderId="2" xfId="4" applyNumberFormat="1" applyFont="1" applyFill="1" applyBorder="1" applyAlignment="1" applyProtection="1">
      <alignment vertical="center" wrapText="1"/>
      <protection locked="0"/>
    </xf>
    <xf numFmtId="0" fontId="38" fillId="6" borderId="2" xfId="0" applyFont="1" applyFill="1" applyBorder="1" applyAlignment="1" applyProtection="1">
      <alignment horizontal="left" vertical="center"/>
      <protection locked="0"/>
    </xf>
    <xf numFmtId="0" fontId="38" fillId="5" borderId="2" xfId="4" applyFont="1" applyFill="1" applyBorder="1" applyAlignment="1" applyProtection="1">
      <alignment horizontal="left" vertical="center" wrapText="1"/>
    </xf>
    <xf numFmtId="0" fontId="55" fillId="5" borderId="10" xfId="4" applyFont="1" applyFill="1" applyBorder="1" applyAlignment="1" applyProtection="1">
      <alignment horizontal="left" vertical="center" wrapText="1"/>
    </xf>
    <xf numFmtId="0" fontId="55" fillId="5" borderId="14" xfId="4" applyFont="1" applyFill="1" applyBorder="1" applyAlignment="1" applyProtection="1">
      <alignment vertical="center" wrapText="1"/>
    </xf>
    <xf numFmtId="0" fontId="56" fillId="5" borderId="14" xfId="4" applyFont="1" applyFill="1" applyBorder="1" applyAlignment="1" applyProtection="1">
      <alignment vertical="center" wrapText="1"/>
    </xf>
    <xf numFmtId="0" fontId="56" fillId="5" borderId="32" xfId="4" applyFont="1" applyFill="1" applyBorder="1" applyAlignment="1" applyProtection="1">
      <alignment vertical="center" wrapText="1"/>
    </xf>
    <xf numFmtId="0" fontId="56" fillId="8" borderId="0" xfId="4" applyFont="1" applyFill="1" applyAlignment="1" applyProtection="1">
      <alignment horizontal="center" vertical="center" wrapText="1"/>
    </xf>
    <xf numFmtId="0" fontId="56" fillId="0" borderId="0" xfId="4" applyFont="1" applyAlignment="1" applyProtection="1">
      <alignment horizontal="center" vertical="center" wrapText="1"/>
    </xf>
    <xf numFmtId="0" fontId="56" fillId="0" borderId="0" xfId="4" applyFont="1" applyAlignment="1" applyProtection="1">
      <alignment vertical="center" wrapText="1"/>
    </xf>
    <xf numFmtId="0" fontId="40" fillId="5" borderId="36" xfId="4" applyFont="1" applyFill="1" applyBorder="1" applyAlignment="1" applyProtection="1">
      <alignment horizontal="left" vertical="center" wrapText="1"/>
    </xf>
    <xf numFmtId="0" fontId="223" fillId="5" borderId="48" xfId="4" applyFont="1" applyFill="1" applyBorder="1" applyAlignment="1" applyProtection="1">
      <alignment vertical="center"/>
    </xf>
    <xf numFmtId="0" fontId="40" fillId="5" borderId="36" xfId="4" applyFont="1" applyFill="1" applyBorder="1" applyAlignment="1" applyProtection="1">
      <alignment horizontal="center" vertical="center" wrapText="1"/>
    </xf>
    <xf numFmtId="0" fontId="38" fillId="5" borderId="36" xfId="4" applyFont="1" applyFill="1" applyBorder="1" applyAlignment="1" applyProtection="1">
      <alignment vertical="center" wrapText="1"/>
    </xf>
    <xf numFmtId="0" fontId="38" fillId="5" borderId="37" xfId="4" applyFont="1" applyFill="1" applyBorder="1" applyAlignment="1" applyProtection="1">
      <alignment vertical="center" wrapText="1"/>
    </xf>
    <xf numFmtId="0" fontId="40" fillId="5" borderId="6" xfId="4" applyFont="1" applyFill="1" applyBorder="1" applyAlignment="1" applyProtection="1">
      <alignment horizontal="left" vertical="center" wrapText="1"/>
    </xf>
    <xf numFmtId="0" fontId="38" fillId="5" borderId="6" xfId="4" applyFont="1" applyFill="1" applyBorder="1" applyAlignment="1" applyProtection="1">
      <alignment horizontal="center" vertical="center" wrapText="1"/>
    </xf>
    <xf numFmtId="0" fontId="38" fillId="5" borderId="28" xfId="4" applyFont="1" applyFill="1" applyBorder="1" applyAlignment="1" applyProtection="1">
      <alignment horizontal="center" vertical="center" wrapText="1"/>
    </xf>
    <xf numFmtId="0" fontId="38" fillId="5" borderId="28" xfId="4" applyFont="1" applyFill="1" applyBorder="1" applyAlignment="1" applyProtection="1">
      <alignment vertical="center" wrapText="1"/>
    </xf>
    <xf numFmtId="0" fontId="38" fillId="5" borderId="38" xfId="4" applyFont="1" applyFill="1" applyBorder="1" applyAlignment="1" applyProtection="1">
      <alignment vertical="center" wrapText="1"/>
    </xf>
    <xf numFmtId="0" fontId="38" fillId="5" borderId="5" xfId="4" applyFont="1" applyFill="1" applyBorder="1" applyAlignment="1" applyProtection="1">
      <alignment vertical="center"/>
    </xf>
    <xf numFmtId="0" fontId="38" fillId="5" borderId="8" xfId="4" applyFont="1" applyFill="1" applyBorder="1" applyAlignment="1" applyProtection="1">
      <alignment vertical="center" wrapText="1"/>
    </xf>
    <xf numFmtId="0" fontId="38" fillId="5" borderId="16" xfId="4" applyFont="1" applyFill="1" applyBorder="1" applyAlignment="1" applyProtection="1">
      <alignment vertical="center" wrapText="1"/>
    </xf>
    <xf numFmtId="0" fontId="38" fillId="5" borderId="10" xfId="4" applyFont="1" applyFill="1" applyBorder="1" applyAlignment="1" applyProtection="1">
      <alignment horizontal="left" vertical="center" wrapText="1"/>
    </xf>
    <xf numFmtId="0" fontId="38" fillId="5" borderId="4" xfId="4" applyFont="1" applyFill="1" applyBorder="1" applyAlignment="1" applyProtection="1">
      <alignment vertical="center"/>
    </xf>
    <xf numFmtId="0" fontId="38" fillId="5" borderId="14" xfId="4" applyFont="1" applyFill="1" applyBorder="1" applyAlignment="1" applyProtection="1">
      <alignment vertical="center" wrapText="1"/>
    </xf>
    <xf numFmtId="0" fontId="38" fillId="5" borderId="15" xfId="4" applyFont="1" applyFill="1" applyBorder="1" applyAlignment="1" applyProtection="1">
      <alignment vertical="center" wrapText="1"/>
    </xf>
    <xf numFmtId="0" fontId="40" fillId="5" borderId="27" xfId="4" applyFont="1" applyFill="1" applyBorder="1" applyAlignment="1" applyProtection="1">
      <alignment horizontal="left" vertical="center" wrapText="1"/>
    </xf>
    <xf numFmtId="0" fontId="38" fillId="5" borderId="29" xfId="4" applyFont="1" applyFill="1" applyBorder="1" applyAlignment="1" applyProtection="1">
      <alignment vertical="center"/>
    </xf>
    <xf numFmtId="0" fontId="38" fillId="5" borderId="30" xfId="4" applyFont="1" applyFill="1" applyBorder="1" applyAlignment="1" applyProtection="1">
      <alignment horizontal="center" vertical="center" wrapText="1"/>
    </xf>
    <xf numFmtId="0" fontId="38" fillId="5" borderId="30" xfId="4" applyFont="1" applyFill="1" applyBorder="1" applyAlignment="1" applyProtection="1">
      <alignment vertical="center" wrapText="1"/>
    </xf>
    <xf numFmtId="0" fontId="38" fillId="5" borderId="56" xfId="4" applyFont="1" applyFill="1" applyBorder="1" applyAlignment="1" applyProtection="1">
      <alignment vertical="center" wrapText="1"/>
    </xf>
    <xf numFmtId="0" fontId="205" fillId="5" borderId="10" xfId="4" applyFont="1" applyFill="1" applyBorder="1" applyAlignment="1" applyProtection="1">
      <alignment horizontal="left" vertical="center" wrapText="1"/>
    </xf>
    <xf numFmtId="0" fontId="205" fillId="5" borderId="9" xfId="4" applyFont="1" applyFill="1" applyBorder="1" applyAlignment="1" applyProtection="1">
      <alignment horizontal="center" vertical="center" wrapText="1"/>
    </xf>
    <xf numFmtId="0" fontId="47" fillId="5" borderId="21" xfId="4" applyFont="1" applyFill="1" applyBorder="1" applyAlignment="1" applyProtection="1">
      <alignment horizontal="center" vertical="center" wrapText="1"/>
    </xf>
    <xf numFmtId="0" fontId="38" fillId="0" borderId="2" xfId="4" applyFont="1" applyFill="1" applyBorder="1" applyAlignment="1" applyProtection="1">
      <alignment horizontal="center" vertical="center"/>
      <protection locked="0"/>
    </xf>
    <xf numFmtId="0" fontId="38" fillId="0" borderId="2" xfId="4" applyFont="1" applyBorder="1" applyAlignment="1" applyProtection="1">
      <alignment horizontal="center" vertical="center" wrapText="1"/>
      <protection locked="0"/>
    </xf>
    <xf numFmtId="0" fontId="38" fillId="0" borderId="2" xfId="4" applyFont="1" applyFill="1" applyBorder="1" applyAlignment="1" applyProtection="1">
      <alignment horizontal="center" vertical="center" wrapText="1"/>
      <protection locked="0"/>
    </xf>
    <xf numFmtId="0" fontId="38" fillId="0" borderId="12" xfId="4" applyFont="1" applyFill="1" applyBorder="1" applyAlignment="1" applyProtection="1">
      <alignment horizontal="center" vertical="center" wrapText="1"/>
      <protection locked="0"/>
    </xf>
    <xf numFmtId="0" fontId="205" fillId="5" borderId="21" xfId="4" applyFont="1" applyFill="1" applyBorder="1" applyAlignment="1" applyProtection="1">
      <alignment horizontal="left" vertical="center" wrapText="1"/>
    </xf>
    <xf numFmtId="0" fontId="205" fillId="6" borderId="9" xfId="4" applyFont="1" applyFill="1" applyBorder="1" applyAlignment="1" applyProtection="1">
      <alignment horizontal="center" vertical="center" wrapText="1"/>
      <protection locked="0"/>
    </xf>
    <xf numFmtId="0" fontId="205" fillId="6" borderId="2" xfId="4" applyFont="1" applyFill="1" applyBorder="1" applyAlignment="1" applyProtection="1">
      <alignment horizontal="center" vertical="center" wrapText="1"/>
      <protection locked="0"/>
    </xf>
    <xf numFmtId="0" fontId="205" fillId="6" borderId="21" xfId="4" applyFont="1" applyFill="1" applyBorder="1" applyAlignment="1" applyProtection="1">
      <alignment horizontal="center" vertical="center" wrapText="1"/>
      <protection locked="0"/>
    </xf>
    <xf numFmtId="0" fontId="52" fillId="5" borderId="17" xfId="4" applyFont="1" applyFill="1" applyBorder="1" applyAlignment="1" applyProtection="1">
      <alignment vertical="center"/>
    </xf>
    <xf numFmtId="0" fontId="38" fillId="5" borderId="0" xfId="4" applyFont="1" applyFill="1" applyBorder="1" applyAlignment="1" applyProtection="1">
      <alignment vertical="center" wrapText="1"/>
    </xf>
    <xf numFmtId="0" fontId="223" fillId="5" borderId="19" xfId="4" applyFont="1" applyFill="1" applyBorder="1" applyAlignment="1" applyProtection="1">
      <alignment vertical="center"/>
    </xf>
    <xf numFmtId="0" fontId="223" fillId="5" borderId="63" xfId="4" applyFont="1" applyFill="1" applyBorder="1" applyAlignment="1" applyProtection="1">
      <alignment vertical="center"/>
    </xf>
    <xf numFmtId="0" fontId="38" fillId="6" borderId="6" xfId="4" applyFont="1" applyFill="1" applyBorder="1" applyAlignment="1" applyProtection="1">
      <alignment horizontal="center" vertical="center" wrapText="1"/>
      <protection locked="0"/>
    </xf>
    <xf numFmtId="0" fontId="38" fillId="5" borderId="11" xfId="4" applyFont="1" applyFill="1" applyBorder="1" applyAlignment="1" applyProtection="1">
      <alignment horizontal="center" vertical="center" wrapText="1"/>
    </xf>
    <xf numFmtId="9" fontId="38" fillId="5" borderId="42" xfId="4" applyNumberFormat="1" applyFont="1" applyFill="1" applyBorder="1" applyAlignment="1" applyProtection="1">
      <alignment horizontal="center" vertical="center" wrapText="1"/>
    </xf>
    <xf numFmtId="0" fontId="55" fillId="5" borderId="81" xfId="4" applyFont="1" applyFill="1" applyBorder="1" applyAlignment="1" applyProtection="1">
      <alignment horizontal="left" vertical="center" wrapText="1"/>
    </xf>
    <xf numFmtId="0" fontId="56" fillId="5" borderId="37" xfId="4" applyFont="1" applyFill="1" applyBorder="1" applyAlignment="1" applyProtection="1">
      <alignment vertical="center" wrapText="1"/>
    </xf>
    <xf numFmtId="0" fontId="56" fillId="8" borderId="0" xfId="4" applyFont="1" applyFill="1" applyAlignment="1" applyProtection="1">
      <alignment vertical="center" wrapText="1"/>
    </xf>
    <xf numFmtId="10" fontId="38" fillId="8" borderId="0" xfId="4" applyNumberFormat="1" applyFont="1" applyFill="1" applyAlignment="1" applyProtection="1">
      <alignment horizontal="center" vertical="center" wrapText="1"/>
    </xf>
    <xf numFmtId="0" fontId="56" fillId="5" borderId="81" xfId="4" applyFont="1" applyFill="1" applyBorder="1" applyAlignment="1" applyProtection="1">
      <alignment horizontal="center" vertical="center" wrapText="1"/>
    </xf>
    <xf numFmtId="0" fontId="56" fillId="6" borderId="81" xfId="4" applyFont="1" applyFill="1" applyBorder="1" applyAlignment="1" applyProtection="1">
      <alignment horizontal="center" vertical="center" wrapText="1"/>
      <protection locked="0"/>
    </xf>
    <xf numFmtId="0" fontId="38" fillId="5" borderId="7" xfId="4" applyFont="1" applyFill="1" applyBorder="1" applyAlignment="1" applyProtection="1">
      <alignment horizontal="center" vertical="center" wrapText="1"/>
    </xf>
    <xf numFmtId="10" fontId="38" fillId="0" borderId="0" xfId="4" applyNumberFormat="1" applyFont="1" applyAlignment="1" applyProtection="1">
      <alignment horizontal="center" vertical="center" wrapText="1"/>
    </xf>
    <xf numFmtId="0" fontId="56" fillId="5" borderId="11" xfId="4" applyFont="1" applyFill="1" applyBorder="1" applyAlignment="1" applyProtection="1">
      <alignment horizontal="center" vertical="center" wrapText="1"/>
    </xf>
    <xf numFmtId="0" fontId="55" fillId="5" borderId="21" xfId="4" applyFont="1" applyFill="1" applyBorder="1" applyAlignment="1" applyProtection="1">
      <alignment horizontal="center" vertical="center" wrapText="1"/>
    </xf>
    <xf numFmtId="0" fontId="55" fillId="6" borderId="21" xfId="4" applyFont="1" applyFill="1" applyBorder="1" applyAlignment="1" applyProtection="1">
      <alignment horizontal="left" vertical="center" wrapText="1"/>
      <protection locked="0"/>
    </xf>
    <xf numFmtId="0" fontId="56" fillId="5" borderId="0" xfId="4" applyFont="1" applyFill="1" applyAlignment="1" applyProtection="1">
      <alignment vertical="center" wrapText="1"/>
    </xf>
    <xf numFmtId="0" fontId="56" fillId="5" borderId="21" xfId="4" applyFont="1" applyFill="1" applyBorder="1" applyAlignment="1" applyProtection="1">
      <alignment vertical="center" wrapText="1"/>
    </xf>
    <xf numFmtId="0" fontId="56" fillId="5" borderId="2" xfId="4" applyFont="1" applyFill="1" applyBorder="1" applyAlignment="1" applyProtection="1">
      <alignment horizontal="left" vertical="center" wrapText="1"/>
    </xf>
    <xf numFmtId="0" fontId="55" fillId="5" borderId="52" xfId="4" applyFont="1" applyFill="1" applyBorder="1" applyAlignment="1" applyProtection="1">
      <alignment horizontal="center" vertical="center" wrapText="1"/>
    </xf>
    <xf numFmtId="0" fontId="55" fillId="5" borderId="29" xfId="4" applyFont="1" applyFill="1" applyBorder="1" applyAlignment="1" applyProtection="1">
      <alignment horizontal="left" vertical="center" wrapText="1"/>
    </xf>
    <xf numFmtId="0" fontId="40" fillId="5" borderId="30" xfId="4" applyFont="1" applyFill="1" applyBorder="1" applyAlignment="1" applyProtection="1">
      <alignment horizontal="center" vertical="center" wrapText="1"/>
    </xf>
    <xf numFmtId="0" fontId="40" fillId="5" borderId="28" xfId="4" applyFont="1" applyFill="1" applyBorder="1" applyAlignment="1" applyProtection="1">
      <alignment vertical="center" wrapText="1"/>
    </xf>
    <xf numFmtId="0" fontId="55" fillId="5" borderId="24" xfId="4" applyFont="1" applyFill="1" applyBorder="1" applyAlignment="1" applyProtection="1">
      <alignment horizontal="center" vertical="center" wrapText="1"/>
    </xf>
    <xf numFmtId="0" fontId="38" fillId="5" borderId="13" xfId="4" applyFont="1" applyFill="1" applyBorder="1" applyAlignment="1" applyProtection="1">
      <alignment vertical="center" wrapText="1"/>
    </xf>
    <xf numFmtId="0" fontId="40" fillId="5" borderId="0" xfId="4" applyFont="1" applyFill="1" applyBorder="1" applyAlignment="1" applyProtection="1">
      <alignment vertical="center" wrapText="1"/>
    </xf>
    <xf numFmtId="0" fontId="38" fillId="5" borderId="65" xfId="4" applyFont="1" applyFill="1" applyBorder="1" applyAlignment="1" applyProtection="1">
      <alignment vertical="center" wrapText="1"/>
    </xf>
    <xf numFmtId="0" fontId="56" fillId="5" borderId="0" xfId="4" applyFont="1" applyFill="1" applyBorder="1" applyAlignment="1" applyProtection="1">
      <alignment horizontal="left" vertical="center" wrapText="1"/>
    </xf>
    <xf numFmtId="0" fontId="38" fillId="5" borderId="68" xfId="4" applyFont="1" applyFill="1" applyBorder="1" applyAlignment="1" applyProtection="1">
      <alignment vertical="center" wrapText="1"/>
    </xf>
    <xf numFmtId="0" fontId="38" fillId="5" borderId="60" xfId="4" applyFont="1" applyFill="1" applyBorder="1" applyAlignment="1" applyProtection="1">
      <alignment vertical="center" wrapText="1"/>
    </xf>
    <xf numFmtId="0" fontId="40" fillId="5" borderId="60" xfId="4" applyFont="1" applyFill="1" applyBorder="1" applyAlignment="1" applyProtection="1">
      <alignment vertical="center" wrapText="1"/>
    </xf>
    <xf numFmtId="0" fontId="38" fillId="5" borderId="66" xfId="4" applyFont="1" applyFill="1" applyBorder="1" applyAlignment="1" applyProtection="1">
      <alignment vertical="center" wrapText="1"/>
    </xf>
    <xf numFmtId="0" fontId="40" fillId="5" borderId="41" xfId="4" applyFont="1" applyFill="1" applyBorder="1" applyAlignment="1" applyProtection="1">
      <alignment vertical="center" wrapText="1"/>
    </xf>
    <xf numFmtId="0" fontId="55" fillId="5" borderId="6" xfId="4" applyFont="1" applyFill="1" applyBorder="1" applyAlignment="1" applyProtection="1">
      <alignment horizontal="center" vertical="center" wrapText="1"/>
    </xf>
    <xf numFmtId="0" fontId="55" fillId="5" borderId="29" xfId="4" applyFont="1" applyFill="1" applyBorder="1" applyAlignment="1" applyProtection="1">
      <alignment horizontal="center" vertical="center" wrapText="1"/>
    </xf>
    <xf numFmtId="0" fontId="40" fillId="5" borderId="29" xfId="4" applyFont="1" applyFill="1" applyBorder="1" applyAlignment="1" applyProtection="1">
      <alignment vertical="center" wrapText="1"/>
    </xf>
    <xf numFmtId="0" fontId="38" fillId="5" borderId="24" xfId="4" applyFont="1" applyFill="1" applyBorder="1" applyAlignment="1" applyProtection="1">
      <alignment horizontal="center" vertical="center" wrapText="1"/>
    </xf>
    <xf numFmtId="0" fontId="38" fillId="5" borderId="9" xfId="4" applyFont="1" applyFill="1" applyBorder="1" applyAlignment="1" applyProtection="1">
      <alignment horizontal="left" vertical="center" wrapText="1"/>
    </xf>
    <xf numFmtId="0" fontId="38" fillId="0" borderId="2" xfId="4" applyFont="1" applyBorder="1" applyAlignment="1" applyProtection="1">
      <alignment vertical="center" wrapText="1"/>
      <protection locked="0"/>
    </xf>
    <xf numFmtId="0" fontId="205" fillId="5" borderId="5" xfId="4" applyFont="1" applyFill="1" applyBorder="1" applyAlignment="1" applyProtection="1">
      <alignment vertical="center"/>
    </xf>
    <xf numFmtId="0" fontId="205" fillId="5" borderId="8" xfId="4" applyFont="1" applyFill="1" applyBorder="1" applyAlignment="1" applyProtection="1">
      <alignment vertical="center"/>
    </xf>
    <xf numFmtId="0" fontId="205" fillId="5" borderId="16" xfId="4" applyFont="1" applyFill="1" applyBorder="1" applyAlignment="1" applyProtection="1">
      <alignment vertical="center"/>
    </xf>
    <xf numFmtId="0" fontId="40" fillId="5" borderId="23" xfId="4" applyFont="1" applyFill="1" applyBorder="1" applyAlignment="1" applyProtection="1">
      <alignment vertical="center" wrapText="1"/>
    </xf>
    <xf numFmtId="0" fontId="38" fillId="5" borderId="46" xfId="4" applyFont="1" applyFill="1" applyBorder="1" applyAlignment="1" applyProtection="1">
      <alignment horizontal="left" vertical="center" wrapText="1"/>
    </xf>
    <xf numFmtId="0" fontId="38" fillId="0" borderId="43" xfId="4" applyFont="1" applyBorder="1" applyAlignment="1" applyProtection="1">
      <alignment vertical="center" wrapText="1"/>
      <protection locked="0"/>
    </xf>
    <xf numFmtId="0" fontId="38" fillId="5" borderId="43" xfId="4" applyFont="1" applyFill="1" applyBorder="1" applyAlignment="1" applyProtection="1">
      <alignment vertical="center"/>
    </xf>
    <xf numFmtId="0" fontId="38" fillId="5" borderId="55" xfId="4" applyFont="1" applyFill="1" applyBorder="1" applyAlignment="1" applyProtection="1">
      <alignment vertical="center" wrapText="1"/>
    </xf>
    <xf numFmtId="0" fontId="38" fillId="5" borderId="47" xfId="4" applyFont="1" applyFill="1" applyBorder="1" applyAlignment="1" applyProtection="1">
      <alignment vertical="center" wrapText="1"/>
    </xf>
    <xf numFmtId="0" fontId="40" fillId="5" borderId="52" xfId="4" applyFont="1" applyFill="1" applyBorder="1" applyAlignment="1" applyProtection="1">
      <alignment vertical="center" wrapText="1"/>
    </xf>
    <xf numFmtId="0" fontId="40" fillId="5" borderId="57" xfId="4" applyFont="1" applyFill="1" applyBorder="1" applyAlignment="1" applyProtection="1">
      <alignment horizontal="left" vertical="center" wrapText="1"/>
    </xf>
    <xf numFmtId="0" fontId="38" fillId="5" borderId="30" xfId="4" applyFont="1" applyFill="1" applyBorder="1" applyAlignment="1" applyProtection="1">
      <alignment vertical="center"/>
    </xf>
    <xf numFmtId="0" fontId="38" fillId="5" borderId="41" xfId="4" applyFont="1" applyFill="1" applyBorder="1" applyAlignment="1" applyProtection="1">
      <alignment vertical="center"/>
    </xf>
    <xf numFmtId="0" fontId="40" fillId="5" borderId="20" xfId="4" applyFont="1" applyFill="1" applyBorder="1" applyAlignment="1" applyProtection="1">
      <alignment vertical="center" wrapText="1"/>
    </xf>
    <xf numFmtId="0" fontId="55" fillId="5" borderId="9" xfId="4" applyFont="1" applyFill="1" applyBorder="1" applyAlignment="1" applyProtection="1">
      <alignment horizontal="center" vertical="center" wrapText="1"/>
    </xf>
    <xf numFmtId="0" fontId="55" fillId="5" borderId="2" xfId="4" applyFont="1" applyFill="1" applyBorder="1" applyAlignment="1" applyProtection="1">
      <alignment horizontal="center" vertical="center" wrapText="1"/>
    </xf>
    <xf numFmtId="0" fontId="38" fillId="5" borderId="2" xfId="4" applyFont="1" applyFill="1" applyBorder="1" applyAlignment="1" applyProtection="1">
      <alignment vertical="center" wrapText="1"/>
    </xf>
    <xf numFmtId="0" fontId="38" fillId="5" borderId="50" xfId="4" applyFont="1" applyFill="1" applyBorder="1" applyAlignment="1" applyProtection="1">
      <alignment vertical="center"/>
    </xf>
    <xf numFmtId="0" fontId="40" fillId="5" borderId="24" xfId="4" applyFont="1" applyFill="1" applyBorder="1" applyAlignment="1" applyProtection="1">
      <alignment vertical="center" wrapText="1"/>
    </xf>
    <xf numFmtId="0" fontId="205" fillId="5" borderId="20" xfId="4" applyFont="1" applyFill="1" applyBorder="1" applyAlignment="1" applyProtection="1">
      <alignment horizontal="center" vertical="center" wrapText="1"/>
    </xf>
    <xf numFmtId="0" fontId="38" fillId="5" borderId="65" xfId="4" applyFont="1" applyFill="1" applyBorder="1" applyAlignment="1" applyProtection="1">
      <alignment horizontal="center" vertical="center" wrapText="1"/>
    </xf>
    <xf numFmtId="0" fontId="205" fillId="5" borderId="46" xfId="4" applyFont="1" applyFill="1" applyBorder="1" applyAlignment="1" applyProtection="1">
      <alignment horizontal="center" vertical="center" wrapText="1"/>
    </xf>
    <xf numFmtId="0" fontId="38" fillId="5" borderId="66" xfId="4" applyFont="1" applyFill="1" applyBorder="1" applyAlignment="1" applyProtection="1">
      <alignment horizontal="center" vertical="center" wrapText="1"/>
    </xf>
    <xf numFmtId="0" fontId="38" fillId="0" borderId="0" xfId="4" applyFont="1" applyAlignment="1" applyProtection="1">
      <alignment horizontal="left" vertical="center" wrapText="1"/>
    </xf>
    <xf numFmtId="0" fontId="84" fillId="6" borderId="2" xfId="4" applyFont="1" applyFill="1" applyBorder="1" applyAlignment="1" applyProtection="1">
      <alignment horizontal="center" vertical="center" wrapText="1"/>
      <protection locked="0"/>
    </xf>
    <xf numFmtId="0" fontId="84" fillId="5" borderId="0" xfId="4" applyFont="1" applyFill="1" applyAlignment="1" applyProtection="1">
      <alignment vertical="center" wrapText="1"/>
    </xf>
    <xf numFmtId="186" fontId="84" fillId="5" borderId="3" xfId="4" applyNumberFormat="1" applyFont="1" applyFill="1" applyBorder="1" applyAlignment="1" applyProtection="1">
      <alignment horizontal="center" vertical="center" wrapText="1"/>
    </xf>
    <xf numFmtId="186" fontId="84" fillId="5" borderId="13" xfId="4" applyNumberFormat="1" applyFont="1" applyFill="1" applyBorder="1" applyAlignment="1" applyProtection="1">
      <alignment horizontal="center" vertical="center" wrapText="1"/>
    </xf>
    <xf numFmtId="0" fontId="84" fillId="5" borderId="9" xfId="4" applyFont="1" applyFill="1" applyBorder="1" applyAlignment="1" applyProtection="1">
      <alignment vertical="center" wrapText="1"/>
    </xf>
    <xf numFmtId="0" fontId="82" fillId="5" borderId="2" xfId="4" applyFont="1" applyFill="1" applyBorder="1" applyAlignment="1" applyProtection="1">
      <alignment vertical="center" wrapText="1"/>
    </xf>
    <xf numFmtId="0" fontId="84" fillId="5" borderId="14" xfId="4" applyFont="1" applyFill="1" applyBorder="1" applyAlignment="1" applyProtection="1">
      <alignment vertical="center"/>
    </xf>
    <xf numFmtId="0" fontId="82" fillId="5" borderId="10" xfId="4" applyFont="1" applyFill="1" applyBorder="1" applyAlignment="1" applyProtection="1">
      <alignment vertical="center" wrapText="1"/>
    </xf>
    <xf numFmtId="0" fontId="84" fillId="0" borderId="2" xfId="4" applyFont="1" applyBorder="1" applyAlignment="1" applyProtection="1">
      <alignment vertical="center" wrapText="1"/>
      <protection locked="0"/>
    </xf>
    <xf numFmtId="0" fontId="84" fillId="0" borderId="43" xfId="4" applyFont="1" applyBorder="1" applyAlignment="1" applyProtection="1">
      <alignment vertical="center" wrapText="1"/>
      <protection locked="0"/>
    </xf>
    <xf numFmtId="9" fontId="84" fillId="5" borderId="12" xfId="4" applyNumberFormat="1" applyFont="1" applyFill="1" applyBorder="1" applyAlignment="1" applyProtection="1">
      <alignment horizontal="center" vertical="center" wrapText="1"/>
    </xf>
    <xf numFmtId="10" fontId="84" fillId="5" borderId="43" xfId="4" applyNumberFormat="1" applyFont="1" applyFill="1" applyBorder="1" applyAlignment="1" applyProtection="1">
      <alignment horizontal="center" vertical="center" wrapText="1"/>
    </xf>
    <xf numFmtId="10" fontId="84" fillId="5" borderId="45" xfId="4" applyNumberFormat="1" applyFont="1" applyFill="1" applyBorder="1" applyAlignment="1" applyProtection="1">
      <alignment horizontal="center" vertical="center" wrapText="1"/>
    </xf>
    <xf numFmtId="10" fontId="82" fillId="0" borderId="9" xfId="4" applyNumberFormat="1" applyFont="1" applyFill="1" applyBorder="1" applyAlignment="1" applyProtection="1">
      <alignment horizontal="center" vertical="center" wrapText="1"/>
      <protection locked="0"/>
    </xf>
    <xf numFmtId="0" fontId="84" fillId="5" borderId="26" xfId="4" applyFont="1" applyFill="1" applyBorder="1" applyAlignment="1" applyProtection="1">
      <alignment vertical="center"/>
    </xf>
    <xf numFmtId="0" fontId="84" fillId="5" borderId="38" xfId="4" applyFont="1" applyFill="1" applyBorder="1" applyAlignment="1" applyProtection="1">
      <alignment vertical="center" wrapText="1"/>
    </xf>
    <xf numFmtId="0" fontId="84" fillId="5" borderId="11" xfId="4" applyFont="1" applyFill="1" applyBorder="1" applyAlignment="1" applyProtection="1">
      <alignment vertical="center"/>
    </xf>
    <xf numFmtId="9" fontId="84" fillId="5" borderId="12" xfId="4" applyNumberFormat="1" applyFont="1" applyFill="1" applyBorder="1" applyAlignment="1" applyProtection="1">
      <alignment horizontal="center" vertical="center"/>
    </xf>
    <xf numFmtId="0" fontId="84" fillId="5" borderId="42" xfId="4" applyFont="1" applyFill="1" applyBorder="1" applyAlignment="1" applyProtection="1">
      <alignment vertical="center" wrapText="1"/>
    </xf>
    <xf numFmtId="9" fontId="84" fillId="5" borderId="45" xfId="4" applyNumberFormat="1" applyFont="1" applyFill="1" applyBorder="1" applyAlignment="1" applyProtection="1">
      <alignment horizontal="center" vertical="center" wrapText="1"/>
    </xf>
    <xf numFmtId="0" fontId="208" fillId="5" borderId="0" xfId="0" applyFont="1" applyFill="1" applyBorder="1" applyAlignment="1" applyProtection="1">
      <alignment horizontal="center" vertical="center" wrapText="1"/>
    </xf>
    <xf numFmtId="0" fontId="208" fillId="5" borderId="0" xfId="0" applyFont="1" applyFill="1" applyBorder="1" applyAlignment="1" applyProtection="1">
      <alignment horizontal="center" vertical="center"/>
      <protection locked="0"/>
    </xf>
    <xf numFmtId="0" fontId="208" fillId="5" borderId="0" xfId="0" applyFont="1" applyFill="1" applyAlignment="1" applyProtection="1">
      <alignment horizontal="center" vertical="center"/>
      <protection locked="0"/>
    </xf>
    <xf numFmtId="0" fontId="50" fillId="5" borderId="0" xfId="0" applyFont="1" applyFill="1" applyBorder="1" applyAlignment="1" applyProtection="1">
      <alignment horizontal="center" vertical="center"/>
      <protection locked="0"/>
    </xf>
    <xf numFmtId="0" fontId="188" fillId="5" borderId="0" xfId="0" applyFont="1" applyFill="1" applyBorder="1" applyAlignment="1" applyProtection="1">
      <alignment horizontal="center" vertical="center"/>
      <protection locked="0"/>
    </xf>
    <xf numFmtId="0" fontId="198" fillId="5" borderId="2" xfId="0" applyFont="1" applyFill="1" applyBorder="1" applyAlignment="1" applyProtection="1">
      <alignment horizontal="center" vertical="center"/>
    </xf>
    <xf numFmtId="0" fontId="191" fillId="5" borderId="2" xfId="0" applyFont="1" applyFill="1" applyBorder="1" applyAlignment="1" applyProtection="1">
      <alignment horizontal="center" vertical="center"/>
    </xf>
    <xf numFmtId="0" fontId="191" fillId="0" borderId="2" xfId="0" applyFont="1" applyFill="1" applyBorder="1" applyAlignment="1" applyProtection="1">
      <alignment horizontal="center" vertical="center"/>
      <protection locked="0"/>
    </xf>
    <xf numFmtId="0" fontId="82" fillId="5" borderId="0" xfId="0" applyFont="1" applyFill="1" applyAlignment="1" applyProtection="1">
      <alignment horizontal="center" vertical="center"/>
    </xf>
    <xf numFmtId="0" fontId="18" fillId="6" borderId="6" xfId="0" applyFont="1" applyFill="1" applyBorder="1" applyAlignment="1" applyProtection="1">
      <alignment horizontal="center" vertical="center"/>
      <protection locked="0"/>
    </xf>
    <xf numFmtId="0" fontId="196" fillId="5" borderId="0" xfId="0" applyFont="1" applyFill="1" applyAlignment="1" applyProtection="1">
      <alignment horizontal="left" vertical="center"/>
    </xf>
    <xf numFmtId="0" fontId="99" fillId="5" borderId="0" xfId="0" applyFont="1" applyFill="1" applyBorder="1" applyAlignment="1" applyProtection="1">
      <alignment horizontal="center" vertical="center"/>
    </xf>
    <xf numFmtId="0" fontId="96" fillId="5" borderId="0"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187" fontId="69" fillId="5" borderId="5" xfId="0" applyNumberFormat="1" applyFont="1" applyFill="1" applyBorder="1" applyAlignment="1" applyProtection="1">
      <alignment horizontal="center" vertical="center"/>
    </xf>
    <xf numFmtId="49" fontId="69" fillId="5" borderId="9" xfId="0" applyNumberFormat="1" applyFont="1" applyFill="1" applyBorder="1" applyAlignment="1" applyProtection="1">
      <alignment horizontal="center" vertical="center"/>
    </xf>
    <xf numFmtId="0" fontId="69" fillId="5" borderId="3" xfId="0" applyFont="1" applyFill="1" applyBorder="1" applyAlignment="1" applyProtection="1">
      <alignment horizontal="center" vertical="center"/>
    </xf>
    <xf numFmtId="0" fontId="69" fillId="5" borderId="2" xfId="0" applyNumberFormat="1" applyFont="1" applyFill="1" applyBorder="1" applyAlignment="1" applyProtection="1">
      <alignment horizontal="center" vertical="center"/>
    </xf>
    <xf numFmtId="0" fontId="82" fillId="5" borderId="2" xfId="0" applyFont="1" applyFill="1" applyBorder="1" applyAlignment="1" applyProtection="1">
      <alignment horizontal="center" vertical="center" wrapText="1"/>
    </xf>
    <xf numFmtId="187" fontId="82" fillId="5" borderId="5" xfId="0" applyNumberFormat="1" applyFont="1" applyFill="1" applyBorder="1" applyAlignment="1" applyProtection="1">
      <alignment horizontal="center" vertical="center"/>
    </xf>
    <xf numFmtId="49" fontId="82" fillId="5" borderId="9" xfId="0" applyNumberFormat="1"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187" fontId="78" fillId="5" borderId="5" xfId="0" applyNumberFormat="1" applyFont="1" applyFill="1" applyBorder="1" applyAlignment="1" applyProtection="1">
      <alignment horizontal="center" vertical="center"/>
    </xf>
    <xf numFmtId="49" fontId="78" fillId="5" borderId="9" xfId="0" applyNumberFormat="1" applyFont="1" applyFill="1" applyBorder="1" applyAlignment="1" applyProtection="1">
      <alignment horizontal="center" vertical="center"/>
    </xf>
    <xf numFmtId="0" fontId="78" fillId="5" borderId="3"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0" fontId="82" fillId="5" borderId="21" xfId="0" applyFont="1" applyFill="1" applyBorder="1" applyAlignment="1" applyProtection="1">
      <alignment vertical="center" textRotation="255" wrapText="1"/>
    </xf>
    <xf numFmtId="182" fontId="82" fillId="5" borderId="0" xfId="0" applyNumberFormat="1" applyFont="1" applyFill="1" applyBorder="1" applyAlignment="1" applyProtection="1"/>
    <xf numFmtId="0" fontId="82" fillId="5" borderId="0" xfId="0" applyFont="1" applyFill="1" applyBorder="1" applyAlignment="1" applyProtection="1"/>
    <xf numFmtId="0" fontId="108" fillId="5" borderId="0" xfId="0" applyFont="1" applyFill="1" applyBorder="1" applyAlignment="1" applyProtection="1"/>
    <xf numFmtId="0" fontId="82" fillId="5" borderId="0" xfId="0" applyFont="1" applyFill="1" applyBorder="1" applyAlignment="1" applyProtection="1">
      <alignment horizontal="center"/>
    </xf>
    <xf numFmtId="188" fontId="82" fillId="5" borderId="0" xfId="0" applyNumberFormat="1" applyFont="1" applyFill="1" applyBorder="1" applyAlignment="1" applyProtection="1">
      <alignment horizontal="center"/>
    </xf>
    <xf numFmtId="0" fontId="82" fillId="8" borderId="0" xfId="0" applyFont="1" applyFill="1" applyAlignment="1" applyProtection="1">
      <alignment horizontal="center" vertical="center"/>
    </xf>
    <xf numFmtId="188" fontId="82" fillId="8" borderId="0" xfId="0" applyNumberFormat="1" applyFont="1" applyFill="1" applyAlignment="1" applyProtection="1">
      <alignment horizontal="center" vertical="center"/>
    </xf>
    <xf numFmtId="182" fontId="82" fillId="8" borderId="0" xfId="0" applyNumberFormat="1" applyFont="1" applyFill="1" applyAlignment="1" applyProtection="1">
      <alignment horizontal="center" vertical="center"/>
    </xf>
    <xf numFmtId="178" fontId="95" fillId="5" borderId="0" xfId="0" applyNumberFormat="1" applyFont="1" applyFill="1" applyBorder="1" applyAlignment="1" applyProtection="1"/>
    <xf numFmtId="49" fontId="95" fillId="5" borderId="0" xfId="0" applyNumberFormat="1" applyFont="1" applyFill="1" applyBorder="1" applyAlignment="1" applyProtection="1">
      <alignment horizontal="left"/>
    </xf>
    <xf numFmtId="0" fontId="104" fillId="5" borderId="0" xfId="0" applyFont="1" applyFill="1" applyAlignment="1" applyProtection="1">
      <alignment vertical="center"/>
    </xf>
    <xf numFmtId="0" fontId="114" fillId="5" borderId="0" xfId="0" applyFont="1" applyFill="1" applyAlignment="1" applyProtection="1">
      <alignment vertical="center"/>
    </xf>
    <xf numFmtId="0" fontId="38" fillId="5" borderId="1" xfId="4" applyFont="1" applyFill="1" applyBorder="1" applyAlignment="1" applyProtection="1">
      <alignment horizontal="center" vertical="center" wrapText="1"/>
    </xf>
    <xf numFmtId="0" fontId="186" fillId="5" borderId="0" xfId="4" applyFill="1" applyAlignment="1" applyProtection="1">
      <alignment vertical="center"/>
    </xf>
    <xf numFmtId="0" fontId="203" fillId="5" borderId="14" xfId="4" applyFont="1" applyFill="1" applyBorder="1" applyAlignment="1" applyProtection="1">
      <alignment vertical="center"/>
    </xf>
    <xf numFmtId="0" fontId="100" fillId="5" borderId="14" xfId="0" applyFont="1" applyFill="1" applyBorder="1" applyAlignment="1" applyProtection="1">
      <alignment vertical="center"/>
    </xf>
    <xf numFmtId="0" fontId="95" fillId="5" borderId="0" xfId="0" applyFont="1" applyFill="1" applyBorder="1" applyAlignment="1" applyProtection="1">
      <alignment horizontal="center" vertical="center"/>
    </xf>
    <xf numFmtId="0" fontId="104" fillId="5" borderId="0"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78" fillId="5" borderId="2" xfId="0" applyFont="1" applyFill="1" applyBorder="1" applyAlignment="1" applyProtection="1">
      <alignment horizontal="center" vertical="center" wrapText="1"/>
    </xf>
    <xf numFmtId="188" fontId="82" fillId="5" borderId="16" xfId="0" applyNumberFormat="1" applyFont="1" applyFill="1" applyBorder="1" applyAlignment="1" applyProtection="1">
      <alignment horizontal="center" vertical="center"/>
    </xf>
    <xf numFmtId="188" fontId="82" fillId="5" borderId="45" xfId="0" applyNumberFormat="1" applyFont="1" applyFill="1" applyBorder="1" applyAlignment="1" applyProtection="1">
      <alignment horizontal="center" vertical="center" wrapText="1"/>
    </xf>
    <xf numFmtId="0" fontId="82" fillId="0" borderId="71" xfId="0" applyNumberFormat="1" applyFont="1" applyFill="1" applyBorder="1" applyAlignment="1" applyProtection="1">
      <alignment horizontal="center" vertical="center" wrapText="1"/>
    </xf>
    <xf numFmtId="0" fontId="82" fillId="0" borderId="72" xfId="0" applyNumberFormat="1" applyFont="1" applyFill="1" applyBorder="1" applyAlignment="1" applyProtection="1">
      <alignment horizontal="center" vertical="center" wrapText="1"/>
    </xf>
    <xf numFmtId="188" fontId="82" fillId="5" borderId="9" xfId="0" applyNumberFormat="1" applyFont="1" applyFill="1" applyBorder="1" applyAlignment="1" applyProtection="1">
      <alignment horizontal="center" vertical="center"/>
    </xf>
    <xf numFmtId="188" fontId="82" fillId="5" borderId="2"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wrapText="1"/>
    </xf>
    <xf numFmtId="0" fontId="115" fillId="0" borderId="0" xfId="0" applyFont="1" applyProtection="1">
      <alignment vertical="center"/>
    </xf>
    <xf numFmtId="0" fontId="74" fillId="0" borderId="0" xfId="0" applyNumberFormat="1" applyFont="1" applyAlignment="1" applyProtection="1">
      <alignment horizontal="center" vertical="center"/>
    </xf>
    <xf numFmtId="49" fontId="132" fillId="5" borderId="11" xfId="0" applyNumberFormat="1" applyFont="1" applyFill="1" applyBorder="1" applyAlignment="1" applyProtection="1">
      <alignment vertical="center" wrapText="1"/>
    </xf>
    <xf numFmtId="49" fontId="132" fillId="5" borderId="42" xfId="0" applyNumberFormat="1" applyFont="1" applyFill="1" applyBorder="1" applyAlignment="1" applyProtection="1">
      <alignment vertical="center" wrapText="1"/>
    </xf>
    <xf numFmtId="49" fontId="80" fillId="5" borderId="11" xfId="0" applyNumberFormat="1" applyFont="1" applyFill="1" applyBorder="1" applyAlignment="1" applyProtection="1">
      <alignment vertical="center" wrapText="1"/>
    </xf>
    <xf numFmtId="0" fontId="68" fillId="5" borderId="87" xfId="0" applyFont="1" applyFill="1" applyBorder="1" applyAlignment="1" applyProtection="1"/>
    <xf numFmtId="0" fontId="68" fillId="5" borderId="19" xfId="0" applyFont="1" applyFill="1" applyBorder="1" applyAlignment="1" applyProtection="1"/>
    <xf numFmtId="0" fontId="68" fillId="5" borderId="63" xfId="0" applyFont="1" applyFill="1" applyBorder="1" applyAlignment="1" applyProtection="1"/>
    <xf numFmtId="185" fontId="73" fillId="5" borderId="29" xfId="0" applyNumberFormat="1" applyFont="1" applyFill="1" applyBorder="1" applyAlignment="1" applyProtection="1">
      <alignment horizontal="center"/>
    </xf>
    <xf numFmtId="0" fontId="74" fillId="5" borderId="44" xfId="0" applyFont="1" applyFill="1" applyBorder="1" applyAlignment="1" applyProtection="1"/>
    <xf numFmtId="185" fontId="191" fillId="0" borderId="43" xfId="0" applyNumberFormat="1" applyFont="1" applyFill="1" applyBorder="1" applyAlignment="1" applyProtection="1">
      <alignment horizontal="center"/>
      <protection locked="0"/>
    </xf>
    <xf numFmtId="185" fontId="74" fillId="0" borderId="43" xfId="0" applyNumberFormat="1" applyFont="1" applyFill="1" applyBorder="1" applyAlignment="1" applyProtection="1">
      <alignment horizontal="center"/>
      <protection locked="0"/>
    </xf>
    <xf numFmtId="185" fontId="74" fillId="0" borderId="45" xfId="0" applyNumberFormat="1" applyFont="1" applyFill="1" applyBorder="1" applyAlignment="1" applyProtection="1">
      <alignment horizontal="center"/>
      <protection locked="0"/>
    </xf>
    <xf numFmtId="178" fontId="74" fillId="5" borderId="43" xfId="0" applyNumberFormat="1" applyFont="1" applyFill="1" applyBorder="1" applyAlignment="1" applyProtection="1">
      <alignment horizontal="center" vertical="center" wrapText="1"/>
    </xf>
    <xf numFmtId="186" fontId="74" fillId="5" borderId="43" xfId="0" applyNumberFormat="1" applyFont="1" applyFill="1" applyBorder="1" applyAlignment="1" applyProtection="1">
      <alignment horizontal="center" vertical="center"/>
    </xf>
    <xf numFmtId="10" fontId="74" fillId="5" borderId="43" xfId="0" applyNumberFormat="1" applyFont="1" applyFill="1" applyBorder="1" applyAlignment="1" applyProtection="1">
      <alignment horizontal="center" vertical="center" wrapText="1"/>
    </xf>
    <xf numFmtId="49" fontId="74" fillId="5" borderId="11" xfId="0" applyNumberFormat="1" applyFont="1" applyFill="1" applyBorder="1" applyAlignment="1" applyProtection="1">
      <alignment horizontal="left"/>
    </xf>
    <xf numFmtId="49" fontId="74" fillId="5" borderId="42" xfId="0" applyNumberFormat="1" applyFont="1" applyFill="1" applyBorder="1" applyAlignment="1" applyProtection="1">
      <alignment horizontal="left"/>
    </xf>
    <xf numFmtId="49" fontId="74" fillId="5" borderId="11" xfId="3" applyNumberFormat="1" applyFont="1" applyFill="1" applyBorder="1" applyAlignment="1" applyProtection="1">
      <alignment horizontal="left"/>
    </xf>
    <xf numFmtId="49" fontId="73" fillId="5" borderId="11" xfId="3" applyNumberFormat="1" applyFont="1" applyFill="1" applyBorder="1" applyAlignment="1" applyProtection="1">
      <alignment horizontal="left"/>
    </xf>
    <xf numFmtId="49" fontId="73" fillId="5" borderId="11" xfId="0" applyNumberFormat="1" applyFont="1" applyFill="1" applyBorder="1" applyAlignment="1" applyProtection="1">
      <alignment horizontal="left" vertical="center" wrapText="1"/>
    </xf>
    <xf numFmtId="49" fontId="74" fillId="5" borderId="42" xfId="0" applyNumberFormat="1" applyFont="1" applyFill="1" applyBorder="1" applyAlignment="1" applyProtection="1">
      <alignment horizontal="left" vertical="center" wrapText="1"/>
    </xf>
    <xf numFmtId="49" fontId="131" fillId="5" borderId="11" xfId="3" applyNumberFormat="1" applyFont="1" applyFill="1" applyBorder="1" applyAlignment="1" applyProtection="1">
      <alignment horizontal="left"/>
    </xf>
    <xf numFmtId="49" fontId="133" fillId="5" borderId="10" xfId="0" applyNumberFormat="1" applyFont="1" applyFill="1" applyBorder="1" applyAlignment="1" applyProtection="1">
      <alignment horizontal="left" vertical="center" wrapText="1"/>
    </xf>
    <xf numFmtId="49" fontId="134" fillId="5" borderId="33" xfId="0" applyNumberFormat="1" applyFont="1" applyFill="1" applyBorder="1" applyAlignment="1" applyProtection="1">
      <alignment horizontal="center" vertical="center" wrapText="1"/>
    </xf>
    <xf numFmtId="49" fontId="133" fillId="5" borderId="33" xfId="0" applyNumberFormat="1" applyFont="1" applyFill="1" applyBorder="1" applyAlignment="1" applyProtection="1">
      <alignment horizontal="left" vertical="center" wrapText="1"/>
    </xf>
    <xf numFmtId="49" fontId="133" fillId="5" borderId="52" xfId="0" applyNumberFormat="1" applyFont="1" applyFill="1" applyBorder="1" applyAlignment="1" applyProtection="1">
      <alignment horizontal="left" vertical="center" wrapText="1"/>
    </xf>
    <xf numFmtId="49" fontId="133" fillId="5" borderId="1" xfId="0" applyNumberFormat="1" applyFont="1" applyFill="1" applyBorder="1" applyAlignment="1" applyProtection="1">
      <alignment horizontal="left" vertical="center" wrapText="1"/>
    </xf>
    <xf numFmtId="49" fontId="18" fillId="5" borderId="22" xfId="0" applyNumberFormat="1" applyFont="1" applyFill="1" applyBorder="1" applyAlignment="1" applyProtection="1">
      <alignment horizontal="center" vertical="center" wrapText="1"/>
    </xf>
    <xf numFmtId="49" fontId="95" fillId="5" borderId="2" xfId="3" applyNumberFormat="1" applyFont="1" applyFill="1" applyBorder="1" applyAlignment="1" applyProtection="1">
      <alignment vertical="center"/>
    </xf>
    <xf numFmtId="49" fontId="55" fillId="5" borderId="2" xfId="3" applyNumberFormat="1" applyFont="1" applyFill="1" applyBorder="1" applyAlignment="1" applyProtection="1">
      <alignment vertical="center"/>
    </xf>
    <xf numFmtId="49" fontId="81" fillId="5" borderId="3" xfId="0" applyNumberFormat="1" applyFont="1" applyFill="1" applyBorder="1" applyAlignment="1" applyProtection="1">
      <alignment vertical="center"/>
    </xf>
    <xf numFmtId="49" fontId="95" fillId="5" borderId="0" xfId="3" applyNumberFormat="1" applyFont="1" applyFill="1" applyBorder="1" applyAlignment="1" applyProtection="1">
      <alignment vertical="center"/>
    </xf>
    <xf numFmtId="49" fontId="74" fillId="5" borderId="11" xfId="0" applyNumberFormat="1" applyFont="1" applyFill="1" applyBorder="1" applyAlignment="1" applyProtection="1">
      <alignment horizontal="right" vertical="center"/>
    </xf>
    <xf numFmtId="49" fontId="74" fillId="5" borderId="11" xfId="0" applyNumberFormat="1" applyFont="1" applyFill="1" applyBorder="1" applyAlignment="1" applyProtection="1">
      <alignment horizontal="center" vertical="center"/>
    </xf>
    <xf numFmtId="49" fontId="80" fillId="5" borderId="11" xfId="0" applyNumberFormat="1" applyFont="1" applyFill="1" applyBorder="1" applyAlignment="1" applyProtection="1">
      <alignment horizontal="center" vertical="center"/>
    </xf>
    <xf numFmtId="49" fontId="74" fillId="5" borderId="22" xfId="0" applyNumberFormat="1" applyFont="1" applyFill="1" applyBorder="1" applyAlignment="1" applyProtection="1">
      <alignment horizontal="right" vertical="center"/>
    </xf>
    <xf numFmtId="0" fontId="38" fillId="5" borderId="2" xfId="4" applyNumberFormat="1" applyFont="1" applyFill="1" applyBorder="1" applyAlignment="1" applyProtection="1">
      <alignment horizontal="center" vertical="center" wrapText="1"/>
    </xf>
    <xf numFmtId="0" fontId="84" fillId="5" borderId="2" xfId="4" applyNumberFormat="1" applyFont="1" applyFill="1" applyBorder="1" applyAlignment="1" applyProtection="1">
      <alignment horizontal="center" vertical="center" wrapText="1"/>
    </xf>
    <xf numFmtId="0" fontId="224" fillId="0" borderId="0" xfId="9" applyFont="1">
      <alignment vertical="center"/>
    </xf>
    <xf numFmtId="0" fontId="186" fillId="0" borderId="0" xfId="9">
      <alignment vertical="center"/>
    </xf>
    <xf numFmtId="0" fontId="224" fillId="0" borderId="0" xfId="9" applyFont="1" applyAlignment="1">
      <alignment vertical="top" wrapText="1"/>
    </xf>
    <xf numFmtId="0" fontId="76" fillId="5" borderId="33" xfId="0" applyFont="1" applyFill="1" applyBorder="1" applyAlignment="1" applyProtection="1">
      <alignment vertical="center" wrapText="1"/>
    </xf>
    <xf numFmtId="0" fontId="76" fillId="5" borderId="0" xfId="0" applyFont="1" applyFill="1" applyBorder="1" applyAlignment="1" applyProtection="1">
      <alignment vertical="center" wrapText="1"/>
    </xf>
    <xf numFmtId="0" fontId="76" fillId="5" borderId="2" xfId="0" applyFont="1" applyFill="1" applyBorder="1" applyAlignment="1" applyProtection="1">
      <alignment horizontal="left" vertical="center"/>
    </xf>
    <xf numFmtId="14" fontId="76" fillId="0" borderId="10" xfId="0" applyNumberFormat="1" applyFont="1" applyFill="1" applyBorder="1" applyAlignment="1" applyProtection="1">
      <alignment horizontal="left" vertical="center"/>
      <protection locked="0"/>
    </xf>
    <xf numFmtId="0" fontId="76" fillId="5" borderId="10" xfId="0" applyFont="1" applyFill="1" applyBorder="1" applyAlignment="1" applyProtection="1">
      <alignment vertical="center" wrapText="1"/>
    </xf>
    <xf numFmtId="0" fontId="76" fillId="5" borderId="71" xfId="0" applyFont="1" applyFill="1" applyBorder="1" applyAlignment="1" applyProtection="1">
      <alignment horizontal="left" vertical="center"/>
    </xf>
    <xf numFmtId="0" fontId="76" fillId="5" borderId="17" xfId="0" applyFont="1" applyFill="1" applyBorder="1" applyAlignment="1" applyProtection="1">
      <alignment vertical="center" wrapText="1"/>
    </xf>
    <xf numFmtId="0" fontId="76" fillId="8" borderId="19" xfId="0" applyFont="1" applyFill="1" applyBorder="1" applyAlignment="1" applyProtection="1">
      <alignment vertical="center" wrapText="1"/>
    </xf>
    <xf numFmtId="0" fontId="76" fillId="8" borderId="20" xfId="0" applyFont="1" applyFill="1" applyBorder="1" applyAlignment="1" applyProtection="1">
      <alignment vertical="center" wrapText="1"/>
    </xf>
    <xf numFmtId="0" fontId="76" fillId="8" borderId="32" xfId="0" applyFont="1" applyFill="1" applyBorder="1" applyAlignment="1" applyProtection="1">
      <alignment vertical="center" wrapText="1"/>
    </xf>
    <xf numFmtId="0" fontId="76" fillId="5" borderId="4" xfId="0" applyFont="1" applyFill="1" applyBorder="1" applyAlignment="1" applyProtection="1">
      <alignment vertical="center" wrapText="1"/>
    </xf>
    <xf numFmtId="0" fontId="76" fillId="6" borderId="5" xfId="0" applyFont="1" applyFill="1" applyBorder="1" applyAlignment="1" applyProtection="1">
      <alignment horizontal="left" vertical="center" wrapText="1"/>
      <protection locked="0"/>
    </xf>
    <xf numFmtId="0" fontId="76" fillId="6" borderId="8" xfId="0" applyFont="1" applyFill="1" applyBorder="1" applyAlignment="1" applyProtection="1">
      <alignment vertical="center" wrapText="1"/>
    </xf>
    <xf numFmtId="0" fontId="76" fillId="6" borderId="9" xfId="0" applyFont="1" applyFill="1" applyBorder="1" applyAlignment="1" applyProtection="1">
      <alignment vertical="center" wrapText="1"/>
    </xf>
    <xf numFmtId="0" fontId="76" fillId="6" borderId="84" xfId="0" applyFont="1" applyFill="1" applyBorder="1" applyAlignment="1" applyProtection="1">
      <alignment horizontal="left" vertical="center"/>
      <protection locked="0"/>
    </xf>
    <xf numFmtId="0" fontId="76" fillId="6" borderId="85" xfId="0" applyFont="1" applyFill="1" applyBorder="1" applyAlignment="1" applyProtection="1">
      <alignment vertical="center" wrapText="1"/>
    </xf>
    <xf numFmtId="0" fontId="76" fillId="8" borderId="19" xfId="0" applyFont="1" applyFill="1" applyBorder="1" applyAlignment="1" applyProtection="1">
      <alignment vertical="center" wrapText="1"/>
      <protection locked="0"/>
    </xf>
    <xf numFmtId="49" fontId="76" fillId="5" borderId="21" xfId="0" applyNumberFormat="1" applyFont="1" applyFill="1" applyBorder="1" applyAlignment="1" applyProtection="1">
      <alignment horizontal="left" vertical="center" wrapText="1"/>
    </xf>
    <xf numFmtId="49" fontId="225" fillId="0" borderId="17" xfId="0" applyNumberFormat="1" applyFont="1" applyFill="1" applyBorder="1" applyAlignment="1" applyProtection="1">
      <alignment horizontal="left" vertical="center"/>
      <protection locked="0"/>
    </xf>
    <xf numFmtId="0" fontId="76" fillId="8" borderId="8" xfId="0" applyFont="1" applyFill="1" applyBorder="1" applyAlignment="1" applyProtection="1">
      <alignment vertical="center" wrapText="1"/>
      <protection locked="0"/>
    </xf>
    <xf numFmtId="0" fontId="76" fillId="6" borderId="10" xfId="0" applyFont="1" applyFill="1" applyBorder="1" applyAlignment="1" applyProtection="1">
      <alignment horizontal="center" vertical="center" wrapText="1"/>
      <protection locked="0"/>
    </xf>
    <xf numFmtId="0" fontId="76" fillId="2" borderId="3" xfId="0" applyFont="1" applyFill="1" applyBorder="1" applyAlignment="1" applyProtection="1">
      <alignment horizontal="left" vertical="center" wrapText="1"/>
    </xf>
    <xf numFmtId="178" fontId="76" fillId="6" borderId="2" xfId="3" applyNumberFormat="1" applyFont="1" applyFill="1" applyBorder="1" applyAlignment="1" applyProtection="1">
      <alignment horizontal="center" vertical="center"/>
      <protection locked="0"/>
    </xf>
    <xf numFmtId="180" fontId="76" fillId="5" borderId="2" xfId="0" applyNumberFormat="1" applyFont="1" applyFill="1" applyBorder="1" applyAlignment="1" applyProtection="1">
      <alignment horizontal="center" vertical="center" wrapText="1"/>
    </xf>
    <xf numFmtId="0" fontId="76"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138" fillId="6" borderId="2" xfId="0" applyFont="1" applyFill="1" applyBorder="1" applyAlignment="1" applyProtection="1">
      <alignment horizontal="center" vertical="center" wrapText="1"/>
      <protection locked="0"/>
    </xf>
    <xf numFmtId="0" fontId="76" fillId="0" borderId="0" xfId="0" applyFont="1" applyAlignment="1" applyProtection="1">
      <alignment vertical="center" wrapText="1"/>
    </xf>
    <xf numFmtId="0" fontId="76" fillId="0" borderId="0" xfId="0" applyFont="1" applyAlignment="1" applyProtection="1">
      <alignment horizontal="center" vertical="center" wrapText="1"/>
    </xf>
    <xf numFmtId="0" fontId="76" fillId="5" borderId="0" xfId="0" applyFont="1" applyFill="1" applyAlignment="1" applyProtection="1">
      <alignment vertical="center" wrapText="1"/>
    </xf>
    <xf numFmtId="0" fontId="76" fillId="5" borderId="0" xfId="0" applyFont="1" applyFill="1" applyAlignment="1" applyProtection="1">
      <alignment horizontal="center" vertical="center" wrapText="1"/>
    </xf>
    <xf numFmtId="0" fontId="76" fillId="0" borderId="2" xfId="0" applyFont="1" applyBorder="1" applyAlignment="1" applyProtection="1">
      <alignment vertical="center" wrapText="1"/>
    </xf>
    <xf numFmtId="0" fontId="76" fillId="5" borderId="5" xfId="0" applyFont="1" applyFill="1" applyBorder="1" applyAlignment="1" applyProtection="1">
      <alignment vertical="center"/>
    </xf>
    <xf numFmtId="0" fontId="76" fillId="2" borderId="3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0" fontId="76" fillId="5" borderId="3" xfId="0" applyFont="1" applyFill="1" applyBorder="1" applyAlignment="1" applyProtection="1">
      <alignment vertical="center"/>
    </xf>
    <xf numFmtId="0" fontId="76" fillId="6" borderId="3" xfId="0" applyFont="1" applyFill="1" applyBorder="1" applyAlignment="1" applyProtection="1">
      <alignment horizontal="center" vertical="center" wrapText="1"/>
      <protection locked="0"/>
    </xf>
    <xf numFmtId="0" fontId="76" fillId="5" borderId="54" xfId="0" applyFont="1" applyFill="1" applyBorder="1" applyAlignment="1" applyProtection="1">
      <alignment horizontal="center" vertical="center" wrapText="1"/>
    </xf>
    <xf numFmtId="0" fontId="76" fillId="6" borderId="54" xfId="0" applyFont="1" applyFill="1" applyBorder="1" applyAlignment="1" applyProtection="1">
      <alignment horizontal="center" vertical="center" wrapText="1"/>
      <protection locked="0"/>
    </xf>
    <xf numFmtId="0" fontId="226" fillId="5" borderId="54" xfId="0" applyFont="1" applyFill="1" applyBorder="1" applyAlignment="1" applyProtection="1">
      <alignment vertical="center" wrapText="1"/>
    </xf>
    <xf numFmtId="0" fontId="76" fillId="6" borderId="69"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xf>
    <xf numFmtId="0" fontId="76" fillId="5" borderId="34" xfId="0" applyFont="1" applyFill="1" applyBorder="1" applyAlignment="1" applyProtection="1">
      <alignment vertical="center"/>
    </xf>
    <xf numFmtId="0" fontId="76" fillId="6" borderId="12" xfId="0" applyFont="1" applyFill="1" applyBorder="1" applyAlignment="1" applyProtection="1">
      <alignment horizontal="center" vertical="center" wrapText="1"/>
      <protection locked="0"/>
    </xf>
    <xf numFmtId="0" fontId="225" fillId="0" borderId="11" xfId="0" applyFont="1" applyBorder="1" applyAlignment="1" applyProtection="1">
      <alignment vertical="center" wrapText="1"/>
      <protection locked="0"/>
    </xf>
    <xf numFmtId="0" fontId="76" fillId="6" borderId="5" xfId="0" applyFont="1" applyFill="1" applyBorder="1" applyAlignment="1" applyProtection="1">
      <alignment horizontal="center" vertical="center" wrapText="1"/>
      <protection locked="0"/>
    </xf>
    <xf numFmtId="0" fontId="76" fillId="0" borderId="88" xfId="0" applyFont="1" applyBorder="1" applyAlignment="1" applyProtection="1">
      <alignment vertical="center" wrapText="1"/>
      <protection locked="0"/>
    </xf>
    <xf numFmtId="184" fontId="225" fillId="0" borderId="12" xfId="0" applyNumberFormat="1" applyFont="1" applyFill="1" applyBorder="1" applyAlignment="1" applyProtection="1">
      <alignment horizontal="left" vertical="center" shrinkToFit="1"/>
      <protection locked="0"/>
    </xf>
    <xf numFmtId="184" fontId="225" fillId="0" borderId="56" xfId="0" applyNumberFormat="1" applyFont="1" applyFill="1" applyBorder="1" applyAlignment="1" applyProtection="1">
      <alignment horizontal="left" vertical="center" shrinkToFit="1"/>
      <protection locked="0"/>
    </xf>
    <xf numFmtId="0" fontId="225" fillId="0" borderId="12" xfId="0" applyFont="1" applyFill="1" applyBorder="1" applyAlignment="1" applyProtection="1">
      <alignment horizontal="left" vertical="center" wrapText="1"/>
      <protection locked="0"/>
    </xf>
    <xf numFmtId="0" fontId="225" fillId="0" borderId="16" xfId="0" applyFont="1" applyFill="1" applyBorder="1" applyAlignment="1" applyProtection="1">
      <alignment horizontal="left" vertical="center" wrapText="1"/>
      <protection locked="0"/>
    </xf>
    <xf numFmtId="0" fontId="225" fillId="0" borderId="72" xfId="0" applyFont="1" applyFill="1" applyBorder="1" applyAlignment="1" applyProtection="1">
      <alignment horizontal="left" vertical="center" wrapText="1"/>
      <protection locked="0"/>
    </xf>
    <xf numFmtId="0" fontId="225" fillId="0" borderId="89" xfId="0" applyFont="1" applyFill="1" applyBorder="1" applyAlignment="1" applyProtection="1">
      <alignment horizontal="left" vertical="center" wrapText="1"/>
      <protection locked="0"/>
    </xf>
    <xf numFmtId="0" fontId="76" fillId="2" borderId="20" xfId="0" applyFont="1" applyFill="1" applyBorder="1" applyAlignment="1" applyProtection="1">
      <alignment horizontal="left" vertical="center" wrapText="1"/>
      <protection locked="0"/>
    </xf>
    <xf numFmtId="0" fontId="76" fillId="0" borderId="21" xfId="0" applyFont="1" applyBorder="1" applyAlignment="1" applyProtection="1">
      <alignment horizontal="left" vertical="center" wrapText="1"/>
      <protection locked="0"/>
    </xf>
    <xf numFmtId="0" fontId="76" fillId="2" borderId="5" xfId="0"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49" fontId="76" fillId="5" borderId="0" xfId="0" applyNumberFormat="1" applyFont="1" applyFill="1" applyAlignment="1" applyProtection="1">
      <alignment horizontal="center" vertical="center" wrapText="1"/>
    </xf>
    <xf numFmtId="0" fontId="76" fillId="5" borderId="5" xfId="0" applyFont="1" applyFill="1" applyBorder="1" applyAlignment="1" applyProtection="1">
      <alignment vertical="center" wrapText="1"/>
    </xf>
    <xf numFmtId="14" fontId="76" fillId="0" borderId="17" xfId="0" applyNumberFormat="1" applyFont="1" applyBorder="1" applyAlignment="1" applyProtection="1">
      <alignment vertical="center" wrapText="1"/>
      <protection locked="0"/>
    </xf>
    <xf numFmtId="0" fontId="76" fillId="5" borderId="20" xfId="0" applyFont="1" applyFill="1" applyBorder="1" applyAlignment="1" applyProtection="1">
      <alignment vertical="center" wrapText="1"/>
    </xf>
    <xf numFmtId="0" fontId="76" fillId="5" borderId="18"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9" xfId="0" applyFont="1" applyFill="1" applyBorder="1" applyAlignment="1" applyProtection="1">
      <alignment vertical="center" wrapText="1"/>
    </xf>
    <xf numFmtId="0" fontId="76" fillId="0" borderId="2" xfId="0" applyFont="1" applyBorder="1" applyAlignment="1" applyProtection="1">
      <alignment horizontal="center" vertical="center" wrapText="1"/>
    </xf>
    <xf numFmtId="192" fontId="76" fillId="5" borderId="2" xfId="0" applyNumberFormat="1" applyFont="1" applyFill="1" applyBorder="1" applyAlignment="1" applyProtection="1">
      <alignment vertical="center" wrapText="1"/>
    </xf>
    <xf numFmtId="0" fontId="76" fillId="5" borderId="9" xfId="0" applyNumberFormat="1" applyFont="1" applyFill="1" applyBorder="1" applyAlignment="1" applyProtection="1">
      <alignment horizontal="center" vertical="center" wrapText="1"/>
    </xf>
    <xf numFmtId="0" fontId="76" fillId="5" borderId="2" xfId="0" applyFont="1" applyFill="1" applyBorder="1" applyAlignment="1" applyProtection="1">
      <alignment vertical="center"/>
    </xf>
    <xf numFmtId="0" fontId="76" fillId="0" borderId="2" xfId="0" applyFont="1" applyBorder="1" applyAlignment="1" applyProtection="1">
      <alignment vertical="center"/>
    </xf>
    <xf numFmtId="0" fontId="76" fillId="5" borderId="3" xfId="0" applyFont="1" applyFill="1" applyBorder="1" applyAlignment="1" applyProtection="1">
      <alignment vertical="center" wrapText="1"/>
    </xf>
    <xf numFmtId="0" fontId="76" fillId="0" borderId="2" xfId="0" applyFont="1" applyBorder="1" applyAlignment="1" applyProtection="1">
      <alignment horizontal="center" vertical="center" wrapText="1"/>
      <protection locked="0"/>
    </xf>
    <xf numFmtId="49" fontId="76" fillId="6" borderId="2" xfId="0" applyNumberFormat="1" applyFont="1" applyFill="1" applyBorder="1" applyAlignment="1" applyProtection="1">
      <alignment horizontal="center" vertical="center" wrapText="1"/>
      <protection locked="0"/>
    </xf>
    <xf numFmtId="49" fontId="76"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0" borderId="19" xfId="0" applyFont="1" applyFill="1" applyBorder="1" applyAlignment="1" applyProtection="1">
      <alignment vertical="center" wrapText="1"/>
    </xf>
    <xf numFmtId="0" fontId="76" fillId="8" borderId="19" xfId="0" applyFont="1" applyFill="1" applyBorder="1" applyAlignment="1" applyProtection="1">
      <alignment horizontal="center" vertical="center" wrapText="1"/>
    </xf>
    <xf numFmtId="0" fontId="76" fillId="6" borderId="86" xfId="0" applyFont="1" applyFill="1" applyBorder="1" applyAlignment="1" applyProtection="1">
      <alignment vertical="center" wrapText="1"/>
    </xf>
    <xf numFmtId="0" fontId="76" fillId="6" borderId="9" xfId="0" applyFont="1" applyFill="1" applyBorder="1" applyAlignment="1" applyProtection="1">
      <alignment horizontal="center" vertical="center" wrapText="1"/>
      <protection locked="0"/>
    </xf>
    <xf numFmtId="0" fontId="76" fillId="6" borderId="9" xfId="0" applyFont="1" applyFill="1" applyBorder="1" applyAlignment="1" applyProtection="1">
      <alignment horizontal="center" vertical="center" wrapText="1" shrinkToFit="1"/>
      <protection locked="0"/>
    </xf>
    <xf numFmtId="0" fontId="76" fillId="5" borderId="10" xfId="0" applyFont="1" applyFill="1" applyBorder="1" applyAlignment="1" applyProtection="1">
      <alignment horizontal="right" vertical="center" wrapText="1"/>
    </xf>
    <xf numFmtId="0" fontId="76" fillId="5" borderId="3" xfId="0" applyFont="1" applyFill="1" applyBorder="1" applyAlignment="1" applyProtection="1">
      <alignment horizontal="right" vertical="center" wrapText="1"/>
    </xf>
    <xf numFmtId="0" fontId="76" fillId="5" borderId="21" xfId="0" applyFont="1" applyFill="1" applyBorder="1" applyAlignment="1" applyProtection="1">
      <alignment horizontal="right" vertical="center" wrapText="1"/>
    </xf>
    <xf numFmtId="0" fontId="76" fillId="5" borderId="9" xfId="0" applyFont="1" applyFill="1" applyBorder="1" applyAlignment="1" applyProtection="1">
      <alignment horizontal="right" vertical="center" wrapText="1"/>
    </xf>
    <xf numFmtId="0" fontId="76" fillId="5" borderId="86" xfId="0" applyFont="1" applyFill="1" applyBorder="1" applyAlignment="1" applyProtection="1">
      <alignment horizontal="right" vertical="center" wrapText="1"/>
    </xf>
    <xf numFmtId="0" fontId="76" fillId="5" borderId="22" xfId="0" applyFont="1" applyFill="1" applyBorder="1" applyAlignment="1" applyProtection="1">
      <alignment horizontal="right" vertical="center" wrapText="1"/>
    </xf>
    <xf numFmtId="0" fontId="76" fillId="5" borderId="24" xfId="0" applyFont="1" applyFill="1" applyBorder="1" applyAlignment="1" applyProtection="1">
      <alignment horizontal="left" vertical="center" wrapText="1"/>
    </xf>
    <xf numFmtId="0" fontId="76" fillId="5" borderId="90" xfId="0" applyFont="1" applyFill="1" applyBorder="1" applyAlignment="1" applyProtection="1">
      <alignment horizontal="left" vertical="center" wrapText="1"/>
    </xf>
    <xf numFmtId="180" fontId="76" fillId="5" borderId="10" xfId="0" applyNumberFormat="1"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0" fontId="76" fillId="5" borderId="21" xfId="0" applyFont="1" applyFill="1" applyBorder="1" applyAlignment="1" applyProtection="1">
      <alignment horizontal="left" vertical="center" wrapText="1"/>
    </xf>
    <xf numFmtId="0" fontId="76" fillId="8" borderId="8" xfId="0" applyFont="1" applyFill="1" applyBorder="1" applyAlignment="1" applyProtection="1">
      <alignment vertical="center" wrapText="1"/>
    </xf>
    <xf numFmtId="0" fontId="76" fillId="8" borderId="9" xfId="0" applyFont="1" applyFill="1" applyBorder="1" applyAlignment="1" applyProtection="1">
      <alignment vertical="center" wrapText="1"/>
    </xf>
    <xf numFmtId="0" fontId="76" fillId="5" borderId="3" xfId="0" applyFont="1" applyFill="1" applyBorder="1" applyAlignment="1" applyProtection="1">
      <alignment horizontal="left" vertical="center"/>
    </xf>
    <xf numFmtId="0" fontId="76" fillId="5" borderId="21" xfId="0" applyFont="1" applyFill="1" applyBorder="1" applyAlignment="1" applyProtection="1">
      <alignment horizontal="left" vertical="center"/>
    </xf>
    <xf numFmtId="0" fontId="76" fillId="5" borderId="10" xfId="0" applyFont="1" applyFill="1" applyBorder="1" applyAlignment="1" applyProtection="1">
      <alignment horizontal="left" vertical="center" wrapText="1"/>
    </xf>
    <xf numFmtId="49" fontId="76" fillId="5" borderId="2" xfId="0" applyNumberFormat="1" applyFont="1" applyFill="1" applyBorder="1" applyAlignment="1" applyProtection="1">
      <alignment horizontal="center" vertical="center" wrapText="1"/>
    </xf>
    <xf numFmtId="0" fontId="205" fillId="5" borderId="0" xfId="0" applyFont="1" applyFill="1" applyBorder="1" applyAlignment="1" applyProtection="1">
      <alignment horizontal="left" vertical="center"/>
    </xf>
    <xf numFmtId="0" fontId="205" fillId="5" borderId="0" xfId="0" applyFont="1" applyFill="1" applyProtection="1">
      <alignment vertical="center"/>
    </xf>
    <xf numFmtId="0" fontId="205" fillId="5" borderId="0" xfId="0" applyFont="1" applyFill="1" applyAlignment="1" applyProtection="1">
      <alignment horizontal="center" vertical="center"/>
    </xf>
    <xf numFmtId="0" fontId="205" fillId="5" borderId="0" xfId="0" applyFont="1" applyFill="1" applyBorder="1" applyAlignment="1" applyProtection="1">
      <alignment horizontal="center" vertical="center"/>
    </xf>
    <xf numFmtId="0" fontId="208" fillId="0" borderId="0" xfId="0" applyFont="1" applyBorder="1" applyAlignment="1" applyProtection="1">
      <alignment horizontal="center" vertical="center"/>
    </xf>
    <xf numFmtId="49" fontId="76" fillId="5" borderId="5" xfId="0" applyNumberFormat="1"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227" fillId="5" borderId="0" xfId="0" applyFont="1" applyFill="1" applyProtection="1">
      <alignment vertical="center"/>
    </xf>
    <xf numFmtId="0" fontId="9" fillId="5" borderId="0" xfId="0" applyFont="1" applyFill="1" applyProtection="1">
      <alignment vertical="center"/>
    </xf>
    <xf numFmtId="0" fontId="228" fillId="0" borderId="0" xfId="0" applyFont="1" applyBorder="1" applyAlignment="1" applyProtection="1">
      <alignment horizontal="center" vertical="center"/>
    </xf>
    <xf numFmtId="0" fontId="199" fillId="0" borderId="0" xfId="0" applyFont="1" applyProtection="1">
      <alignment vertical="center"/>
    </xf>
    <xf numFmtId="0" fontId="199" fillId="0" borderId="0" xfId="0" applyFont="1" applyBorder="1" applyProtection="1">
      <alignment vertical="center"/>
    </xf>
    <xf numFmtId="184" fontId="229" fillId="0" borderId="0" xfId="0" applyNumberFormat="1" applyFont="1" applyAlignment="1" applyProtection="1">
      <alignment horizontal="left" vertical="center"/>
    </xf>
    <xf numFmtId="0" fontId="199" fillId="0" borderId="0" xfId="0" applyFont="1" applyAlignment="1" applyProtection="1">
      <alignment vertical="center" wrapText="1"/>
    </xf>
    <xf numFmtId="0" fontId="199" fillId="0" borderId="0" xfId="0" applyFont="1" applyAlignment="1" applyProtection="1">
      <alignment vertical="center" wrapText="1" shrinkToFit="1"/>
    </xf>
    <xf numFmtId="0" fontId="76" fillId="5" borderId="4" xfId="0" applyFont="1" applyFill="1" applyBorder="1" applyAlignment="1" applyProtection="1">
      <alignment vertical="center"/>
    </xf>
    <xf numFmtId="0" fontId="76" fillId="5" borderId="5" xfId="0" applyFont="1" applyFill="1" applyBorder="1" applyAlignment="1" applyProtection="1">
      <alignment horizontal="right" vertical="center" wrapText="1"/>
    </xf>
    <xf numFmtId="0" fontId="76" fillId="5" borderId="8" xfId="0" applyFont="1" applyFill="1" applyBorder="1" applyAlignment="1" applyProtection="1">
      <alignment horizontal="right" vertical="center" wrapText="1"/>
    </xf>
    <xf numFmtId="0" fontId="76" fillId="5" borderId="9" xfId="0" applyFont="1" applyFill="1" applyBorder="1" applyAlignment="1" applyProtection="1">
      <alignment horizontal="right" vertical="center"/>
    </xf>
    <xf numFmtId="0" fontId="76" fillId="8" borderId="5" xfId="0" applyFont="1" applyFill="1" applyBorder="1" applyAlignment="1" applyProtection="1">
      <alignment vertical="center"/>
      <protection locked="0"/>
    </xf>
    <xf numFmtId="0" fontId="76" fillId="6" borderId="2" xfId="0" applyFont="1" applyFill="1" applyBorder="1" applyAlignment="1" applyProtection="1">
      <alignment horizontal="center" vertical="center"/>
      <protection locked="0"/>
    </xf>
    <xf numFmtId="179" fontId="76" fillId="5" borderId="0" xfId="0" applyNumberFormat="1" applyFont="1" applyFill="1" applyBorder="1" applyAlignment="1" applyProtection="1">
      <alignment vertical="center" wrapText="1"/>
    </xf>
    <xf numFmtId="0" fontId="76" fillId="6" borderId="2" xfId="0" applyFont="1" applyFill="1" applyBorder="1" applyAlignment="1" applyProtection="1">
      <alignment horizontal="center" vertical="center" wrapText="1"/>
      <protection locked="0"/>
    </xf>
    <xf numFmtId="0" fontId="22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230" fillId="0" borderId="0" xfId="0" applyFont="1" applyAlignment="1" applyProtection="1">
      <alignment horizontal="left" vertical="center"/>
    </xf>
    <xf numFmtId="0" fontId="231" fillId="0" borderId="0" xfId="0" applyFont="1" applyAlignment="1" applyProtection="1">
      <alignment horizontal="left" vertical="center" wrapText="1"/>
      <protection locked="0"/>
    </xf>
    <xf numFmtId="0" fontId="229" fillId="0" borderId="0" xfId="0" applyFont="1" applyFill="1" applyAlignment="1" applyProtection="1">
      <alignment horizontal="left" vertical="center" wrapText="1"/>
    </xf>
    <xf numFmtId="0" fontId="232" fillId="0" borderId="0" xfId="0" applyFont="1" applyAlignment="1" applyProtection="1">
      <alignment horizontal="left" vertical="center"/>
    </xf>
    <xf numFmtId="0" fontId="199" fillId="0" borderId="0" xfId="0" applyFont="1" applyAlignment="1" applyProtection="1">
      <alignment horizontal="left" vertical="center"/>
    </xf>
    <xf numFmtId="0" fontId="229" fillId="0" borderId="0" xfId="0" applyFont="1" applyAlignment="1" applyProtection="1">
      <alignment horizontal="left" vertical="center"/>
      <protection locked="0"/>
    </xf>
    <xf numFmtId="0" fontId="233" fillId="0" borderId="0" xfId="0" applyFont="1" applyAlignment="1">
      <alignment horizontal="right" vertical="center" wrapText="1"/>
    </xf>
    <xf numFmtId="0" fontId="0" fillId="0" borderId="0" xfId="0" applyFont="1" applyAlignment="1">
      <alignment vertical="center" wrapText="1"/>
    </xf>
    <xf numFmtId="0" fontId="233" fillId="0" borderId="0" xfId="0" applyFont="1" applyAlignment="1">
      <alignment vertical="center" wrapText="1"/>
    </xf>
    <xf numFmtId="0" fontId="73" fillId="5" borderId="4" xfId="0" applyFont="1" applyFill="1" applyBorder="1" applyAlignment="1" applyProtection="1">
      <alignment horizontal="right" vertical="center"/>
    </xf>
    <xf numFmtId="0" fontId="16" fillId="5" borderId="2" xfId="0" applyFont="1" applyFill="1" applyBorder="1" applyProtection="1">
      <alignment vertical="center"/>
    </xf>
    <xf numFmtId="0" fontId="16" fillId="6" borderId="2" xfId="0" applyFont="1" applyFill="1" applyBorder="1" applyAlignment="1" applyProtection="1">
      <alignment horizontal="center" vertical="center"/>
      <protection locked="0"/>
    </xf>
    <xf numFmtId="0" fontId="16" fillId="6" borderId="2" xfId="0" applyFont="1" applyFill="1" applyBorder="1" applyAlignment="1" applyProtection="1">
      <alignment horizontal="center" vertical="center" wrapText="1"/>
      <protection locked="0"/>
    </xf>
    <xf numFmtId="0" fontId="234" fillId="0" borderId="0" xfId="0" applyFont="1">
      <alignment vertical="center"/>
    </xf>
    <xf numFmtId="0" fontId="235" fillId="0" borderId="0" xfId="0" applyFont="1">
      <alignment vertical="center"/>
    </xf>
    <xf numFmtId="0" fontId="234" fillId="0" borderId="0" xfId="0" applyFont="1" applyAlignment="1">
      <alignment horizontal="right" vertical="center"/>
    </xf>
    <xf numFmtId="0" fontId="234" fillId="0" borderId="2" xfId="0" applyFont="1" applyBorder="1" applyAlignment="1">
      <alignment horizontal="center" vertical="center" wrapText="1"/>
    </xf>
    <xf numFmtId="0" fontId="236" fillId="0" borderId="2" xfId="0" applyFont="1" applyBorder="1" applyAlignment="1">
      <alignment horizontal="center" vertical="center" wrapText="1"/>
    </xf>
    <xf numFmtId="0" fontId="237" fillId="0" borderId="2" xfId="0" applyFont="1" applyBorder="1" applyAlignment="1">
      <alignment horizontal="center" vertical="center" wrapText="1"/>
    </xf>
    <xf numFmtId="0" fontId="234" fillId="0" borderId="0" xfId="0" applyFont="1" applyAlignment="1">
      <alignment horizontal="left" vertical="center"/>
    </xf>
    <xf numFmtId="0" fontId="235" fillId="0" borderId="0" xfId="0" applyFont="1" applyAlignment="1">
      <alignment vertical="center"/>
    </xf>
    <xf numFmtId="0" fontId="235" fillId="0" borderId="0" xfId="0" applyFont="1" applyAlignment="1">
      <alignment vertical="center" wrapText="1"/>
    </xf>
    <xf numFmtId="182" fontId="69" fillId="0" borderId="5" xfId="0" applyNumberFormat="1" applyFont="1" applyFill="1" applyBorder="1" applyAlignment="1" applyProtection="1">
      <alignment horizontal="center" vertical="center"/>
      <protection locked="0"/>
    </xf>
    <xf numFmtId="0" fontId="15" fillId="5" borderId="29" xfId="0" applyFont="1" applyFill="1" applyBorder="1" applyAlignment="1" applyProtection="1">
      <alignment horizontal="center" vertical="center" wrapText="1"/>
    </xf>
    <xf numFmtId="0" fontId="15" fillId="5" borderId="6"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xf>
    <xf numFmtId="0" fontId="74" fillId="5" borderId="27" xfId="0" applyFont="1" applyFill="1" applyBorder="1" applyAlignment="1" applyProtection="1">
      <alignment horizontal="center" vertical="center"/>
    </xf>
    <xf numFmtId="0" fontId="74" fillId="5" borderId="17" xfId="0" applyFont="1" applyFill="1" applyBorder="1" applyAlignment="1" applyProtection="1">
      <alignment horizontal="left" vertical="center"/>
    </xf>
    <xf numFmtId="0" fontId="74" fillId="5" borderId="32" xfId="0" applyFont="1" applyFill="1" applyBorder="1" applyAlignment="1" applyProtection="1">
      <alignment vertical="center"/>
    </xf>
    <xf numFmtId="0" fontId="74" fillId="5" borderId="18" xfId="0" applyFont="1" applyFill="1" applyBorder="1" applyAlignment="1" applyProtection="1">
      <alignment vertical="center"/>
    </xf>
    <xf numFmtId="0" fontId="74" fillId="5" borderId="20" xfId="0" applyFont="1" applyFill="1" applyBorder="1" applyAlignment="1" applyProtection="1">
      <alignment vertical="center"/>
    </xf>
    <xf numFmtId="0" fontId="83" fillId="5" borderId="32"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21" xfId="0" applyFont="1" applyFill="1" applyBorder="1" applyAlignment="1" applyProtection="1">
      <alignment horizontal="left" vertical="center"/>
    </xf>
    <xf numFmtId="49" fontId="74" fillId="5" borderId="52" xfId="0" applyNumberFormat="1" applyFont="1" applyFill="1" applyBorder="1" applyAlignment="1" applyProtection="1">
      <alignment horizontal="center" vertical="center"/>
    </xf>
    <xf numFmtId="49" fontId="83" fillId="5" borderId="49" xfId="0" applyNumberFormat="1" applyFont="1" applyFill="1" applyBorder="1" applyAlignment="1" applyProtection="1">
      <alignment horizontal="left" vertical="center"/>
    </xf>
    <xf numFmtId="49" fontId="74" fillId="5" borderId="22" xfId="0" applyNumberFormat="1" applyFont="1" applyFill="1" applyBorder="1" applyAlignment="1" applyProtection="1">
      <alignment horizontal="left" vertical="center"/>
    </xf>
    <xf numFmtId="49" fontId="74" fillId="5" borderId="49" xfId="0" applyNumberFormat="1" applyFont="1" applyFill="1" applyBorder="1" applyAlignment="1" applyProtection="1">
      <alignment horizontal="left" vertical="center"/>
    </xf>
    <xf numFmtId="49" fontId="74" fillId="5" borderId="10" xfId="0" applyNumberFormat="1" applyFont="1" applyFill="1" applyBorder="1" applyAlignment="1" applyProtection="1">
      <alignment horizontal="left" vertical="center"/>
    </xf>
    <xf numFmtId="49" fontId="74" fillId="5" borderId="21" xfId="0" applyNumberFormat="1" applyFont="1" applyFill="1" applyBorder="1" applyAlignment="1" applyProtection="1">
      <alignment vertical="center"/>
    </xf>
    <xf numFmtId="0" fontId="74" fillId="5" borderId="3" xfId="0" applyFont="1" applyFill="1" applyBorder="1" applyAlignment="1" applyProtection="1">
      <alignment horizontal="left" vertical="center"/>
    </xf>
    <xf numFmtId="0" fontId="76" fillId="5" borderId="9" xfId="0" applyFont="1" applyFill="1" applyBorder="1" applyAlignment="1" applyProtection="1">
      <alignment vertical="center"/>
    </xf>
    <xf numFmtId="0" fontId="76" fillId="2" borderId="9" xfId="0" applyFont="1" applyFill="1" applyBorder="1" applyAlignment="1" applyProtection="1">
      <alignment vertical="center"/>
    </xf>
    <xf numFmtId="0" fontId="76" fillId="0" borderId="5" xfId="0" applyFont="1" applyBorder="1" applyAlignment="1" applyProtection="1">
      <alignment horizontal="center" vertical="center" wrapText="1"/>
    </xf>
    <xf numFmtId="49" fontId="76" fillId="0" borderId="5" xfId="0" applyNumberFormat="1" applyFont="1" applyBorder="1" applyAlignment="1" applyProtection="1">
      <alignment vertical="center" wrapText="1"/>
    </xf>
    <xf numFmtId="0" fontId="76" fillId="0" borderId="0" xfId="0" applyFont="1" applyAlignment="1" applyProtection="1">
      <alignment vertical="center"/>
      <protection locked="0"/>
    </xf>
    <xf numFmtId="0" fontId="76" fillId="6" borderId="71" xfId="0" applyFont="1" applyFill="1" applyBorder="1" applyAlignment="1" applyProtection="1">
      <alignment vertical="center" wrapText="1"/>
      <protection locked="0"/>
    </xf>
    <xf numFmtId="0" fontId="76" fillId="6" borderId="5" xfId="0" applyFont="1" applyFill="1" applyBorder="1" applyAlignment="1" applyProtection="1">
      <alignment vertical="center" wrapText="1"/>
      <protection locked="0"/>
    </xf>
    <xf numFmtId="0" fontId="76" fillId="6" borderId="8" xfId="0" applyFont="1" applyFill="1" applyBorder="1" applyAlignment="1" applyProtection="1">
      <alignment horizontal="center" vertical="center" wrapText="1"/>
      <protection locked="0"/>
    </xf>
    <xf numFmtId="0" fontId="76" fillId="5" borderId="71" xfId="0" applyFont="1" applyFill="1" applyBorder="1" applyAlignment="1" applyProtection="1">
      <alignment vertical="center" wrapText="1"/>
    </xf>
    <xf numFmtId="0" fontId="69" fillId="0" borderId="2" xfId="0" applyFont="1" applyFill="1" applyBorder="1" applyAlignment="1" applyProtection="1">
      <alignment horizontal="center" vertical="center"/>
      <protection locked="0"/>
    </xf>
    <xf numFmtId="49" fontId="55" fillId="5" borderId="58" xfId="0" applyNumberFormat="1" applyFont="1" applyFill="1" applyBorder="1" applyAlignment="1" applyProtection="1">
      <alignment vertical="center"/>
    </xf>
    <xf numFmtId="49" fontId="55"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91" fillId="5" borderId="2" xfId="4" applyFont="1" applyFill="1" applyBorder="1" applyAlignment="1" applyProtection="1">
      <alignment horizontal="center" vertical="center"/>
    </xf>
    <xf numFmtId="0" fontId="203" fillId="0" borderId="43" xfId="4" applyNumberFormat="1" applyFont="1" applyFill="1" applyBorder="1" applyAlignment="1" applyProtection="1">
      <alignment horizontal="center" vertical="center" wrapText="1"/>
      <protection locked="0"/>
    </xf>
    <xf numFmtId="0" fontId="238" fillId="5" borderId="0" xfId="0" applyFont="1" applyFill="1" applyAlignment="1" applyProtection="1">
      <alignment horizontal="center" vertical="center"/>
    </xf>
    <xf numFmtId="0" fontId="206" fillId="5" borderId="39" xfId="0" applyFont="1" applyFill="1" applyBorder="1" applyAlignment="1" applyProtection="1">
      <alignment horizontal="center" vertical="center"/>
    </xf>
    <xf numFmtId="0" fontId="206" fillId="5" borderId="52" xfId="0" applyFont="1" applyFill="1" applyBorder="1" applyAlignment="1" applyProtection="1">
      <alignment vertical="center" wrapText="1"/>
    </xf>
    <xf numFmtId="0" fontId="206" fillId="5" borderId="10" xfId="0" applyFont="1" applyFill="1" applyBorder="1" applyAlignment="1" applyProtection="1">
      <alignment horizontal="center" vertical="center"/>
    </xf>
    <xf numFmtId="0" fontId="205" fillId="5" borderId="52" xfId="0" applyFont="1" applyFill="1" applyBorder="1" applyAlignment="1" applyProtection="1">
      <alignment vertical="center" wrapText="1"/>
    </xf>
    <xf numFmtId="0" fontId="205" fillId="5" borderId="6" xfId="0" applyFont="1" applyFill="1" applyBorder="1" applyAlignment="1" applyProtection="1">
      <alignment horizontal="center" vertical="center" wrapText="1"/>
    </xf>
    <xf numFmtId="10" fontId="191" fillId="0" borderId="6" xfId="0" applyNumberFormat="1" applyFont="1" applyBorder="1" applyAlignment="1">
      <alignment horizontal="center" vertical="center" wrapText="1"/>
    </xf>
    <xf numFmtId="10" fontId="191" fillId="0" borderId="7" xfId="0" applyNumberFormat="1" applyFont="1" applyBorder="1" applyAlignment="1">
      <alignment horizontal="center" vertical="center" wrapText="1"/>
    </xf>
    <xf numFmtId="0" fontId="205" fillId="5" borderId="2" xfId="0" applyFont="1" applyFill="1" applyBorder="1" applyAlignment="1" applyProtection="1">
      <alignment horizontal="center" vertical="center" wrapText="1"/>
    </xf>
    <xf numFmtId="10" fontId="191" fillId="0" borderId="2" xfId="0" applyNumberFormat="1" applyFont="1" applyBorder="1" applyAlignment="1">
      <alignment horizontal="center" vertical="center" wrapText="1"/>
    </xf>
    <xf numFmtId="10" fontId="191" fillId="0" borderId="12" xfId="0" applyNumberFormat="1" applyFont="1" applyBorder="1" applyAlignment="1">
      <alignment horizontal="center" vertical="center" wrapText="1"/>
    </xf>
    <xf numFmtId="0" fontId="205" fillId="5" borderId="21" xfId="0" applyFont="1" applyFill="1" applyBorder="1" applyAlignment="1" applyProtection="1">
      <alignment horizontal="center" vertical="center" wrapText="1"/>
    </xf>
    <xf numFmtId="0" fontId="205" fillId="5" borderId="33" xfId="0" applyFont="1" applyFill="1" applyBorder="1" applyAlignment="1" applyProtection="1">
      <alignment vertical="center" wrapText="1"/>
    </xf>
    <xf numFmtId="0" fontId="205" fillId="5" borderId="54" xfId="0" applyFont="1" applyFill="1" applyBorder="1" applyAlignment="1" applyProtection="1">
      <alignment horizontal="center" vertical="center" wrapText="1"/>
    </xf>
    <xf numFmtId="10" fontId="191" fillId="0" borderId="43" xfId="0" applyNumberFormat="1" applyFont="1" applyBorder="1" applyAlignment="1">
      <alignment horizontal="center" vertical="center" wrapText="1"/>
    </xf>
    <xf numFmtId="10" fontId="0" fillId="0" borderId="60"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205" fillId="5" borderId="43" xfId="0" applyFont="1" applyFill="1" applyBorder="1" applyAlignment="1" applyProtection="1">
      <alignment horizontal="center" vertical="center" wrapText="1"/>
    </xf>
    <xf numFmtId="10" fontId="191" fillId="0" borderId="45" xfId="0" applyNumberFormat="1" applyFont="1" applyBorder="1" applyAlignment="1">
      <alignment horizontal="center" vertical="center" wrapText="1"/>
    </xf>
    <xf numFmtId="0" fontId="205" fillId="5" borderId="10" xfId="0" applyFont="1" applyFill="1" applyBorder="1" applyAlignment="1" applyProtection="1">
      <alignment horizontal="center" vertical="center" wrapText="1"/>
    </xf>
    <xf numFmtId="10" fontId="191" fillId="0" borderId="10" xfId="0" applyNumberFormat="1" applyFont="1" applyBorder="1" applyAlignment="1">
      <alignment horizontal="center" vertical="center" wrapText="1"/>
    </xf>
    <xf numFmtId="0" fontId="205" fillId="5" borderId="81" xfId="0" applyFont="1" applyFill="1" applyBorder="1" applyAlignment="1" applyProtection="1">
      <alignment horizontal="center" vertical="center" wrapText="1"/>
    </xf>
    <xf numFmtId="10" fontId="0" fillId="0" borderId="36" xfId="0" applyNumberFormat="1" applyBorder="1">
      <alignment vertical="center"/>
    </xf>
    <xf numFmtId="10" fontId="191" fillId="0" borderId="61" xfId="0" applyNumberFormat="1" applyFont="1" applyBorder="1" applyAlignment="1">
      <alignment horizontal="center" vertical="center" wrapText="1"/>
    </xf>
    <xf numFmtId="0" fontId="205" fillId="5" borderId="24" xfId="0" applyFont="1" applyFill="1" applyBorder="1" applyAlignment="1" applyProtection="1">
      <alignment vertical="center" wrapText="1"/>
    </xf>
    <xf numFmtId="10" fontId="191" fillId="0" borderId="50" xfId="0" applyNumberFormat="1" applyFont="1" applyBorder="1" applyAlignment="1">
      <alignment horizontal="center" vertical="center" wrapText="1"/>
    </xf>
    <xf numFmtId="10" fontId="0" fillId="0" borderId="38"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88" fillId="5" borderId="1" xfId="0" applyNumberFormat="1" applyFont="1" applyFill="1" applyBorder="1" applyAlignment="1" applyProtection="1">
      <alignment horizontal="center" vertical="center"/>
    </xf>
    <xf numFmtId="0" fontId="188" fillId="5" borderId="29" xfId="0" applyNumberFormat="1" applyFont="1" applyFill="1" applyBorder="1" applyProtection="1">
      <alignment vertical="center"/>
    </xf>
    <xf numFmtId="10" fontId="84" fillId="5" borderId="7" xfId="4" applyNumberFormat="1" applyFont="1" applyFill="1" applyBorder="1" applyAlignment="1" applyProtection="1">
      <alignment vertical="center" wrapText="1"/>
    </xf>
    <xf numFmtId="0" fontId="188" fillId="5" borderId="11" xfId="0" applyNumberFormat="1" applyFont="1" applyFill="1" applyBorder="1" applyAlignment="1" applyProtection="1">
      <alignment horizontal="center" vertical="center"/>
    </xf>
    <xf numFmtId="0" fontId="188" fillId="5" borderId="5" xfId="0" applyNumberFormat="1" applyFont="1" applyFill="1" applyBorder="1" applyProtection="1">
      <alignment vertical="center"/>
    </xf>
    <xf numFmtId="10" fontId="84" fillId="5" borderId="12" xfId="4" applyNumberFormat="1" applyFont="1" applyFill="1" applyBorder="1" applyAlignment="1" applyProtection="1">
      <alignment vertical="center" wrapText="1"/>
    </xf>
    <xf numFmtId="0" fontId="188" fillId="5" borderId="42" xfId="0" applyNumberFormat="1" applyFont="1" applyFill="1" applyBorder="1" applyAlignment="1" applyProtection="1">
      <alignment horizontal="center" vertical="center"/>
    </xf>
    <xf numFmtId="0" fontId="188" fillId="5" borderId="44" xfId="0" applyNumberFormat="1" applyFont="1" applyFill="1" applyBorder="1" applyProtection="1">
      <alignment vertical="center"/>
    </xf>
    <xf numFmtId="10" fontId="84" fillId="5" borderId="45" xfId="4" applyNumberFormat="1" applyFont="1" applyFill="1" applyBorder="1" applyAlignment="1" applyProtection="1">
      <alignment vertical="center" wrapText="1"/>
    </xf>
    <xf numFmtId="0" fontId="45" fillId="5" borderId="5" xfId="4" applyFont="1" applyFill="1" applyBorder="1" applyAlignment="1" applyProtection="1">
      <alignment vertical="center" wrapText="1"/>
    </xf>
    <xf numFmtId="0" fontId="45" fillId="5" borderId="8" xfId="4" applyFont="1" applyFill="1" applyBorder="1" applyAlignment="1" applyProtection="1">
      <alignment vertical="center" wrapText="1"/>
    </xf>
    <xf numFmtId="0" fontId="45" fillId="5" borderId="9" xfId="4" applyFont="1" applyFill="1" applyBorder="1" applyAlignment="1" applyProtection="1">
      <alignment vertical="center" wrapText="1"/>
    </xf>
    <xf numFmtId="0" fontId="45" fillId="5" borderId="2" xfId="4" applyFont="1" applyFill="1" applyBorder="1" applyAlignment="1" applyProtection="1">
      <alignment vertical="center" wrapText="1"/>
    </xf>
    <xf numFmtId="0" fontId="50" fillId="5" borderId="5" xfId="0" applyFont="1" applyFill="1" applyBorder="1" applyAlignment="1" applyProtection="1">
      <alignment horizontal="center" vertical="center" wrapText="1"/>
    </xf>
    <xf numFmtId="0" fontId="50" fillId="5" borderId="73" xfId="0" applyNumberFormat="1" applyFont="1" applyFill="1" applyBorder="1" applyAlignment="1" applyProtection="1">
      <alignment horizontal="center" vertical="center" wrapText="1"/>
    </xf>
    <xf numFmtId="0" fontId="104" fillId="5" borderId="49" xfId="0" applyFont="1" applyFill="1" applyBorder="1" applyAlignment="1" applyProtection="1">
      <alignment horizontal="center" vertical="center"/>
    </xf>
    <xf numFmtId="0" fontId="104" fillId="0" borderId="21" xfId="0" applyFont="1" applyBorder="1" applyAlignment="1" applyProtection="1">
      <alignment horizontal="center" vertical="center"/>
      <protection locked="0"/>
    </xf>
    <xf numFmtId="0" fontId="104" fillId="0" borderId="17" xfId="0" applyFont="1" applyBorder="1" applyAlignment="1" applyProtection="1">
      <alignment horizontal="center" vertical="center"/>
      <protection locked="0"/>
    </xf>
    <xf numFmtId="0" fontId="104" fillId="0" borderId="91" xfId="0" applyFont="1" applyFill="1" applyBorder="1" applyAlignment="1" applyProtection="1">
      <alignment horizontal="center" vertical="center"/>
      <protection locked="0"/>
    </xf>
    <xf numFmtId="0" fontId="104" fillId="0" borderId="50" xfId="0" applyFont="1" applyBorder="1" applyAlignment="1" applyProtection="1">
      <alignment horizontal="center" vertical="center"/>
      <protection locked="0"/>
    </xf>
    <xf numFmtId="186" fontId="104" fillId="5" borderId="50" xfId="0" applyNumberFormat="1" applyFont="1" applyFill="1" applyBorder="1" applyAlignment="1" applyProtection="1">
      <alignment horizontal="center" vertical="center"/>
    </xf>
    <xf numFmtId="0" fontId="104" fillId="5" borderId="11"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0" borderId="5" xfId="0" applyFont="1" applyBorder="1" applyAlignment="1" applyProtection="1">
      <alignment horizontal="center" vertical="center"/>
      <protection locked="0"/>
    </xf>
    <xf numFmtId="0" fontId="104" fillId="0" borderId="92" xfId="0" applyFont="1" applyFill="1" applyBorder="1" applyAlignment="1" applyProtection="1">
      <alignment horizontal="center" vertical="center"/>
      <protection locked="0"/>
    </xf>
    <xf numFmtId="0" fontId="104" fillId="0" borderId="12" xfId="0" applyFont="1" applyBorder="1" applyAlignment="1" applyProtection="1">
      <alignment horizontal="center" vertical="center"/>
      <protection locked="0"/>
    </xf>
    <xf numFmtId="0" fontId="104" fillId="5" borderId="12" xfId="0" applyFont="1" applyFill="1" applyBorder="1" applyAlignment="1" applyProtection="1">
      <alignment horizontal="center" vertical="center"/>
    </xf>
    <xf numFmtId="179" fontId="104" fillId="5" borderId="12" xfId="0" applyNumberFormat="1" applyFont="1" applyFill="1" applyBorder="1" applyAlignment="1" applyProtection="1">
      <alignment horizontal="center" vertical="center"/>
    </xf>
    <xf numFmtId="179" fontId="104" fillId="0" borderId="12" xfId="0" applyNumberFormat="1" applyFont="1" applyBorder="1" applyAlignment="1" applyProtection="1">
      <alignment horizontal="center" vertical="center"/>
      <protection locked="0"/>
    </xf>
    <xf numFmtId="0" fontId="188" fillId="0" borderId="92" xfId="0" applyFont="1" applyFill="1" applyBorder="1" applyAlignment="1" applyProtection="1">
      <alignment horizontal="center" vertical="center"/>
      <protection locked="0"/>
    </xf>
    <xf numFmtId="0" fontId="104" fillId="5" borderId="43" xfId="0" applyFont="1" applyFill="1" applyBorder="1" applyAlignment="1" applyProtection="1">
      <alignment horizontal="center" vertical="center"/>
    </xf>
    <xf numFmtId="0" fontId="104" fillId="0" borderId="43" xfId="0" applyFont="1" applyBorder="1" applyAlignment="1" applyProtection="1">
      <alignment horizontal="center" vertical="center"/>
      <protection locked="0"/>
    </xf>
    <xf numFmtId="179" fontId="104" fillId="5" borderId="45" xfId="0" applyNumberFormat="1" applyFont="1" applyFill="1" applyBorder="1" applyAlignment="1" applyProtection="1">
      <alignment horizontal="center" vertical="center"/>
    </xf>
    <xf numFmtId="0" fontId="239" fillId="0" borderId="0" xfId="0" applyFont="1" applyFill="1" applyAlignment="1" applyProtection="1">
      <alignment horizontal="left" vertical="center"/>
      <protection locked="0"/>
    </xf>
    <xf numFmtId="0" fontId="56" fillId="0" borderId="0" xfId="0" applyFont="1" applyFill="1" applyAlignment="1" applyProtection="1">
      <alignment horizontal="center" vertical="center"/>
      <protection locked="0"/>
    </xf>
    <xf numFmtId="188" fontId="56" fillId="0" borderId="0" xfId="0" applyNumberFormat="1" applyFont="1" applyFill="1" applyAlignment="1" applyProtection="1">
      <alignment horizontal="center" vertical="center"/>
      <protection locked="0"/>
    </xf>
    <xf numFmtId="0" fontId="199" fillId="5" borderId="26" xfId="0" applyFont="1" applyFill="1" applyBorder="1" applyAlignment="1" applyProtection="1">
      <alignment horizontal="center" vertical="center"/>
    </xf>
    <xf numFmtId="0" fontId="138" fillId="5" borderId="28" xfId="0" applyFont="1" applyFill="1" applyBorder="1" applyAlignment="1" applyProtection="1">
      <alignment horizontal="center" vertical="center"/>
    </xf>
    <xf numFmtId="0" fontId="56" fillId="5" borderId="28" xfId="0" applyFont="1" applyFill="1" applyBorder="1" applyAlignment="1" applyProtection="1">
      <alignment horizontal="center" vertical="center"/>
    </xf>
    <xf numFmtId="0" fontId="56" fillId="5" borderId="38" xfId="0" applyFont="1" applyFill="1" applyBorder="1" applyAlignment="1" applyProtection="1">
      <alignment horizontal="center" vertical="center"/>
    </xf>
    <xf numFmtId="0" fontId="199" fillId="5" borderId="28" xfId="0" applyFont="1" applyFill="1" applyBorder="1" applyAlignment="1" applyProtection="1">
      <alignment horizontal="center" vertical="center"/>
    </xf>
    <xf numFmtId="0" fontId="138" fillId="5" borderId="38" xfId="0" applyFont="1" applyFill="1" applyBorder="1" applyAlignment="1" applyProtection="1">
      <alignment horizontal="center" vertical="center"/>
    </xf>
    <xf numFmtId="0" fontId="138" fillId="5" borderId="87" xfId="0" applyFont="1" applyFill="1" applyBorder="1" applyProtection="1">
      <alignment vertical="center"/>
    </xf>
    <xf numFmtId="0" fontId="199" fillId="5" borderId="2" xfId="0" applyFont="1" applyFill="1" applyBorder="1" applyAlignment="1" applyProtection="1">
      <alignment horizontal="center" vertical="center"/>
    </xf>
    <xf numFmtId="0" fontId="199" fillId="5" borderId="5" xfId="0" applyFont="1" applyFill="1" applyBorder="1" applyAlignment="1" applyProtection="1">
      <alignment horizontal="center" vertical="center"/>
    </xf>
    <xf numFmtId="0" fontId="199" fillId="5" borderId="92" xfId="0" applyFont="1" applyFill="1" applyBorder="1" applyAlignment="1" applyProtection="1">
      <alignment horizontal="center" vertical="center"/>
    </xf>
    <xf numFmtId="0" fontId="199" fillId="5" borderId="12" xfId="0" applyFont="1" applyFill="1" applyBorder="1" applyAlignment="1" applyProtection="1">
      <alignment horizontal="center" vertical="center"/>
    </xf>
    <xf numFmtId="0" fontId="138" fillId="5" borderId="19" xfId="0" applyFont="1" applyFill="1" applyBorder="1" applyAlignment="1" applyProtection="1">
      <alignment horizontal="center" vertical="center"/>
    </xf>
    <xf numFmtId="0" fontId="199" fillId="0" borderId="21" xfId="0" applyFont="1" applyBorder="1" applyAlignment="1" applyProtection="1">
      <alignment horizontal="center" vertical="center"/>
      <protection locked="0"/>
    </xf>
    <xf numFmtId="0" fontId="199" fillId="5" borderId="20" xfId="0" applyFont="1" applyFill="1" applyBorder="1" applyAlignment="1" applyProtection="1">
      <alignment horizontal="center" vertical="center"/>
    </xf>
    <xf numFmtId="0" fontId="138" fillId="0" borderId="2" xfId="0" applyFont="1" applyBorder="1" applyAlignment="1" applyProtection="1">
      <alignment horizontal="center" vertical="center"/>
      <protection locked="0"/>
    </xf>
    <xf numFmtId="0" fontId="199" fillId="5" borderId="9" xfId="0" applyFont="1" applyFill="1" applyBorder="1" applyAlignment="1" applyProtection="1">
      <alignment horizontal="center" vertical="center"/>
    </xf>
    <xf numFmtId="0" fontId="199" fillId="0" borderId="2" xfId="0" applyFont="1" applyBorder="1" applyAlignment="1" applyProtection="1">
      <alignment horizontal="center" vertical="center"/>
      <protection locked="0"/>
    </xf>
    <xf numFmtId="0" fontId="199" fillId="5" borderId="42" xfId="0" applyFont="1" applyFill="1" applyBorder="1" applyAlignment="1" applyProtection="1">
      <alignment horizontal="center" vertical="center"/>
    </xf>
    <xf numFmtId="0" fontId="138" fillId="5" borderId="60" xfId="0" applyFont="1" applyFill="1" applyBorder="1" applyAlignment="1" applyProtection="1">
      <alignment horizontal="center" vertical="center"/>
    </xf>
    <xf numFmtId="0" fontId="138" fillId="5" borderId="93" xfId="0" applyFont="1" applyFill="1" applyBorder="1" applyAlignment="1" applyProtection="1">
      <alignment horizontal="left" vertical="center"/>
    </xf>
    <xf numFmtId="0" fontId="56" fillId="5" borderId="60" xfId="0" applyFont="1" applyFill="1" applyBorder="1" applyAlignment="1" applyProtection="1">
      <alignment horizontal="center" vertical="center"/>
    </xf>
    <xf numFmtId="0" fontId="56" fillId="5" borderId="66" xfId="0" applyFont="1" applyFill="1" applyBorder="1" applyAlignment="1" applyProtection="1">
      <alignment horizontal="center" vertical="center"/>
    </xf>
    <xf numFmtId="0" fontId="199" fillId="5" borderId="46" xfId="0" applyFont="1" applyFill="1" applyBorder="1" applyAlignment="1" applyProtection="1">
      <alignment horizontal="center" vertical="center"/>
    </xf>
    <xf numFmtId="10" fontId="9" fillId="6" borderId="16" xfId="0" applyNumberFormat="1" applyFont="1" applyFill="1" applyBorder="1" applyAlignment="1" applyProtection="1">
      <alignment horizontal="left" vertical="center" wrapText="1"/>
      <protection locked="0"/>
    </xf>
    <xf numFmtId="0" fontId="198" fillId="0" borderId="11" xfId="0" applyFont="1" applyFill="1" applyBorder="1" applyProtection="1">
      <alignment vertical="center"/>
      <protection locked="0"/>
    </xf>
    <xf numFmtId="0" fontId="234" fillId="0" borderId="2" xfId="0" applyFont="1" applyBorder="1" applyAlignment="1">
      <alignment horizontal="left" vertical="center" wrapText="1"/>
    </xf>
    <xf numFmtId="0" fontId="107" fillId="5" borderId="2" xfId="0" applyFont="1" applyFill="1" applyBorder="1" applyAlignment="1" applyProtection="1">
      <alignment horizontal="center" vertical="center"/>
    </xf>
    <xf numFmtId="0" fontId="240" fillId="5" borderId="11" xfId="0" applyFont="1" applyFill="1" applyBorder="1" applyAlignment="1" applyProtection="1">
      <alignment horizontal="center" vertical="center"/>
    </xf>
    <xf numFmtId="0" fontId="107" fillId="6" borderId="11" xfId="0" applyFont="1" applyFill="1" applyBorder="1" applyAlignment="1" applyProtection="1">
      <alignment horizontal="center" vertical="center"/>
      <protection locked="0"/>
    </xf>
    <xf numFmtId="0" fontId="240" fillId="5" borderId="42" xfId="0" applyFont="1" applyFill="1" applyBorder="1" applyAlignment="1" applyProtection="1">
      <alignment horizontal="center" vertical="center"/>
    </xf>
    <xf numFmtId="49" fontId="107" fillId="5" borderId="2" xfId="0" applyNumberFormat="1" applyFont="1" applyFill="1" applyBorder="1" applyAlignment="1" applyProtection="1">
      <alignment horizontal="center" vertical="center"/>
    </xf>
    <xf numFmtId="49" fontId="107" fillId="5" borderId="43" xfId="0" applyNumberFormat="1" applyFont="1" applyFill="1" applyBorder="1" applyAlignment="1" applyProtection="1">
      <alignment horizontal="center" vertical="center"/>
    </xf>
    <xf numFmtId="178" fontId="84" fillId="5" borderId="5" xfId="3" applyNumberFormat="1" applyFont="1" applyFill="1" applyBorder="1" applyAlignment="1" applyProtection="1">
      <alignment horizontal="center"/>
    </xf>
    <xf numFmtId="0" fontId="82" fillId="5" borderId="29" xfId="0" applyFont="1" applyFill="1" applyBorder="1" applyAlignment="1" applyProtection="1">
      <alignment horizontal="center" vertical="center"/>
    </xf>
    <xf numFmtId="0" fontId="198" fillId="5" borderId="9" xfId="0" applyFont="1" applyFill="1" applyBorder="1" applyAlignment="1" applyProtection="1">
      <alignment horizontal="center" vertical="center"/>
    </xf>
    <xf numFmtId="0" fontId="191" fillId="5" borderId="9" xfId="0" applyFont="1" applyFill="1" applyBorder="1" applyAlignment="1" applyProtection="1">
      <alignment horizontal="center" vertical="center"/>
    </xf>
    <xf numFmtId="0" fontId="191" fillId="5" borderId="12" xfId="0" applyNumberFormat="1" applyFont="1" applyFill="1" applyBorder="1" applyAlignment="1" applyProtection="1">
      <alignment horizontal="center" vertical="center"/>
    </xf>
    <xf numFmtId="49" fontId="191" fillId="5" borderId="12" xfId="0" applyNumberFormat="1" applyFont="1" applyFill="1" applyBorder="1" applyAlignment="1" applyProtection="1">
      <alignment horizontal="center" vertical="center"/>
    </xf>
    <xf numFmtId="0" fontId="191" fillId="5" borderId="11" xfId="0" applyFont="1" applyFill="1" applyBorder="1" applyAlignment="1" applyProtection="1">
      <alignment horizontal="center" vertical="center"/>
    </xf>
    <xf numFmtId="0" fontId="191" fillId="5" borderId="42" xfId="0" applyFont="1" applyFill="1" applyBorder="1" applyAlignment="1" applyProtection="1">
      <alignment horizontal="center" vertical="center"/>
    </xf>
    <xf numFmtId="49" fontId="191" fillId="5" borderId="45" xfId="0" applyNumberFormat="1" applyFont="1" applyFill="1" applyBorder="1" applyAlignment="1" applyProtection="1">
      <alignment horizontal="center" vertical="center"/>
    </xf>
    <xf numFmtId="0" fontId="241" fillId="0" borderId="0" xfId="0" applyFont="1" applyFill="1" applyAlignment="1" applyProtection="1">
      <alignment horizontal="left" vertical="center"/>
      <protection locked="0"/>
    </xf>
    <xf numFmtId="0" fontId="40" fillId="5" borderId="2" xfId="3" applyFont="1" applyFill="1" applyBorder="1" applyAlignment="1" applyProtection="1">
      <alignment horizontal="left"/>
    </xf>
    <xf numFmtId="0" fontId="74" fillId="0" borderId="49"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left" vertical="center" wrapText="1"/>
      <protection locked="0"/>
    </xf>
    <xf numFmtId="0" fontId="74" fillId="5" borderId="94" xfId="0" applyNumberFormat="1" applyFont="1" applyFill="1" applyBorder="1" applyAlignment="1" applyProtection="1">
      <alignment horizontal="center" vertical="center" wrapText="1"/>
    </xf>
    <xf numFmtId="0" fontId="74" fillId="0" borderId="95" xfId="0" applyNumberFormat="1" applyFont="1" applyFill="1" applyBorder="1" applyAlignment="1" applyProtection="1">
      <alignment horizontal="center" vertical="center" wrapText="1"/>
      <protection locked="0"/>
    </xf>
    <xf numFmtId="0" fontId="84" fillId="0" borderId="96" xfId="0" applyNumberFormat="1" applyFont="1" applyFill="1" applyBorder="1" applyAlignment="1" applyProtection="1">
      <alignment horizontal="center" vertical="center" wrapText="1"/>
      <protection locked="0"/>
    </xf>
    <xf numFmtId="0" fontId="84" fillId="5" borderId="97" xfId="0" applyNumberFormat="1" applyFont="1" applyFill="1" applyBorder="1" applyAlignment="1" applyProtection="1">
      <alignment horizontal="center" vertical="center" wrapText="1"/>
    </xf>
    <xf numFmtId="0" fontId="74" fillId="5" borderId="95" xfId="0" applyNumberFormat="1" applyFont="1" applyFill="1" applyBorder="1" applyAlignment="1" applyProtection="1">
      <alignment horizontal="center" vertical="center" wrapText="1"/>
    </xf>
    <xf numFmtId="0" fontId="84" fillId="5" borderId="96" xfId="0" applyNumberFormat="1" applyFont="1" applyFill="1" applyBorder="1" applyAlignment="1" applyProtection="1">
      <alignment horizontal="center" vertical="center" wrapText="1"/>
    </xf>
    <xf numFmtId="0" fontId="84"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115" fillId="0" borderId="0" xfId="0" applyFont="1" applyProtection="1">
      <alignment vertical="center"/>
      <protection locked="0"/>
    </xf>
    <xf numFmtId="0" fontId="73"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xf>
    <xf numFmtId="0" fontId="191"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8" xfId="0" applyFont="1" applyFill="1" applyBorder="1" applyAlignment="1" applyProtection="1">
      <alignment horizontal="left" vertical="center" wrapText="1"/>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xf>
    <xf numFmtId="0" fontId="69" fillId="5" borderId="0" xfId="0" applyFont="1" applyFill="1" applyProtection="1">
      <alignment vertical="center"/>
      <protection locked="0"/>
    </xf>
    <xf numFmtId="0" fontId="69" fillId="0" borderId="0" xfId="0" applyFont="1" applyProtection="1">
      <alignment vertical="center"/>
      <protection locked="0"/>
    </xf>
    <xf numFmtId="177" fontId="69" fillId="0" borderId="0" xfId="0" applyNumberFormat="1" applyFont="1" applyProtection="1">
      <alignment vertical="center"/>
      <protection locked="0"/>
    </xf>
    <xf numFmtId="0" fontId="74" fillId="5" borderId="0" xfId="0" applyFont="1" applyFill="1" applyAlignment="1" applyProtection="1">
      <alignment vertical="center"/>
      <protection locked="0"/>
    </xf>
    <xf numFmtId="180" fontId="74" fillId="5" borderId="0" xfId="0" applyNumberFormat="1" applyFont="1" applyFill="1" applyAlignment="1" applyProtection="1">
      <alignment vertical="center"/>
      <protection locked="0"/>
    </xf>
    <xf numFmtId="0" fontId="74" fillId="5" borderId="0" xfId="0" applyFont="1" applyFill="1" applyAlignment="1" applyProtection="1">
      <alignment horizontal="center" vertical="center"/>
      <protection locked="0"/>
    </xf>
    <xf numFmtId="0" fontId="69" fillId="5" borderId="0" xfId="0" applyFont="1" applyFill="1" applyAlignment="1" applyProtection="1">
      <alignment vertical="center"/>
      <protection locked="0"/>
    </xf>
    <xf numFmtId="180" fontId="69" fillId="5" borderId="0" xfId="0" applyNumberFormat="1" applyFont="1" applyFill="1" applyAlignment="1" applyProtection="1">
      <alignment vertical="center"/>
      <protection locked="0"/>
    </xf>
    <xf numFmtId="0" fontId="69" fillId="5" borderId="0" xfId="0" applyFont="1" applyFill="1" applyAlignment="1" applyProtection="1">
      <alignment horizontal="center"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180" fontId="74" fillId="0" borderId="0" xfId="0" applyNumberFormat="1" applyFont="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74" fillId="5" borderId="0" xfId="0" applyFont="1" applyFill="1" applyProtection="1">
      <alignment vertical="center"/>
      <protection locked="0"/>
    </xf>
    <xf numFmtId="0" fontId="192" fillId="5" borderId="0" xfId="0" applyFont="1" applyFill="1" applyAlignment="1" applyProtection="1">
      <alignment horizontal="center" vertical="center"/>
      <protection locked="0"/>
    </xf>
    <xf numFmtId="0" fontId="197" fillId="5" borderId="0" xfId="0" applyFont="1" applyFill="1" applyBorder="1" applyAlignment="1" applyProtection="1">
      <alignment horizontal="center" vertical="center"/>
      <protection locked="0"/>
    </xf>
    <xf numFmtId="0" fontId="197" fillId="5" borderId="0" xfId="0" applyFont="1" applyFill="1" applyProtection="1">
      <alignment vertical="center"/>
      <protection locked="0"/>
    </xf>
    <xf numFmtId="0" fontId="67" fillId="5" borderId="0" xfId="0" applyFont="1" applyFill="1" applyBorder="1" applyAlignment="1" applyProtection="1">
      <alignment horizontal="center" vertical="center"/>
      <protection locked="0"/>
    </xf>
    <xf numFmtId="0" fontId="188" fillId="5" borderId="0" xfId="0" applyFont="1" applyFill="1" applyProtection="1">
      <alignment vertical="center"/>
      <protection locked="0"/>
    </xf>
    <xf numFmtId="9" fontId="74" fillId="5" borderId="0" xfId="0" applyNumberFormat="1" applyFont="1" applyFill="1" applyAlignment="1" applyProtection="1">
      <alignment horizontal="center" vertical="center"/>
      <protection locked="0"/>
    </xf>
    <xf numFmtId="10" fontId="74" fillId="5" borderId="0" xfId="0" applyNumberFormat="1" applyFont="1" applyFill="1" applyAlignment="1" applyProtection="1">
      <alignment horizontal="center" vertical="center"/>
      <protection locked="0"/>
    </xf>
    <xf numFmtId="0" fontId="74" fillId="5" borderId="0" xfId="6" applyFont="1" applyFill="1" applyBorder="1" applyAlignment="1" applyProtection="1">
      <alignment horizontal="left" vertical="center" wrapText="1"/>
      <protection locked="0"/>
    </xf>
    <xf numFmtId="0" fontId="188" fillId="0" borderId="0" xfId="0" applyFont="1" applyFill="1" applyProtection="1">
      <alignment vertical="center"/>
      <protection locked="0"/>
    </xf>
    <xf numFmtId="0" fontId="188" fillId="5" borderId="0" xfId="6" applyFont="1" applyFill="1" applyAlignment="1" applyProtection="1">
      <alignment vertical="center" wrapText="1"/>
      <protection locked="0"/>
    </xf>
    <xf numFmtId="0" fontId="188" fillId="5" borderId="0" xfId="6" applyFont="1" applyFill="1" applyProtection="1">
      <protection locked="0"/>
    </xf>
    <xf numFmtId="0" fontId="74" fillId="8" borderId="0" xfId="0" applyFont="1" applyFill="1" applyBorder="1" applyProtection="1">
      <alignment vertical="center"/>
      <protection locked="0"/>
    </xf>
    <xf numFmtId="0" fontId="74" fillId="8" borderId="0" xfId="0" applyFont="1" applyFill="1" applyProtection="1">
      <alignment vertical="center"/>
      <protection locked="0"/>
    </xf>
    <xf numFmtId="0" fontId="74" fillId="8" borderId="0" xfId="0" applyFont="1" applyFill="1" applyBorder="1" applyAlignment="1" applyProtection="1">
      <alignment horizontal="right" vertical="center"/>
      <protection locked="0"/>
    </xf>
    <xf numFmtId="0" fontId="83" fillId="8" borderId="0" xfId="0" applyFont="1" applyFill="1" applyAlignment="1" applyProtection="1">
      <alignment horizontal="left" vertical="center"/>
      <protection locked="0"/>
    </xf>
    <xf numFmtId="2" fontId="74" fillId="8" borderId="0" xfId="0" applyNumberFormat="1" applyFont="1" applyFill="1" applyAlignment="1" applyProtection="1">
      <alignment vertical="center" wrapText="1"/>
      <protection locked="0"/>
    </xf>
    <xf numFmtId="0" fontId="83" fillId="8" borderId="0" xfId="0" applyFont="1" applyFill="1" applyAlignment="1" applyProtection="1">
      <alignment vertical="center" wrapText="1"/>
      <protection locked="0"/>
    </xf>
    <xf numFmtId="0" fontId="74" fillId="8" borderId="0" xfId="0" applyFont="1" applyFill="1" applyAlignment="1" applyProtection="1">
      <alignment vertical="center" wrapText="1"/>
      <protection locked="0"/>
    </xf>
    <xf numFmtId="0" fontId="216" fillId="6" borderId="27" xfId="0" applyFont="1" applyFill="1" applyBorder="1" applyAlignment="1" applyProtection="1">
      <alignment horizontal="center" vertical="center" wrapText="1"/>
    </xf>
    <xf numFmtId="0" fontId="216" fillId="6" borderId="6" xfId="0" applyFont="1" applyFill="1" applyBorder="1" applyAlignment="1" applyProtection="1">
      <alignment horizontal="justify" vertical="center" wrapText="1"/>
    </xf>
    <xf numFmtId="0" fontId="216" fillId="6" borderId="7" xfId="0" applyFont="1" applyFill="1" applyBorder="1" applyAlignment="1" applyProtection="1">
      <alignment horizontal="justify" vertical="center" wrapText="1"/>
    </xf>
    <xf numFmtId="0" fontId="96" fillId="5" borderId="0" xfId="0" applyFont="1" applyFill="1" applyAlignment="1" applyProtection="1">
      <alignment vertical="center"/>
      <protection locked="0"/>
    </xf>
    <xf numFmtId="49" fontId="99" fillId="5" borderId="0" xfId="0" applyNumberFormat="1" applyFont="1" applyFill="1" applyBorder="1" applyAlignment="1" applyProtection="1">
      <alignment horizontal="center"/>
      <protection locked="0"/>
    </xf>
    <xf numFmtId="49" fontId="99" fillId="5" borderId="0" xfId="0" applyNumberFormat="1" applyFont="1" applyFill="1" applyBorder="1" applyAlignment="1" applyProtection="1">
      <alignment horizontal="left"/>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104" fillId="5" borderId="0" xfId="0" applyFont="1" applyFill="1" applyBorder="1" applyAlignment="1" applyProtection="1">
      <alignment vertical="center"/>
      <protection locked="0"/>
    </xf>
    <xf numFmtId="49" fontId="95" fillId="5" borderId="0" xfId="0" applyNumberFormat="1" applyFont="1" applyFill="1" applyBorder="1" applyAlignment="1" applyProtection="1">
      <protection locked="0"/>
    </xf>
    <xf numFmtId="49" fontId="95" fillId="5" borderId="0" xfId="0" applyNumberFormat="1" applyFont="1" applyFill="1" applyBorder="1" applyAlignment="1" applyProtection="1">
      <alignment horizontal="center"/>
      <protection locked="0"/>
    </xf>
    <xf numFmtId="49" fontId="95" fillId="5" borderId="0" xfId="0" applyNumberFormat="1" applyFont="1" applyFill="1" applyBorder="1" applyAlignment="1" applyProtection="1">
      <alignment horizontal="left"/>
      <protection locked="0"/>
    </xf>
    <xf numFmtId="0" fontId="104" fillId="8" borderId="0" xfId="0" applyFont="1" applyFill="1" applyAlignment="1" applyProtection="1">
      <alignment vertical="center"/>
      <protection locked="0"/>
    </xf>
    <xf numFmtId="0" fontId="104" fillId="0" borderId="0" xfId="0" applyFont="1" applyFill="1" applyAlignment="1" applyProtection="1">
      <alignment vertical="center"/>
      <protection locked="0"/>
    </xf>
    <xf numFmtId="0" fontId="96" fillId="5" borderId="0" xfId="0" applyFont="1" applyFill="1" applyAlignment="1" applyProtection="1">
      <alignment horizontal="center" vertical="center"/>
      <protection locked="0"/>
    </xf>
    <xf numFmtId="0" fontId="104" fillId="5" borderId="0" xfId="0" applyFont="1" applyFill="1" applyAlignment="1" applyProtection="1">
      <alignment vertical="center"/>
      <protection locked="0"/>
    </xf>
    <xf numFmtId="0" fontId="114" fillId="8" borderId="0" xfId="0" applyFont="1" applyFill="1" applyAlignment="1" applyProtection="1">
      <alignment vertical="center"/>
      <protection locked="0"/>
    </xf>
    <xf numFmtId="0" fontId="114" fillId="0" borderId="0" xfId="0" applyFont="1" applyFill="1" applyAlignment="1" applyProtection="1">
      <alignment vertical="center"/>
      <protection locked="0"/>
    </xf>
    <xf numFmtId="49" fontId="93" fillId="5" borderId="0" xfId="0" applyNumberFormat="1" applyFont="1" applyFill="1" applyBorder="1" applyAlignment="1" applyProtection="1">
      <alignment horizontal="left" vertical="center"/>
      <protection locked="0"/>
    </xf>
    <xf numFmtId="0" fontId="93"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74" fillId="5" borderId="0" xfId="0" applyFont="1" applyFill="1" applyBorder="1" applyAlignment="1" applyProtection="1">
      <alignment vertical="center"/>
      <protection locked="0"/>
    </xf>
    <xf numFmtId="0" fontId="84"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49" fontId="116" fillId="5" borderId="0" xfId="0" applyNumberFormat="1" applyFont="1" applyFill="1" applyBorder="1" applyAlignment="1" applyProtection="1">
      <alignment horizontal="left" vertical="center"/>
      <protection locked="0"/>
    </xf>
    <xf numFmtId="0" fontId="116"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118" fillId="5" borderId="0" xfId="0" applyFont="1" applyFill="1" applyBorder="1" applyAlignment="1" applyProtection="1">
      <alignment vertical="center"/>
      <protection locked="0"/>
    </xf>
    <xf numFmtId="0" fontId="119"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0" fontId="188" fillId="5" borderId="0" xfId="0" applyFont="1" applyFill="1" applyAlignment="1" applyProtection="1">
      <protection locked="0"/>
    </xf>
    <xf numFmtId="0" fontId="188" fillId="5" borderId="0" xfId="0" applyFont="1" applyFill="1" applyAlignment="1" applyProtection="1">
      <alignment horizontal="left"/>
      <protection locked="0"/>
    </xf>
    <xf numFmtId="0" fontId="73" fillId="5" borderId="0" xfId="0" applyFont="1" applyFill="1" applyAlignment="1" applyProtection="1">
      <protection locked="0"/>
    </xf>
    <xf numFmtId="0" fontId="73" fillId="5" borderId="0" xfId="0" applyFont="1" applyFill="1" applyAlignment="1" applyProtection="1">
      <alignment horizontal="left"/>
      <protection locked="0"/>
    </xf>
    <xf numFmtId="0" fontId="74" fillId="5" borderId="0" xfId="0" applyFont="1" applyFill="1" applyAlignment="1" applyProtection="1">
      <alignment horizontal="left" vertical="center"/>
      <protection locked="0"/>
    </xf>
    <xf numFmtId="0" fontId="104" fillId="5" borderId="0" xfId="0" applyFont="1" applyFill="1" applyAlignment="1" applyProtection="1">
      <alignment horizontal="left" vertical="center"/>
      <protection locked="0"/>
    </xf>
    <xf numFmtId="49" fontId="69" fillId="8" borderId="0" xfId="0" applyNumberFormat="1" applyFont="1" applyFill="1" applyAlignment="1" applyProtection="1">
      <protection locked="0"/>
    </xf>
    <xf numFmtId="0" fontId="69" fillId="8" borderId="0" xfId="0" applyFont="1" applyFill="1" applyAlignment="1" applyProtection="1">
      <protection locked="0"/>
    </xf>
    <xf numFmtId="0" fontId="104" fillId="8" borderId="0" xfId="0" applyFont="1" applyFill="1" applyAlignment="1" applyProtection="1">
      <alignment horizontal="left" vertical="center"/>
      <protection locked="0"/>
    </xf>
    <xf numFmtId="176" fontId="69" fillId="8" borderId="0" xfId="0" applyNumberFormat="1" applyFont="1" applyFill="1" applyAlignment="1" applyProtection="1">
      <alignment horizontal="center"/>
      <protection locked="0"/>
    </xf>
    <xf numFmtId="0" fontId="69" fillId="8" borderId="0" xfId="0" applyFont="1" applyFill="1" applyBorder="1" applyAlignment="1" applyProtection="1">
      <protection locked="0"/>
    </xf>
    <xf numFmtId="0" fontId="84" fillId="8" borderId="0" xfId="0" applyFont="1" applyFill="1" applyBorder="1" applyAlignment="1" applyProtection="1">
      <alignment horizontal="left" vertical="center"/>
      <protection locked="0"/>
    </xf>
    <xf numFmtId="180" fontId="84" fillId="8" borderId="0" xfId="0" applyNumberFormat="1" applyFont="1" applyFill="1" applyBorder="1" applyAlignment="1" applyProtection="1">
      <alignment horizontal="center" vertical="center"/>
      <protection locked="0"/>
    </xf>
    <xf numFmtId="0" fontId="84" fillId="8" borderId="0" xfId="0" applyFont="1" applyFill="1" applyBorder="1" applyAlignment="1" applyProtection="1">
      <alignment vertical="center" wrapText="1"/>
      <protection locked="0"/>
    </xf>
    <xf numFmtId="10" fontId="84" fillId="8" borderId="0" xfId="0" applyNumberFormat="1" applyFont="1" applyFill="1" applyBorder="1" applyAlignment="1" applyProtection="1">
      <alignment horizontal="center"/>
      <protection locked="0"/>
    </xf>
    <xf numFmtId="49" fontId="93" fillId="8" borderId="0" xfId="0" applyNumberFormat="1" applyFont="1" applyFill="1" applyBorder="1" applyAlignment="1" applyProtection="1">
      <alignment horizontal="left" vertical="center"/>
      <protection locked="0"/>
    </xf>
    <xf numFmtId="0" fontId="115" fillId="8" borderId="0" xfId="0" applyFont="1" applyFill="1" applyBorder="1" applyAlignment="1" applyProtection="1">
      <alignment horizontal="center"/>
      <protection locked="0"/>
    </xf>
    <xf numFmtId="0" fontId="104" fillId="8" borderId="0" xfId="0" applyFont="1" applyFill="1" applyBorder="1" applyAlignment="1" applyProtection="1">
      <alignment vertical="center"/>
      <protection locked="0"/>
    </xf>
    <xf numFmtId="49" fontId="104" fillId="8" borderId="0" xfId="0" applyNumberFormat="1" applyFont="1" applyFill="1" applyAlignment="1" applyProtection="1">
      <alignment vertical="center"/>
      <protection locked="0"/>
    </xf>
    <xf numFmtId="0" fontId="104" fillId="8" borderId="0" xfId="0" applyFont="1" applyFill="1" applyAlignment="1" applyProtection="1">
      <alignment horizontal="center" vertical="center"/>
      <protection locked="0"/>
    </xf>
    <xf numFmtId="49" fontId="104" fillId="0" borderId="0" xfId="0" applyNumberFormat="1" applyFont="1" applyFill="1" applyAlignment="1" applyProtection="1">
      <alignment vertical="center"/>
      <protection locked="0"/>
    </xf>
    <xf numFmtId="0" fontId="104" fillId="0" borderId="0" xfId="0" applyFont="1" applyFill="1" applyAlignment="1" applyProtection="1">
      <alignment horizontal="center" vertical="center"/>
      <protection locked="0"/>
    </xf>
    <xf numFmtId="0" fontId="104" fillId="0" borderId="0" xfId="0" applyFont="1" applyFill="1" applyAlignment="1" applyProtection="1">
      <alignment horizontal="left" vertical="center"/>
      <protection locked="0"/>
    </xf>
    <xf numFmtId="0" fontId="95" fillId="5" borderId="2" xfId="3" applyFont="1" applyFill="1" applyBorder="1" applyAlignment="1" applyProtection="1">
      <alignment vertical="center"/>
      <protection locked="0"/>
    </xf>
    <xf numFmtId="0" fontId="69" fillId="8" borderId="0" xfId="0" applyFont="1" applyFill="1" applyAlignment="1" applyProtection="1">
      <alignment horizontal="center"/>
      <protection locked="0"/>
    </xf>
    <xf numFmtId="0" fontId="190" fillId="5" borderId="58" xfId="3" applyFont="1" applyFill="1" applyBorder="1" applyAlignment="1" applyProtection="1">
      <alignment vertical="center"/>
      <protection locked="0"/>
    </xf>
    <xf numFmtId="0" fontId="68" fillId="5" borderId="0" xfId="3" applyFont="1" applyFill="1" applyBorder="1" applyAlignment="1" applyProtection="1">
      <alignment vertical="center"/>
      <protection locked="0"/>
    </xf>
    <xf numFmtId="178" fontId="95" fillId="5" borderId="2" xfId="3" applyNumberFormat="1" applyFont="1" applyFill="1" applyBorder="1" applyAlignment="1" applyProtection="1">
      <alignment horizontal="right" vertical="center"/>
      <protection locked="0"/>
    </xf>
    <xf numFmtId="0" fontId="55" fillId="5" borderId="10" xfId="3" applyFont="1" applyFill="1" applyBorder="1" applyAlignment="1" applyProtection="1">
      <alignment vertical="center"/>
      <protection locked="0"/>
    </xf>
    <xf numFmtId="0" fontId="95" fillId="5" borderId="10" xfId="3" applyFont="1" applyFill="1" applyBorder="1" applyAlignment="1" applyProtection="1">
      <alignment horizontal="right" vertical="center"/>
      <protection locked="0"/>
    </xf>
    <xf numFmtId="0" fontId="95" fillId="5" borderId="0" xfId="3" applyFont="1" applyFill="1" applyBorder="1" applyAlignment="1" applyProtection="1">
      <alignment vertical="center"/>
      <protection locked="0"/>
    </xf>
    <xf numFmtId="0" fontId="68" fillId="5" borderId="30" xfId="0" applyFont="1" applyFill="1" applyBorder="1" applyAlignment="1" applyProtection="1">
      <protection locked="0"/>
    </xf>
    <xf numFmtId="0" fontId="68" fillId="5" borderId="56" xfId="0" applyFont="1" applyFill="1" applyBorder="1" applyAlignment="1" applyProtection="1">
      <protection locked="0"/>
    </xf>
    <xf numFmtId="0" fontId="97" fillId="8"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8" fillId="8" borderId="0" xfId="0" applyFont="1" applyFill="1" applyProtection="1">
      <alignment vertical="center"/>
      <protection locked="0"/>
    </xf>
    <xf numFmtId="0" fontId="78" fillId="0" borderId="0" xfId="0" applyFont="1" applyFill="1" applyProtection="1">
      <alignment vertical="center"/>
      <protection locked="0"/>
    </xf>
    <xf numFmtId="0" fontId="78" fillId="8" borderId="0" xfId="0" applyFont="1" applyFill="1" applyAlignment="1" applyProtection="1">
      <protection locked="0"/>
    </xf>
    <xf numFmtId="0" fontId="98" fillId="8" borderId="0" xfId="0" applyFont="1" applyFill="1" applyProtection="1">
      <alignment vertical="center"/>
      <protection locked="0"/>
    </xf>
    <xf numFmtId="0" fontId="77" fillId="8" borderId="0" xfId="0" applyFont="1" applyFill="1" applyAlignment="1" applyProtection="1">
      <protection locked="0"/>
    </xf>
    <xf numFmtId="0" fontId="98" fillId="8" borderId="0" xfId="0" applyFont="1" applyFill="1" applyAlignment="1" applyProtection="1">
      <protection locked="0"/>
    </xf>
    <xf numFmtId="0" fontId="78"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74" fillId="3" borderId="0" xfId="0" applyFont="1" applyFill="1" applyAlignment="1" applyProtection="1">
      <alignment horizontal="center"/>
      <protection locked="0"/>
    </xf>
    <xf numFmtId="185" fontId="74" fillId="3" borderId="0" xfId="0" applyNumberFormat="1" applyFont="1" applyFill="1" applyAlignment="1" applyProtection="1">
      <alignment horizontal="center"/>
      <protection locked="0"/>
    </xf>
    <xf numFmtId="0" fontId="98" fillId="8" borderId="0" xfId="0" applyFont="1" applyFill="1" applyAlignment="1" applyProtection="1">
      <alignment vertical="center" wrapText="1"/>
      <protection locked="0"/>
    </xf>
    <xf numFmtId="0" fontId="95"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188" fontId="99" fillId="5" borderId="0" xfId="0" applyNumberFormat="1" applyFont="1" applyFill="1" applyBorder="1" applyAlignment="1" applyProtection="1">
      <alignment horizontal="center" vertical="center"/>
      <protection locked="0"/>
    </xf>
    <xf numFmtId="182" fontId="99" fillId="5" borderId="0" xfId="0" applyNumberFormat="1" applyFont="1" applyFill="1" applyBorder="1" applyAlignment="1" applyProtection="1">
      <alignment vertical="center"/>
      <protection locked="0"/>
    </xf>
    <xf numFmtId="0" fontId="99" fillId="5" borderId="0"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vertical="center" wrapText="1"/>
      <protection locked="0"/>
    </xf>
    <xf numFmtId="0" fontId="82" fillId="5" borderId="0"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horizontal="center" vertical="center" wrapText="1"/>
      <protection locked="0"/>
    </xf>
    <xf numFmtId="0" fontId="69" fillId="5" borderId="0" xfId="0" applyFont="1" applyFill="1" applyBorder="1" applyAlignment="1" applyProtection="1">
      <alignment horizontal="center" vertical="center"/>
      <protection locked="0"/>
    </xf>
    <xf numFmtId="0" fontId="69"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102" fillId="5" borderId="18" xfId="0" applyFont="1" applyFill="1" applyBorder="1" applyAlignment="1" applyProtection="1">
      <alignment horizontal="center" vertical="center"/>
      <protection locked="0"/>
    </xf>
    <xf numFmtId="182" fontId="78" fillId="5" borderId="0" xfId="0" applyNumberFormat="1" applyFont="1" applyFill="1" applyBorder="1" applyAlignment="1" applyProtection="1">
      <alignment horizontal="center" vertical="center" wrapText="1"/>
      <protection locked="0"/>
    </xf>
    <xf numFmtId="0" fontId="82"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78" fillId="5" borderId="18" xfId="0" applyFont="1" applyFill="1" applyBorder="1" applyAlignment="1" applyProtection="1">
      <alignment horizontal="center" vertical="center"/>
      <protection locked="0"/>
    </xf>
    <xf numFmtId="182" fontId="82" fillId="5" borderId="0" xfId="0" applyNumberFormat="1" applyFont="1" applyFill="1" applyBorder="1" applyAlignment="1" applyProtection="1">
      <alignment vertical="center" wrapText="1"/>
      <protection locked="0"/>
    </xf>
    <xf numFmtId="0" fontId="82" fillId="5" borderId="0" xfId="0" applyFont="1" applyFill="1" applyAlignment="1" applyProtection="1">
      <alignment horizontal="center" vertical="center"/>
      <protection locked="0"/>
    </xf>
    <xf numFmtId="0" fontId="103" fillId="5" borderId="0" xfId="0" applyFont="1" applyFill="1" applyAlignment="1" applyProtection="1">
      <alignment horizontal="center" vertical="center"/>
      <protection locked="0"/>
    </xf>
    <xf numFmtId="14" fontId="82" fillId="5" borderId="0" xfId="0" applyNumberFormat="1" applyFont="1" applyFill="1" applyAlignment="1" applyProtection="1">
      <alignment horizontal="center" vertical="center"/>
      <protection locked="0"/>
    </xf>
    <xf numFmtId="188" fontId="82" fillId="5" borderId="0" xfId="0" applyNumberFormat="1" applyFont="1" applyFill="1" applyAlignment="1" applyProtection="1">
      <alignment horizontal="center" vertical="center"/>
      <protection locked="0"/>
    </xf>
    <xf numFmtId="182" fontId="82" fillId="5" borderId="0" xfId="0" applyNumberFormat="1" applyFont="1" applyFill="1" applyAlignment="1" applyProtection="1">
      <alignment horizontal="center" vertical="center"/>
      <protection locked="0"/>
    </xf>
    <xf numFmtId="177" fontId="82" fillId="5" borderId="0" xfId="0" applyNumberFormat="1" applyFont="1" applyFill="1" applyAlignment="1" applyProtection="1">
      <alignment horizontal="center" vertical="center"/>
      <protection locked="0"/>
    </xf>
    <xf numFmtId="188" fontId="103" fillId="5" borderId="0" xfId="0" applyNumberFormat="1" applyFont="1" applyFill="1" applyAlignment="1" applyProtection="1">
      <alignment horizontal="center" vertical="center"/>
      <protection locked="0"/>
    </xf>
    <xf numFmtId="182" fontId="103" fillId="5" borderId="0" xfId="0" applyNumberFormat="1" applyFont="1" applyFill="1" applyAlignment="1" applyProtection="1">
      <alignment horizontal="center" vertical="center"/>
      <protection locked="0"/>
    </xf>
    <xf numFmtId="0" fontId="242" fillId="5" borderId="0" xfId="0" applyFont="1" applyFill="1" applyAlignment="1" applyProtection="1">
      <alignment horizontal="left" vertical="center"/>
      <protection locked="0"/>
    </xf>
    <xf numFmtId="0" fontId="107" fillId="5" borderId="0" xfId="0" applyFont="1" applyFill="1" applyAlignment="1" applyProtection="1">
      <alignment horizontal="center" vertical="center"/>
      <protection locked="0"/>
    </xf>
    <xf numFmtId="0" fontId="84" fillId="5" borderId="0" xfId="0" applyFont="1" applyFill="1" applyAlignment="1" applyProtection="1">
      <protection locked="0"/>
    </xf>
    <xf numFmtId="0" fontId="82" fillId="5" borderId="0" xfId="0" applyFont="1" applyFill="1" applyBorder="1" applyAlignment="1" applyProtection="1">
      <protection locked="0"/>
    </xf>
    <xf numFmtId="9" fontId="69" fillId="5" borderId="0" xfId="0" applyNumberFormat="1" applyFont="1" applyFill="1" applyBorder="1" applyAlignment="1" applyProtection="1">
      <alignment horizontal="center" vertical="center" wrapText="1"/>
      <protection locked="0"/>
    </xf>
    <xf numFmtId="49" fontId="69" fillId="5" borderId="0" xfId="0" applyNumberFormat="1" applyFont="1" applyFill="1" applyBorder="1" applyAlignment="1" applyProtection="1">
      <alignment horizontal="center" vertical="center" wrapText="1"/>
      <protection locked="0"/>
    </xf>
    <xf numFmtId="49" fontId="69" fillId="5" borderId="0" xfId="0" applyNumberFormat="1" applyFont="1" applyFill="1" applyBorder="1" applyAlignment="1" applyProtection="1">
      <alignment horizontal="center" vertical="center"/>
      <protection locked="0"/>
    </xf>
    <xf numFmtId="49" fontId="69" fillId="5" borderId="0" xfId="0" applyNumberFormat="1" applyFont="1" applyFill="1" applyAlignment="1" applyProtection="1">
      <alignment horizontal="center" vertical="center"/>
      <protection locked="0"/>
    </xf>
    <xf numFmtId="0" fontId="69" fillId="5" borderId="0" xfId="0" applyNumberFormat="1" applyFont="1" applyFill="1" applyBorder="1" applyAlignment="1" applyProtection="1">
      <alignment horizontal="center" vertical="center" wrapText="1"/>
      <protection locked="0"/>
    </xf>
    <xf numFmtId="0" fontId="188" fillId="5" borderId="0" xfId="0" applyFont="1" applyFill="1" applyBorder="1" applyAlignment="1" applyProtection="1">
      <alignment vertical="center"/>
      <protection locked="0"/>
    </xf>
    <xf numFmtId="0" fontId="103" fillId="5" borderId="0" xfId="0" applyNumberFormat="1" applyFont="1" applyFill="1" applyBorder="1" applyAlignment="1" applyProtection="1">
      <alignment horizontal="center" vertical="center" wrapText="1"/>
      <protection locked="0"/>
    </xf>
    <xf numFmtId="0" fontId="69" fillId="5" borderId="0" xfId="0" applyFont="1" applyFill="1" applyBorder="1" applyAlignment="1" applyProtection="1">
      <alignment horizontal="center" vertical="center" wrapText="1"/>
      <protection locked="0"/>
    </xf>
    <xf numFmtId="0" fontId="82" fillId="5" borderId="0" xfId="0" applyNumberFormat="1" applyFont="1" applyFill="1" applyBorder="1" applyAlignment="1" applyProtection="1">
      <alignment horizontal="center" vertical="center" wrapText="1"/>
      <protection locked="0"/>
    </xf>
    <xf numFmtId="0" fontId="78" fillId="5" borderId="0" xfId="0" applyNumberFormat="1"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protection locked="0"/>
    </xf>
    <xf numFmtId="9" fontId="78" fillId="5" borderId="0" xfId="0" applyNumberFormat="1" applyFont="1" applyFill="1" applyBorder="1" applyAlignment="1" applyProtection="1">
      <alignment horizontal="center" vertical="center" wrapText="1"/>
      <protection locked="0"/>
    </xf>
    <xf numFmtId="0" fontId="78" fillId="5" borderId="0" xfId="0" applyFont="1" applyFill="1" applyAlignment="1" applyProtection="1">
      <alignment horizontal="center" vertical="center"/>
      <protection locked="0"/>
    </xf>
    <xf numFmtId="0" fontId="78" fillId="5" borderId="0" xfId="0" applyFont="1" applyFill="1" applyBorder="1" applyAlignment="1" applyProtection="1">
      <alignment horizontal="center" vertical="center"/>
      <protection locked="0"/>
    </xf>
    <xf numFmtId="9" fontId="78" fillId="5" borderId="0" xfId="0" applyNumberFormat="1" applyFont="1" applyFill="1" applyBorder="1" applyAlignment="1" applyProtection="1">
      <alignment horizontal="center" vertical="center"/>
      <protection locked="0"/>
    </xf>
    <xf numFmtId="0" fontId="78" fillId="5" borderId="0" xfId="0" applyFont="1" applyFill="1" applyBorder="1" applyAlignment="1" applyProtection="1">
      <alignment vertical="center" wrapText="1"/>
      <protection locked="0"/>
    </xf>
    <xf numFmtId="0" fontId="69" fillId="5" borderId="0" xfId="0" applyFont="1" applyFill="1" applyBorder="1" applyAlignment="1" applyProtection="1">
      <alignment vertical="center" wrapText="1"/>
      <protection locked="0"/>
    </xf>
    <xf numFmtId="0" fontId="82" fillId="8" borderId="0" xfId="0" applyFont="1" applyFill="1" applyAlignment="1" applyProtection="1">
      <alignment horizontal="center" vertical="center"/>
      <protection locked="0"/>
    </xf>
    <xf numFmtId="188" fontId="82" fillId="8" borderId="0" xfId="0" applyNumberFormat="1" applyFont="1" applyFill="1" applyAlignment="1" applyProtection="1">
      <alignment horizontal="center" vertical="center"/>
      <protection locked="0"/>
    </xf>
    <xf numFmtId="182" fontId="82" fillId="8" borderId="0" xfId="0" applyNumberFormat="1" applyFont="1" applyFill="1" applyAlignment="1" applyProtection="1">
      <alignment horizontal="center" vertical="center"/>
      <protection locked="0"/>
    </xf>
    <xf numFmtId="0" fontId="102" fillId="5" borderId="0" xfId="0" applyFont="1" applyFill="1" applyBorder="1" applyAlignment="1" applyProtection="1">
      <alignment horizontal="center" vertical="center"/>
      <protection locked="0"/>
    </xf>
    <xf numFmtId="0" fontId="82" fillId="0" borderId="0" xfId="0" applyFont="1" applyFill="1" applyAlignment="1" applyProtection="1">
      <alignment horizontal="center" vertical="center"/>
      <protection locked="0"/>
    </xf>
    <xf numFmtId="188" fontId="82" fillId="0" borderId="0" xfId="0" applyNumberFormat="1" applyFont="1" applyFill="1" applyAlignment="1" applyProtection="1">
      <alignment horizontal="center" vertical="center"/>
      <protection locked="0"/>
    </xf>
    <xf numFmtId="182" fontId="82" fillId="0" borderId="0" xfId="0" applyNumberFormat="1" applyFont="1" applyFill="1" applyAlignment="1" applyProtection="1">
      <alignment horizontal="center" vertical="center"/>
      <protection locked="0"/>
    </xf>
    <xf numFmtId="0" fontId="95" fillId="5" borderId="28" xfId="3" applyFont="1" applyFill="1" applyBorder="1" applyAlignment="1" applyProtection="1">
      <alignment vertical="center"/>
      <protection locked="0"/>
    </xf>
    <xf numFmtId="0" fontId="93" fillId="8"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84" fillId="3" borderId="0" xfId="0" applyFont="1" applyFill="1" applyAlignment="1" applyProtection="1">
      <alignment horizontal="left" vertical="center"/>
      <protection locked="0"/>
    </xf>
    <xf numFmtId="0" fontId="84" fillId="3" borderId="0" xfId="0" applyFont="1" applyFill="1" applyAlignment="1" applyProtection="1">
      <alignment vertical="center"/>
      <protection locked="0"/>
    </xf>
    <xf numFmtId="0" fontId="84" fillId="3" borderId="0" xfId="0" applyFont="1" applyFill="1" applyAlignment="1" applyProtection="1">
      <alignment horizontal="center" vertical="center"/>
      <protection locked="0"/>
    </xf>
    <xf numFmtId="0" fontId="84" fillId="8" borderId="0" xfId="0" applyFont="1" applyFill="1" applyAlignment="1" applyProtection="1">
      <alignment vertical="center"/>
      <protection locked="0"/>
    </xf>
    <xf numFmtId="0" fontId="38" fillId="5" borderId="0" xfId="4" applyFont="1" applyFill="1" applyAlignment="1" applyProtection="1">
      <alignment vertical="center" wrapText="1"/>
      <protection locked="0"/>
    </xf>
    <xf numFmtId="0" fontId="38" fillId="5" borderId="0" xfId="4" applyFont="1" applyFill="1" applyAlignment="1" applyProtection="1">
      <alignment horizontal="center" vertical="center" wrapText="1"/>
      <protection locked="0"/>
    </xf>
    <xf numFmtId="0" fontId="56" fillId="5" borderId="0" xfId="4" applyFont="1" applyFill="1" applyAlignment="1" applyProtection="1">
      <alignment horizontal="center" vertical="center" wrapText="1"/>
      <protection locked="0"/>
    </xf>
    <xf numFmtId="0" fontId="84" fillId="5" borderId="0" xfId="4" applyFont="1" applyFill="1" applyAlignment="1" applyProtection="1">
      <alignment vertical="center" wrapText="1"/>
      <protection locked="0"/>
    </xf>
    <xf numFmtId="0" fontId="84" fillId="5" borderId="0" xfId="4" applyFont="1" applyFill="1" applyAlignment="1" applyProtection="1">
      <alignment horizontal="center" vertical="center" wrapText="1"/>
      <protection locked="0"/>
    </xf>
    <xf numFmtId="10" fontId="84" fillId="5" borderId="0" xfId="4" applyNumberFormat="1" applyFont="1" applyFill="1" applyAlignment="1" applyProtection="1">
      <alignment horizontal="center" vertical="center" wrapText="1"/>
      <protection locked="0"/>
    </xf>
    <xf numFmtId="0" fontId="82" fillId="5" borderId="0" xfId="4" applyFont="1" applyFill="1" applyAlignment="1" applyProtection="1">
      <alignment vertical="center" wrapText="1"/>
      <protection locked="0"/>
    </xf>
    <xf numFmtId="0" fontId="38" fillId="8" borderId="0" xfId="4" applyFont="1" applyFill="1" applyAlignment="1" applyProtection="1">
      <alignment vertical="center" wrapText="1"/>
      <protection locked="0"/>
    </xf>
    <xf numFmtId="0" fontId="38" fillId="8" borderId="0" xfId="4" applyFont="1" applyFill="1" applyAlignment="1" applyProtection="1">
      <alignment horizontal="center" vertical="center" wrapText="1"/>
      <protection locked="0"/>
    </xf>
    <xf numFmtId="0" fontId="38" fillId="8" borderId="0" xfId="4" applyFont="1" applyFill="1" applyAlignment="1" applyProtection="1">
      <alignment horizontal="left" vertical="center" wrapText="1"/>
      <protection locked="0"/>
    </xf>
    <xf numFmtId="0" fontId="38" fillId="0" borderId="0" xfId="4" applyFont="1" applyAlignment="1" applyProtection="1">
      <alignment vertical="center" wrapText="1"/>
      <protection locked="0"/>
    </xf>
    <xf numFmtId="0" fontId="38" fillId="0" borderId="0" xfId="4" applyFont="1" applyAlignment="1" applyProtection="1">
      <alignment horizontal="center" vertical="center" wrapText="1"/>
      <protection locked="0"/>
    </xf>
    <xf numFmtId="0" fontId="71" fillId="5" borderId="0" xfId="0" applyFont="1" applyFill="1" applyBorder="1" applyAlignment="1" applyProtection="1">
      <alignment vertical="center"/>
      <protection locked="0"/>
    </xf>
    <xf numFmtId="188" fontId="95" fillId="5" borderId="0" xfId="0" applyNumberFormat="1" applyFont="1" applyFill="1" applyBorder="1" applyAlignment="1" applyProtection="1">
      <alignment horizontal="center" vertical="center"/>
      <protection locked="0"/>
    </xf>
    <xf numFmtId="182" fontId="95" fillId="5" borderId="0" xfId="0" applyNumberFormat="1" applyFont="1" applyFill="1" applyBorder="1" applyAlignment="1" applyProtection="1">
      <alignment vertical="center"/>
      <protection locked="0"/>
    </xf>
    <xf numFmtId="0" fontId="95" fillId="5" borderId="0" xfId="0" applyFont="1" applyFill="1" applyBorder="1" applyAlignment="1" applyProtection="1">
      <alignment horizontal="center" vertical="center"/>
      <protection locked="0"/>
    </xf>
    <xf numFmtId="0" fontId="82" fillId="5" borderId="0" xfId="0" applyFont="1" applyFill="1" applyBorder="1" applyAlignment="1" applyProtection="1">
      <alignment horizontal="center" vertical="center" wrapText="1"/>
      <protection locked="0"/>
    </xf>
    <xf numFmtId="9" fontId="82" fillId="5" borderId="0" xfId="0" applyNumberFormat="1" applyFont="1" applyFill="1" applyBorder="1" applyAlignment="1" applyProtection="1">
      <alignment horizontal="center" vertical="center" wrapText="1"/>
      <protection locked="0"/>
    </xf>
    <xf numFmtId="0" fontId="82" fillId="5" borderId="13" xfId="0" applyFont="1" applyFill="1" applyBorder="1" applyAlignment="1" applyProtection="1">
      <alignment horizontal="center" vertical="center"/>
      <protection locked="0"/>
    </xf>
    <xf numFmtId="0" fontId="103" fillId="5" borderId="13" xfId="0" applyFont="1" applyFill="1" applyBorder="1" applyAlignment="1" applyProtection="1">
      <alignment horizontal="center" vertical="center"/>
      <protection locked="0"/>
    </xf>
    <xf numFmtId="0" fontId="82" fillId="5" borderId="13" xfId="0" applyFont="1" applyFill="1" applyBorder="1" applyAlignment="1" applyProtection="1">
      <protection locked="0"/>
    </xf>
    <xf numFmtId="49" fontId="69" fillId="5" borderId="13" xfId="0" applyNumberFormat="1" applyFont="1" applyFill="1" applyBorder="1" applyAlignment="1" applyProtection="1">
      <alignment horizontal="center" vertical="center"/>
      <protection locked="0"/>
    </xf>
    <xf numFmtId="9" fontId="69" fillId="5" borderId="13" xfId="0" applyNumberFormat="1" applyFont="1" applyFill="1" applyBorder="1" applyAlignment="1" applyProtection="1">
      <alignment horizontal="center" vertical="center" wrapText="1"/>
      <protection locked="0"/>
    </xf>
    <xf numFmtId="0" fontId="188" fillId="5" borderId="13" xfId="0" applyFont="1" applyFill="1" applyBorder="1" applyAlignment="1" applyProtection="1">
      <alignment vertical="center"/>
      <protection locked="0"/>
    </xf>
    <xf numFmtId="0" fontId="69" fillId="5" borderId="13" xfId="0" applyFont="1" applyFill="1" applyBorder="1" applyAlignment="1" applyProtection="1">
      <alignment horizontal="center" vertical="center" wrapText="1"/>
      <protection locked="0"/>
    </xf>
    <xf numFmtId="0" fontId="78" fillId="5" borderId="13" xfId="0" applyFont="1" applyFill="1" applyBorder="1" applyAlignment="1" applyProtection="1">
      <alignment horizontal="center" vertical="center" wrapText="1"/>
      <protection locked="0"/>
    </xf>
    <xf numFmtId="0" fontId="78" fillId="5" borderId="13" xfId="0" applyFont="1" applyFill="1" applyBorder="1" applyAlignment="1" applyProtection="1">
      <alignment horizontal="center" vertical="center"/>
      <protection locked="0"/>
    </xf>
    <xf numFmtId="0" fontId="78" fillId="5" borderId="13" xfId="0" applyFont="1" applyFill="1" applyBorder="1" applyAlignment="1" applyProtection="1">
      <alignment vertical="center" wrapText="1"/>
      <protection locked="0"/>
    </xf>
    <xf numFmtId="0" fontId="69" fillId="5" borderId="13" xfId="0" applyFont="1" applyFill="1" applyBorder="1" applyAlignment="1" applyProtection="1">
      <alignment vertical="center" wrapText="1"/>
      <protection locked="0"/>
    </xf>
    <xf numFmtId="0" fontId="82" fillId="5" borderId="13" xfId="0" applyFont="1" applyFill="1" applyBorder="1" applyAlignment="1" applyProtection="1">
      <alignment horizontal="center" vertical="center" wrapText="1"/>
      <protection locked="0"/>
    </xf>
    <xf numFmtId="0" fontId="82" fillId="0" borderId="13" xfId="0" applyFont="1" applyFill="1" applyBorder="1" applyAlignment="1" applyProtection="1">
      <alignment horizontal="center" vertical="center"/>
      <protection locked="0"/>
    </xf>
    <xf numFmtId="0" fontId="82" fillId="0" borderId="13" xfId="0" applyFont="1" applyFill="1" applyBorder="1" applyAlignment="1" applyProtection="1">
      <alignment horizontal="center" vertical="center"/>
    </xf>
    <xf numFmtId="0" fontId="82" fillId="5" borderId="0" xfId="0" applyFont="1" applyFill="1" applyBorder="1" applyAlignment="1" applyProtection="1">
      <alignment horizontal="center"/>
      <protection locked="0"/>
    </xf>
    <xf numFmtId="188" fontId="82" fillId="5" borderId="0" xfId="0" applyNumberFormat="1" applyFont="1" applyFill="1" applyBorder="1" applyAlignment="1" applyProtection="1">
      <alignment horizontal="center"/>
      <protection locked="0"/>
    </xf>
    <xf numFmtId="182" fontId="82" fillId="5" borderId="0" xfId="0" applyNumberFormat="1" applyFont="1" applyFill="1" applyBorder="1" applyAlignment="1" applyProtection="1">
      <protection locked="0"/>
    </xf>
    <xf numFmtId="0" fontId="74" fillId="5" borderId="0" xfId="0" applyNumberFormat="1" applyFont="1" applyFill="1" applyAlignment="1" applyProtection="1">
      <alignment horizontal="center" vertical="center"/>
      <protection locked="0"/>
    </xf>
    <xf numFmtId="0" fontId="74" fillId="0" borderId="0" xfId="0" applyNumberFormat="1" applyFont="1" applyAlignment="1" applyProtection="1">
      <alignment horizontal="center" vertical="center"/>
      <protection locked="0"/>
    </xf>
    <xf numFmtId="0" fontId="142" fillId="5" borderId="28"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protection locked="0"/>
    </xf>
    <xf numFmtId="9" fontId="107" fillId="6" borderId="2" xfId="0" applyNumberFormat="1" applyFont="1" applyFill="1" applyBorder="1" applyAlignment="1" applyProtection="1">
      <alignment horizontal="center" vertical="center"/>
      <protection locked="0"/>
    </xf>
    <xf numFmtId="0" fontId="243"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9" fillId="0" borderId="12" xfId="3" applyNumberFormat="1" applyFont="1" applyFill="1" applyBorder="1" applyAlignment="1" applyProtection="1">
      <alignment horizontal="center" vertical="center"/>
      <protection locked="0"/>
    </xf>
    <xf numFmtId="0" fontId="74" fillId="5" borderId="43" xfId="0" applyFont="1" applyFill="1" applyBorder="1" applyAlignment="1" applyProtection="1">
      <alignment horizontal="center" vertical="center"/>
    </xf>
    <xf numFmtId="0" fontId="93" fillId="5" borderId="4" xfId="0" applyNumberFormat="1" applyFont="1" applyFill="1" applyBorder="1" applyAlignment="1" applyProtection="1">
      <alignment vertical="center" wrapText="1"/>
      <protection locked="0"/>
    </xf>
    <xf numFmtId="0" fontId="74" fillId="5" borderId="56" xfId="0" applyNumberFormat="1" applyFont="1" applyFill="1" applyBorder="1" applyAlignment="1" applyProtection="1">
      <alignment horizontal="center" vertical="center" wrapText="1"/>
    </xf>
    <xf numFmtId="0" fontId="84" fillId="8" borderId="0" xfId="0" applyFont="1" applyFill="1" applyAlignment="1" applyProtection="1">
      <alignment horizontal="center" vertical="center"/>
      <protection locked="0"/>
    </xf>
    <xf numFmtId="0" fontId="115" fillId="5" borderId="13" xfId="0" applyNumberFormat="1" applyFont="1" applyFill="1" applyBorder="1" applyAlignment="1" applyProtection="1">
      <alignment vertical="center" textRotation="255" wrapText="1"/>
      <protection locked="0"/>
    </xf>
    <xf numFmtId="0" fontId="77" fillId="0" borderId="5" xfId="0" applyNumberFormat="1" applyFont="1" applyFill="1" applyBorder="1" applyAlignment="1" applyProtection="1">
      <alignment horizontal="center" vertical="center" wrapText="1"/>
      <protection locked="0"/>
    </xf>
    <xf numFmtId="0" fontId="74" fillId="0" borderId="5"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115" fillId="5" borderId="13" xfId="0" applyNumberFormat="1" applyFont="1" applyFill="1" applyBorder="1" applyAlignment="1" applyProtection="1">
      <alignment vertical="center" wrapText="1"/>
      <protection locked="0"/>
    </xf>
    <xf numFmtId="0" fontId="74" fillId="5" borderId="31" xfId="0" applyNumberFormat="1" applyFont="1" applyFill="1" applyBorder="1" applyAlignment="1" applyProtection="1">
      <alignment horizontal="center" vertical="center" wrapText="1"/>
    </xf>
    <xf numFmtId="0" fontId="74" fillId="0" borderId="2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center" vertical="center" wrapText="1"/>
      <protection locked="0"/>
    </xf>
    <xf numFmtId="0" fontId="74" fillId="0" borderId="4" xfId="0" applyNumberFormat="1" applyFont="1" applyFill="1" applyBorder="1" applyAlignment="1" applyProtection="1">
      <alignment horizontal="center" vertical="center" wrapText="1"/>
      <protection locked="0"/>
    </xf>
    <xf numFmtId="0" fontId="84" fillId="0" borderId="15" xfId="0" applyNumberFormat="1" applyFont="1" applyFill="1" applyBorder="1" applyAlignment="1" applyProtection="1">
      <alignment horizontal="center" vertical="center" wrapText="1"/>
      <protection locked="0"/>
    </xf>
    <xf numFmtId="0" fontId="84" fillId="5" borderId="65" xfId="0" applyNumberFormat="1" applyFont="1" applyFill="1" applyBorder="1" applyAlignment="1" applyProtection="1">
      <alignment horizontal="center" vertical="center" wrapText="1"/>
    </xf>
    <xf numFmtId="0" fontId="83" fillId="5" borderId="13" xfId="0" applyNumberFormat="1" applyFont="1" applyFill="1" applyBorder="1" applyAlignment="1" applyProtection="1">
      <alignment vertical="center" wrapText="1"/>
      <protection locked="0"/>
    </xf>
    <xf numFmtId="0" fontId="74" fillId="0" borderId="98" xfId="0" applyNumberFormat="1" applyFont="1" applyFill="1" applyBorder="1" applyAlignment="1" applyProtection="1">
      <alignment horizontal="center" vertical="center" wrapText="1"/>
      <protection locked="0"/>
    </xf>
    <xf numFmtId="0" fontId="74" fillId="0" borderId="99" xfId="0" applyNumberFormat="1" applyFont="1" applyFill="1" applyBorder="1" applyAlignment="1" applyProtection="1">
      <alignment horizontal="center" vertical="center" wrapText="1"/>
      <protection locked="0"/>
    </xf>
    <xf numFmtId="0" fontId="74" fillId="0" borderId="99" xfId="0" applyNumberFormat="1" applyFont="1" applyFill="1" applyBorder="1" applyAlignment="1" applyProtection="1">
      <alignment horizontal="left"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74" fillId="0" borderId="102" xfId="0" applyNumberFormat="1" applyFont="1" applyFill="1" applyBorder="1" applyAlignment="1" applyProtection="1">
      <alignment horizontal="center" vertical="center" wrapText="1"/>
      <protection locked="0"/>
    </xf>
    <xf numFmtId="0" fontId="74" fillId="8" borderId="0" xfId="0" applyFont="1" applyFill="1" applyAlignment="1" applyProtection="1">
      <alignment horizontal="center" vertical="center"/>
      <protection locked="0"/>
    </xf>
    <xf numFmtId="0" fontId="74" fillId="0" borderId="17"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74" fillId="0" borderId="3" xfId="0" applyNumberFormat="1" applyFont="1" applyFill="1" applyBorder="1" applyAlignment="1" applyProtection="1">
      <alignment horizontal="center" vertical="center" wrapText="1"/>
      <protection locked="0"/>
    </xf>
    <xf numFmtId="0" fontId="74" fillId="0" borderId="3" xfId="0" applyFont="1" applyFill="1" applyBorder="1" applyAlignment="1" applyProtection="1">
      <alignment horizontal="center" vertical="center" wrapText="1"/>
      <protection locked="0"/>
    </xf>
    <xf numFmtId="9" fontId="74" fillId="0" borderId="3" xfId="0" applyNumberFormat="1" applyFont="1" applyFill="1" applyBorder="1" applyAlignment="1" applyProtection="1">
      <alignment horizontal="center" vertical="center" wrapText="1"/>
      <protection locked="0"/>
    </xf>
    <xf numFmtId="0" fontId="74" fillId="0" borderId="3" xfId="0" applyFont="1" applyFill="1" applyBorder="1" applyAlignment="1" applyProtection="1">
      <alignment horizontal="center" vertical="center"/>
      <protection locked="0"/>
    </xf>
    <xf numFmtId="0" fontId="74" fillId="0" borderId="65" xfId="0" applyFont="1" applyFill="1" applyBorder="1" applyAlignment="1" applyProtection="1">
      <alignment horizontal="center" vertical="center"/>
      <protection locked="0"/>
    </xf>
    <xf numFmtId="0" fontId="74" fillId="5" borderId="22"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wrapText="1"/>
    </xf>
    <xf numFmtId="0" fontId="74" fillId="0" borderId="103" xfId="0" applyFont="1" applyFill="1" applyBorder="1" applyAlignment="1" applyProtection="1">
      <alignment horizontal="center" vertical="center"/>
      <protection locked="0"/>
    </xf>
    <xf numFmtId="0" fontId="74" fillId="0" borderId="104" xfId="0" applyNumberFormat="1" applyFont="1" applyFill="1" applyBorder="1" applyAlignment="1" applyProtection="1">
      <alignment horizontal="center" vertical="center" wrapText="1"/>
      <protection locked="0"/>
    </xf>
    <xf numFmtId="0" fontId="74" fillId="0" borderId="104" xfId="0" applyFont="1" applyFill="1" applyBorder="1" applyAlignment="1" applyProtection="1">
      <alignment horizontal="center" vertical="center" wrapText="1"/>
      <protection locked="0"/>
    </xf>
    <xf numFmtId="9" fontId="74" fillId="0" borderId="104" xfId="0" applyNumberFormat="1" applyFont="1" applyFill="1" applyBorder="1" applyAlignment="1" applyProtection="1">
      <alignment horizontal="center" vertical="center" wrapText="1"/>
      <protection locked="0"/>
    </xf>
    <xf numFmtId="0" fontId="74" fillId="0" borderId="104" xfId="0" applyFont="1" applyFill="1" applyBorder="1" applyAlignment="1" applyProtection="1">
      <alignment horizontal="center" vertical="center"/>
      <protection locked="0"/>
    </xf>
    <xf numFmtId="0" fontId="74" fillId="0" borderId="102" xfId="0" applyFont="1" applyFill="1" applyBorder="1" applyAlignment="1" applyProtection="1">
      <alignment horizontal="center" vertical="center"/>
      <protection locked="0"/>
    </xf>
    <xf numFmtId="0" fontId="74" fillId="5" borderId="102" xfId="0" applyNumberFormat="1" applyFont="1" applyFill="1" applyBorder="1" applyAlignment="1" applyProtection="1">
      <alignment horizontal="center" vertical="center" wrapText="1"/>
    </xf>
    <xf numFmtId="0" fontId="84" fillId="0" borderId="105" xfId="0" applyNumberFormat="1" applyFont="1" applyFill="1" applyBorder="1" applyAlignment="1" applyProtection="1">
      <alignment horizontal="center" vertical="center" wrapText="1"/>
      <protection locked="0"/>
    </xf>
    <xf numFmtId="0" fontId="84" fillId="0" borderId="106" xfId="0" applyNumberFormat="1" applyFont="1" applyFill="1" applyBorder="1" applyAlignment="1" applyProtection="1">
      <alignment horizontal="center" vertical="center" wrapText="1"/>
      <protection locked="0"/>
    </xf>
    <xf numFmtId="0" fontId="132" fillId="5" borderId="107" xfId="0" applyNumberFormat="1" applyFont="1" applyFill="1" applyBorder="1" applyAlignment="1" applyProtection="1">
      <alignment horizontal="center" vertical="center" wrapText="1"/>
    </xf>
    <xf numFmtId="0" fontId="9" fillId="9" borderId="26" xfId="0" applyNumberFormat="1" applyFont="1" applyFill="1" applyBorder="1" applyAlignment="1" applyProtection="1">
      <alignment horizontal="center" vertical="center" wrapText="1"/>
    </xf>
    <xf numFmtId="0" fontId="74" fillId="9" borderId="1" xfId="0" applyNumberFormat="1" applyFont="1" applyFill="1" applyBorder="1" applyAlignment="1" applyProtection="1">
      <alignment horizontal="center" vertical="center" wrapText="1"/>
      <protection locked="0"/>
    </xf>
    <xf numFmtId="0" fontId="74" fillId="9" borderId="6" xfId="0" applyNumberFormat="1" applyFont="1" applyFill="1" applyBorder="1" applyAlignment="1" applyProtection="1">
      <alignment horizontal="center" vertical="center" wrapText="1"/>
      <protection locked="0"/>
    </xf>
    <xf numFmtId="0" fontId="74" fillId="9" borderId="6" xfId="0" applyNumberFormat="1" applyFont="1" applyFill="1" applyBorder="1" applyAlignment="1" applyProtection="1">
      <alignment horizontal="left" vertical="center" wrapText="1"/>
      <protection locked="0"/>
    </xf>
    <xf numFmtId="0" fontId="74" fillId="9" borderId="29" xfId="0" applyNumberFormat="1" applyFont="1" applyFill="1" applyBorder="1" applyAlignment="1" applyProtection="1">
      <alignment horizontal="center" vertical="center" wrapText="1"/>
      <protection locked="0"/>
    </xf>
    <xf numFmtId="0" fontId="74" fillId="9" borderId="39" xfId="0" applyFont="1" applyFill="1" applyBorder="1" applyAlignment="1" applyProtection="1">
      <alignment horizontal="center" vertical="center"/>
      <protection locked="0"/>
    </xf>
    <xf numFmtId="0" fontId="74" fillId="9" borderId="27" xfId="0" applyNumberFormat="1" applyFont="1" applyFill="1" applyBorder="1" applyAlignment="1" applyProtection="1">
      <alignment horizontal="center" vertical="center" wrapText="1"/>
      <protection locked="0"/>
    </xf>
    <xf numFmtId="0" fontId="74" fillId="9" borderId="27" xfId="0" applyFont="1" applyFill="1" applyBorder="1" applyAlignment="1" applyProtection="1">
      <alignment horizontal="center" vertical="center" wrapText="1"/>
      <protection locked="0"/>
    </xf>
    <xf numFmtId="9" fontId="74" fillId="9" borderId="27" xfId="0" applyNumberFormat="1" applyFont="1" applyFill="1" applyBorder="1" applyAlignment="1" applyProtection="1">
      <alignment horizontal="center" vertical="center" wrapText="1"/>
      <protection locked="0"/>
    </xf>
    <xf numFmtId="0" fontId="74" fillId="9" borderId="27" xfId="0" applyFont="1" applyFill="1" applyBorder="1" applyAlignment="1" applyProtection="1">
      <alignment horizontal="center" vertical="center"/>
      <protection locked="0"/>
    </xf>
    <xf numFmtId="0" fontId="74" fillId="9" borderId="38" xfId="0" applyFont="1" applyFill="1" applyBorder="1" applyAlignment="1" applyProtection="1">
      <alignment horizontal="center" vertical="center"/>
      <protection locked="0"/>
    </xf>
    <xf numFmtId="0" fontId="83" fillId="9" borderId="108" xfId="0" applyNumberFormat="1" applyFont="1" applyFill="1" applyBorder="1" applyAlignment="1" applyProtection="1">
      <alignment vertical="center" wrapText="1"/>
      <protection locked="0"/>
    </xf>
    <xf numFmtId="0" fontId="74" fillId="9" borderId="53" xfId="0" applyNumberFormat="1" applyFont="1" applyFill="1" applyBorder="1" applyAlignment="1" applyProtection="1">
      <alignment horizontal="center" vertical="center" wrapText="1"/>
    </xf>
    <xf numFmtId="0" fontId="74" fillId="9" borderId="42" xfId="0" applyNumberFormat="1" applyFont="1" applyFill="1" applyBorder="1" applyAlignment="1" applyProtection="1">
      <alignment horizontal="center" vertical="center" wrapText="1"/>
      <protection locked="0"/>
    </xf>
    <xf numFmtId="0" fontId="84" fillId="9" borderId="43" xfId="0" applyNumberFormat="1" applyFont="1" applyFill="1" applyBorder="1" applyAlignment="1" applyProtection="1">
      <alignment horizontal="center" vertical="center" wrapText="1"/>
      <protection locked="0"/>
    </xf>
    <xf numFmtId="0" fontId="84" fillId="9" borderId="44" xfId="0" applyNumberFormat="1" applyFont="1" applyFill="1" applyBorder="1" applyAlignment="1" applyProtection="1">
      <alignment horizontal="center" vertical="center" wrapText="1"/>
      <protection locked="0"/>
    </xf>
    <xf numFmtId="0" fontId="84" fillId="9" borderId="47" xfId="0" applyNumberFormat="1" applyFont="1" applyFill="1" applyBorder="1" applyAlignment="1" applyProtection="1">
      <alignment horizontal="center" vertical="center" wrapText="1"/>
      <protection locked="0"/>
    </xf>
    <xf numFmtId="0" fontId="69" fillId="5" borderId="2"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50" fillId="5" borderId="28" xfId="0" applyFont="1" applyFill="1" applyBorder="1" applyAlignment="1" applyProtection="1">
      <alignment vertical="center"/>
    </xf>
    <xf numFmtId="0" fontId="79" fillId="5" borderId="5" xfId="0" applyFont="1" applyFill="1" applyBorder="1" applyProtection="1">
      <alignment vertical="center"/>
    </xf>
    <xf numFmtId="0" fontId="79" fillId="5" borderId="2" xfId="0" applyFont="1" applyFill="1" applyBorder="1" applyProtection="1">
      <alignment vertical="center"/>
    </xf>
    <xf numFmtId="177" fontId="69" fillId="5" borderId="2" xfId="0" applyNumberFormat="1" applyFont="1" applyFill="1" applyBorder="1" applyProtection="1">
      <alignment vertical="center"/>
    </xf>
    <xf numFmtId="178" fontId="128" fillId="5" borderId="11" xfId="3" applyNumberFormat="1" applyFont="1" applyFill="1" applyBorder="1" applyAlignment="1" applyProtection="1">
      <alignment horizontal="left" vertical="center"/>
    </xf>
    <xf numFmtId="178" fontId="69" fillId="5" borderId="11" xfId="3" applyNumberFormat="1" applyFont="1" applyFill="1" applyBorder="1" applyAlignment="1" applyProtection="1">
      <alignment horizontal="left" vertical="center" wrapText="1"/>
    </xf>
    <xf numFmtId="0" fontId="15" fillId="5" borderId="1" xfId="3" applyFont="1" applyFill="1" applyBorder="1" applyAlignment="1" applyProtection="1">
      <alignment vertical="center" wrapText="1"/>
    </xf>
    <xf numFmtId="0" fontId="69" fillId="5" borderId="2" xfId="0" applyFont="1" applyFill="1" applyBorder="1" applyAlignment="1" applyProtection="1">
      <alignment horizontal="right" vertical="center" wrapText="1"/>
    </xf>
    <xf numFmtId="178" fontId="69" fillId="5" borderId="2" xfId="3" applyNumberFormat="1" applyFont="1" applyFill="1" applyBorder="1" applyAlignment="1" applyProtection="1">
      <alignment vertical="center"/>
    </xf>
    <xf numFmtId="178" fontId="69" fillId="5" borderId="5" xfId="3" applyNumberFormat="1" applyFont="1" applyFill="1" applyBorder="1" applyAlignment="1" applyProtection="1">
      <alignment vertical="center"/>
    </xf>
    <xf numFmtId="178" fontId="69" fillId="5" borderId="11" xfId="3" applyNumberFormat="1" applyFont="1" applyFill="1" applyBorder="1" applyAlignment="1" applyProtection="1">
      <alignment horizontal="center" vertical="center"/>
    </xf>
    <xf numFmtId="184" fontId="69" fillId="5" borderId="2" xfId="0" applyNumberFormat="1" applyFont="1" applyFill="1" applyBorder="1" applyAlignment="1" applyProtection="1">
      <alignment horizontal="center" vertical="center"/>
    </xf>
    <xf numFmtId="182" fontId="78" fillId="5" borderId="2" xfId="0" applyNumberFormat="1" applyFont="1" applyFill="1" applyBorder="1" applyAlignment="1" applyProtection="1">
      <alignment horizontal="center" vertical="center"/>
    </xf>
    <xf numFmtId="180" fontId="69" fillId="5" borderId="42" xfId="3" applyNumberFormat="1" applyFont="1" applyFill="1" applyBorder="1" applyAlignment="1" applyProtection="1">
      <alignment horizontal="center" vertical="center"/>
    </xf>
    <xf numFmtId="178" fontId="79" fillId="5" borderId="11" xfId="3"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80" fillId="5" borderId="9" xfId="0" applyFont="1" applyFill="1" applyBorder="1" applyAlignment="1" applyProtection="1">
      <alignment horizontal="center" vertical="center"/>
    </xf>
    <xf numFmtId="178" fontId="69" fillId="5" borderId="2" xfId="3" applyNumberFormat="1" applyFont="1" applyFill="1" applyBorder="1" applyAlignment="1" applyProtection="1">
      <alignment horizontal="center" vertical="center"/>
    </xf>
    <xf numFmtId="0" fontId="69" fillId="0" borderId="12" xfId="3" applyNumberFormat="1" applyFont="1" applyFill="1" applyBorder="1" applyAlignment="1" applyProtection="1">
      <alignment horizontal="center" vertical="center"/>
    </xf>
    <xf numFmtId="9" fontId="69" fillId="5" borderId="5" xfId="0" applyNumberFormat="1" applyFont="1" applyFill="1" applyBorder="1" applyAlignment="1" applyProtection="1">
      <alignment horizontal="center" vertical="center"/>
    </xf>
    <xf numFmtId="10" fontId="69" fillId="5" borderId="2" xfId="3" applyNumberFormat="1" applyFont="1" applyFill="1" applyBorder="1" applyAlignment="1" applyProtection="1">
      <alignment horizontal="center" vertical="center"/>
    </xf>
    <xf numFmtId="182" fontId="69" fillId="5" borderId="2" xfId="0" applyNumberFormat="1" applyFont="1" applyFill="1" applyBorder="1" applyAlignment="1" applyProtection="1">
      <alignment vertical="center"/>
    </xf>
    <xf numFmtId="182" fontId="69" fillId="5" borderId="5" xfId="0" applyNumberFormat="1" applyFont="1" applyFill="1" applyBorder="1" applyAlignment="1" applyProtection="1">
      <alignment vertical="center"/>
    </xf>
    <xf numFmtId="182" fontId="69" fillId="5" borderId="12" xfId="0" applyNumberFormat="1" applyFont="1" applyFill="1" applyBorder="1" applyAlignment="1" applyProtection="1">
      <alignment vertical="center"/>
    </xf>
    <xf numFmtId="182" fontId="69" fillId="5" borderId="2" xfId="0" applyNumberFormat="1" applyFont="1" applyFill="1" applyBorder="1" applyAlignment="1" applyProtection="1">
      <alignment horizontal="center" vertical="center"/>
    </xf>
    <xf numFmtId="182" fontId="69" fillId="5" borderId="5" xfId="0" applyNumberFormat="1" applyFont="1" applyFill="1" applyBorder="1" applyAlignment="1" applyProtection="1">
      <alignment horizontal="center" vertical="center"/>
    </xf>
    <xf numFmtId="10" fontId="69" fillId="5" borderId="2" xfId="0" applyNumberFormat="1" applyFont="1" applyFill="1" applyBorder="1" applyAlignment="1" applyProtection="1">
      <alignment horizontal="center" vertical="center"/>
    </xf>
    <xf numFmtId="183" fontId="69" fillId="5" borderId="2" xfId="0" applyNumberFormat="1" applyFont="1" applyFill="1" applyBorder="1" applyAlignment="1" applyProtection="1">
      <alignment horizontal="center" vertical="center"/>
    </xf>
    <xf numFmtId="182" fontId="69" fillId="5" borderId="12" xfId="0" applyNumberFormat="1"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74" fillId="5" borderId="20" xfId="0" applyFont="1" applyFill="1" applyBorder="1" applyAlignment="1" applyProtection="1">
      <alignment horizontal="left" vertical="center"/>
      <protection locked="0"/>
    </xf>
    <xf numFmtId="0" fontId="131" fillId="5" borderId="46" xfId="0" applyFont="1" applyFill="1" applyBorder="1" applyAlignment="1" applyProtection="1">
      <alignment vertical="center"/>
    </xf>
    <xf numFmtId="0" fontId="50" fillId="5" borderId="2" xfId="0" applyFont="1" applyFill="1" applyBorder="1" applyAlignment="1" applyProtection="1">
      <alignment vertical="center"/>
    </xf>
    <xf numFmtId="0" fontId="38" fillId="5" borderId="11" xfId="3" applyFont="1" applyFill="1" applyBorder="1" applyAlignment="1" applyProtection="1"/>
    <xf numFmtId="0" fontId="146" fillId="5" borderId="9" xfId="0" applyFont="1" applyFill="1" applyBorder="1" applyAlignment="1" applyProtection="1">
      <alignment horizontal="right" vertical="center"/>
    </xf>
    <xf numFmtId="0" fontId="244" fillId="5" borderId="5" xfId="0" applyFont="1" applyFill="1" applyBorder="1" applyAlignment="1" applyProtection="1">
      <alignment horizontal="left" vertical="center"/>
    </xf>
    <xf numFmtId="0" fontId="245" fillId="5" borderId="9" xfId="0" applyFont="1" applyFill="1" applyBorder="1" applyAlignment="1" applyProtection="1">
      <alignment horizontal="right" vertical="center"/>
    </xf>
    <xf numFmtId="0" fontId="80" fillId="5" borderId="9" xfId="0" applyFont="1" applyFill="1" applyBorder="1" applyAlignment="1" applyProtection="1">
      <alignment horizontal="right" vertical="center"/>
    </xf>
    <xf numFmtId="178" fontId="50" fillId="5" borderId="2" xfId="3" applyNumberFormat="1" applyFont="1" applyFill="1" applyBorder="1" applyAlignment="1" applyProtection="1">
      <alignment vertical="center"/>
    </xf>
    <xf numFmtId="14" fontId="73" fillId="5" borderId="61" xfId="0" applyNumberFormat="1" applyFont="1" applyFill="1" applyBorder="1" applyAlignment="1" applyProtection="1">
      <alignment horizontal="center" vertical="center"/>
    </xf>
    <xf numFmtId="0" fontId="191" fillId="5" borderId="2" xfId="0" applyFont="1" applyFill="1" applyBorder="1" applyAlignment="1" applyProtection="1">
      <alignment horizontal="left" vertical="center" wrapText="1"/>
      <protection locked="0"/>
    </xf>
    <xf numFmtId="0" fontId="80" fillId="5" borderId="2" xfId="0" applyFont="1" applyFill="1" applyBorder="1" applyAlignment="1" applyProtection="1">
      <alignment horizontal="center" vertical="center" wrapText="1"/>
    </xf>
    <xf numFmtId="177" fontId="74" fillId="0" borderId="2" xfId="0" applyNumberFormat="1" applyFont="1" applyFill="1" applyBorder="1" applyAlignment="1" applyProtection="1">
      <alignment horizontal="center" vertical="center" wrapText="1"/>
      <protection locked="0"/>
    </xf>
    <xf numFmtId="0" fontId="79" fillId="5" borderId="21" xfId="0" applyFont="1" applyFill="1" applyBorder="1" applyProtection="1">
      <alignment vertical="center"/>
    </xf>
    <xf numFmtId="0" fontId="188" fillId="0" borderId="2" xfId="0" applyNumberFormat="1" applyFont="1" applyFill="1" applyBorder="1" applyAlignment="1" applyProtection="1">
      <alignment horizontal="center" vertical="center" wrapText="1"/>
      <protection locked="0"/>
    </xf>
    <xf numFmtId="0" fontId="188" fillId="0" borderId="2" xfId="0" applyNumberFormat="1" applyFont="1" applyFill="1" applyBorder="1" applyAlignment="1" applyProtection="1">
      <alignment horizontal="left" vertical="center" wrapText="1"/>
      <protection locked="0"/>
    </xf>
    <xf numFmtId="0" fontId="188" fillId="0" borderId="12" xfId="0" applyNumberFormat="1" applyFont="1" applyFill="1" applyBorder="1" applyAlignment="1" applyProtection="1">
      <alignment horizontal="center" vertical="center" wrapText="1"/>
      <protection locked="0"/>
    </xf>
    <xf numFmtId="0" fontId="148" fillId="2" borderId="14" xfId="0" applyFont="1" applyFill="1" applyBorder="1" applyAlignment="1" applyProtection="1">
      <alignment vertical="center"/>
      <protection locked="0"/>
    </xf>
    <xf numFmtId="182" fontId="83" fillId="0" borderId="12" xfId="0" applyNumberFormat="1" applyFont="1" applyFill="1" applyBorder="1" applyAlignment="1" applyProtection="1">
      <alignment horizontal="center" vertical="center"/>
      <protection locked="0"/>
    </xf>
    <xf numFmtId="49" fontId="83" fillId="5" borderId="52" xfId="0" applyNumberFormat="1" applyFont="1" applyFill="1" applyBorder="1" applyAlignment="1" applyProtection="1">
      <alignment vertical="center"/>
    </xf>
    <xf numFmtId="0" fontId="83" fillId="5" borderId="27" xfId="0" applyFont="1" applyFill="1" applyBorder="1" applyAlignment="1" applyProtection="1">
      <alignment vertical="center" wrapText="1"/>
    </xf>
    <xf numFmtId="0" fontId="83" fillId="5" borderId="27" xfId="0" applyFont="1" applyFill="1" applyBorder="1" applyAlignment="1" applyProtection="1">
      <alignment horizontal="center" vertical="center"/>
    </xf>
    <xf numFmtId="0" fontId="74"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3" fillId="0" borderId="7" xfId="0" applyFont="1" applyFill="1" applyBorder="1" applyAlignment="1" applyProtection="1">
      <alignment horizontal="center" vertical="center"/>
      <protection locked="0"/>
    </xf>
    <xf numFmtId="0" fontId="246" fillId="8" borderId="35" xfId="0" applyFont="1" applyFill="1" applyBorder="1" applyAlignment="1" applyProtection="1">
      <alignment vertical="center"/>
      <protection locked="0"/>
    </xf>
    <xf numFmtId="0" fontId="104" fillId="8" borderId="36" xfId="0" applyFont="1" applyFill="1" applyBorder="1" applyAlignment="1" applyProtection="1">
      <alignment vertical="center"/>
      <protection locked="0"/>
    </xf>
    <xf numFmtId="0" fontId="104" fillId="8" borderId="37" xfId="0" applyFont="1" applyFill="1" applyBorder="1" applyAlignment="1" applyProtection="1">
      <alignment horizontal="left" vertical="center"/>
      <protection locked="0"/>
    </xf>
    <xf numFmtId="0" fontId="130" fillId="6" borderId="7" xfId="0" applyFont="1" applyFill="1" applyBorder="1" applyAlignment="1" applyProtection="1">
      <alignment horizontal="center" vertical="center"/>
      <protection locked="0"/>
    </xf>
    <xf numFmtId="0" fontId="187" fillId="6" borderId="12" xfId="0" applyFont="1" applyFill="1" applyBorder="1" applyAlignment="1" applyProtection="1">
      <alignment horizontal="center"/>
      <protection locked="0"/>
    </xf>
    <xf numFmtId="0" fontId="104" fillId="8" borderId="12" xfId="0" applyFont="1" applyFill="1" applyBorder="1" applyAlignment="1" applyProtection="1">
      <alignment horizontal="center" vertical="center"/>
      <protection locked="0"/>
    </xf>
    <xf numFmtId="0" fontId="104" fillId="0" borderId="12" xfId="0" applyFont="1" applyFill="1" applyBorder="1" applyAlignment="1" applyProtection="1">
      <alignment horizontal="center" vertical="center"/>
      <protection locked="0"/>
    </xf>
    <xf numFmtId="10" fontId="104" fillId="0" borderId="45" xfId="0" applyNumberFormat="1" applyFont="1" applyFill="1" applyBorder="1" applyAlignment="1" applyProtection="1">
      <alignment horizontal="center" vertical="center"/>
      <protection locked="0"/>
    </xf>
    <xf numFmtId="0" fontId="104" fillId="6" borderId="56" xfId="0" applyFont="1" applyFill="1" applyBorder="1" applyAlignment="1" applyProtection="1">
      <alignment horizontal="center" vertical="center"/>
      <protection locked="0"/>
    </xf>
    <xf numFmtId="49" fontId="30" fillId="5" borderId="0" xfId="0" applyNumberFormat="1" applyFont="1" applyFill="1" applyBorder="1" applyAlignment="1" applyProtection="1">
      <alignment horizontal="center"/>
    </xf>
    <xf numFmtId="0" fontId="104" fillId="5" borderId="0" xfId="0" applyNumberFormat="1" applyFont="1" applyFill="1" applyBorder="1" applyAlignment="1" applyProtection="1">
      <alignment horizontal="center"/>
    </xf>
    <xf numFmtId="182" fontId="69" fillId="0" borderId="5" xfId="0" applyNumberFormat="1" applyFont="1" applyBorder="1" applyAlignment="1" applyProtection="1">
      <alignment horizontal="center" vertical="center"/>
      <protection locked="0"/>
    </xf>
    <xf numFmtId="0" fontId="15" fillId="5" borderId="2" xfId="0" applyFont="1" applyFill="1" applyBorder="1" applyAlignment="1" applyProtection="1">
      <alignment horizontal="center" vertical="center" wrapText="1"/>
      <protection locked="0"/>
    </xf>
    <xf numFmtId="0" fontId="69" fillId="6" borderId="2" xfId="0" applyFont="1" applyFill="1" applyBorder="1" applyAlignment="1" applyProtection="1">
      <alignment vertical="center"/>
      <protection locked="0"/>
    </xf>
    <xf numFmtId="0" fontId="96" fillId="8" borderId="0" xfId="0" applyFont="1" applyFill="1" applyAlignment="1" applyProtection="1">
      <alignment horizontal="center" vertical="center"/>
      <protection locked="0"/>
    </xf>
    <xf numFmtId="0" fontId="114" fillId="8" borderId="0" xfId="0" applyFont="1" applyFill="1" applyAlignment="1" applyProtection="1">
      <alignment horizontal="center" vertical="center"/>
      <protection locked="0"/>
    </xf>
    <xf numFmtId="0" fontId="247" fillId="5" borderId="0" xfId="0" applyFont="1" applyFill="1" applyAlignment="1" applyProtection="1">
      <alignment vertical="center"/>
    </xf>
    <xf numFmtId="0" fontId="187" fillId="5" borderId="80" xfId="0" applyFont="1" applyFill="1" applyBorder="1" applyAlignment="1" applyProtection="1">
      <alignment vertical="center" wrapText="1"/>
    </xf>
    <xf numFmtId="0" fontId="187" fillId="5" borderId="37" xfId="0" applyFont="1" applyFill="1" applyBorder="1" applyAlignment="1" applyProtection="1">
      <alignment vertical="center"/>
    </xf>
    <xf numFmtId="0" fontId="187" fillId="5" borderId="37" xfId="0" applyFont="1" applyFill="1" applyBorder="1" applyAlignment="1" applyProtection="1">
      <alignment horizontal="center" vertical="center" wrapText="1"/>
    </xf>
    <xf numFmtId="0" fontId="216" fillId="5" borderId="83" xfId="0" applyFont="1" applyFill="1" applyBorder="1" applyAlignment="1" applyProtection="1">
      <alignment vertical="center" wrapText="1"/>
    </xf>
    <xf numFmtId="0" fontId="187" fillId="5" borderId="66" xfId="0" applyFont="1" applyFill="1" applyBorder="1" applyAlignment="1" applyProtection="1">
      <alignment vertical="center"/>
    </xf>
    <xf numFmtId="0" fontId="216" fillId="5" borderId="66" xfId="0" applyFont="1" applyFill="1" applyBorder="1" applyAlignment="1" applyProtection="1">
      <alignment horizontal="center" vertical="center" wrapText="1"/>
    </xf>
    <xf numFmtId="0" fontId="216" fillId="5" borderId="83" xfId="0" applyFont="1" applyFill="1" applyBorder="1" applyAlignment="1" applyProtection="1">
      <alignment horizontal="right" vertical="center" wrapText="1"/>
    </xf>
    <xf numFmtId="10" fontId="216" fillId="5" borderId="66" xfId="0" applyNumberFormat="1" applyFont="1" applyFill="1" applyBorder="1" applyAlignment="1" applyProtection="1">
      <alignment horizontal="center" vertical="center" wrapText="1"/>
    </xf>
    <xf numFmtId="0" fontId="216" fillId="5" borderId="66" xfId="0" applyFont="1" applyFill="1" applyBorder="1" applyAlignment="1" applyProtection="1">
      <alignment vertical="center"/>
    </xf>
    <xf numFmtId="0" fontId="213" fillId="5" borderId="0" xfId="0" applyFont="1" applyFill="1" applyAlignment="1" applyProtection="1">
      <alignment vertical="center"/>
    </xf>
    <xf numFmtId="193" fontId="216" fillId="5" borderId="66" xfId="0" applyNumberFormat="1" applyFont="1" applyFill="1" applyBorder="1" applyAlignment="1" applyProtection="1">
      <alignment horizontal="center" vertical="center" wrapText="1"/>
    </xf>
    <xf numFmtId="0" fontId="212" fillId="5" borderId="66" xfId="0" applyFont="1" applyFill="1" applyBorder="1" applyAlignment="1" applyProtection="1">
      <alignment vertical="center"/>
    </xf>
    <xf numFmtId="0" fontId="248" fillId="5" borderId="66" xfId="0" applyFont="1" applyFill="1" applyBorder="1" applyAlignment="1" applyProtection="1">
      <alignment vertical="center"/>
    </xf>
    <xf numFmtId="0" fontId="203" fillId="5" borderId="2" xfId="4" applyNumberFormat="1" applyFont="1" applyFill="1" applyBorder="1" applyAlignment="1" applyProtection="1">
      <alignment horizontal="center" vertical="center" wrapText="1"/>
    </xf>
    <xf numFmtId="0" fontId="203" fillId="5" borderId="10" xfId="4" applyNumberFormat="1" applyFont="1" applyFill="1" applyBorder="1" applyAlignment="1" applyProtection="1">
      <alignment horizontal="center" vertical="center" wrapText="1"/>
    </xf>
    <xf numFmtId="0" fontId="203" fillId="5" borderId="43" xfId="4" applyNumberFormat="1" applyFont="1" applyFill="1" applyBorder="1" applyAlignment="1" applyProtection="1">
      <alignment horizontal="center" vertical="center" wrapText="1"/>
    </xf>
    <xf numFmtId="49" fontId="203" fillId="5" borderId="2" xfId="4" applyNumberFormat="1" applyFont="1" applyFill="1" applyBorder="1" applyAlignment="1" applyProtection="1">
      <alignment horizontal="center" vertical="center" wrapText="1"/>
    </xf>
    <xf numFmtId="49" fontId="203" fillId="5" borderId="54" xfId="4" applyNumberFormat="1" applyFont="1" applyFill="1" applyBorder="1" applyAlignment="1" applyProtection="1">
      <alignment horizontal="center" vertical="center" wrapText="1"/>
    </xf>
    <xf numFmtId="49" fontId="203" fillId="5" borderId="43" xfId="4" applyNumberFormat="1" applyFont="1" applyFill="1" applyBorder="1" applyAlignment="1" applyProtection="1">
      <alignment horizontal="center" vertical="center" wrapText="1"/>
    </xf>
    <xf numFmtId="0" fontId="244" fillId="5" borderId="2" xfId="0" applyFont="1" applyFill="1" applyBorder="1" applyAlignment="1" applyProtection="1">
      <alignment horizontal="center" vertical="center" wrapText="1"/>
    </xf>
    <xf numFmtId="10" fontId="188" fillId="0" borderId="2" xfId="4" applyNumberFormat="1" applyFont="1" applyBorder="1" applyAlignment="1" applyProtection="1">
      <alignment horizontal="center" vertical="center"/>
      <protection locked="0"/>
    </xf>
    <xf numFmtId="183" fontId="188" fillId="5" borderId="2" xfId="4" applyNumberFormat="1" applyFont="1" applyFill="1" applyBorder="1" applyAlignment="1" applyProtection="1">
      <alignment horizontal="center" vertical="center"/>
    </xf>
    <xf numFmtId="10" fontId="191" fillId="5" borderId="2" xfId="4" applyNumberFormat="1" applyFont="1" applyFill="1" applyBorder="1" applyAlignment="1" applyProtection="1">
      <alignment horizontal="center" vertical="center" wrapText="1"/>
    </xf>
    <xf numFmtId="10" fontId="188" fillId="0" borderId="2" xfId="0" applyNumberFormat="1" applyFont="1" applyBorder="1" applyAlignment="1" applyProtection="1">
      <alignment horizontal="center" vertical="center"/>
      <protection locked="0"/>
    </xf>
    <xf numFmtId="0" fontId="249" fillId="5" borderId="0" xfId="4" applyFont="1" applyFill="1" applyProtection="1">
      <alignment vertical="center"/>
    </xf>
    <xf numFmtId="0" fontId="186" fillId="5" borderId="0" xfId="4" applyNumberFormat="1" applyFill="1" applyAlignment="1" applyProtection="1">
      <alignment horizontal="center" vertical="center" wrapText="1"/>
    </xf>
    <xf numFmtId="0" fontId="198" fillId="5" borderId="0" xfId="4" applyFont="1" applyFill="1" applyProtection="1">
      <alignment vertical="center"/>
    </xf>
    <xf numFmtId="0" fontId="188" fillId="5" borderId="0" xfId="4" applyFont="1" applyFill="1" applyProtection="1">
      <alignment vertical="center"/>
    </xf>
    <xf numFmtId="0" fontId="188" fillId="5" borderId="0" xfId="4" applyFont="1" applyFill="1" applyAlignment="1" applyProtection="1">
      <alignment horizontal="center" vertical="center"/>
    </xf>
    <xf numFmtId="0" fontId="249" fillId="5" borderId="58" xfId="4" applyFont="1" applyFill="1" applyBorder="1" applyAlignment="1" applyProtection="1">
      <alignment vertical="center"/>
    </xf>
    <xf numFmtId="0" fontId="204" fillId="5" borderId="28" xfId="4" applyNumberFormat="1" applyFont="1" applyFill="1" applyBorder="1" applyAlignment="1" applyProtection="1">
      <alignment horizontal="center" vertical="center" wrapText="1"/>
    </xf>
    <xf numFmtId="0" fontId="198" fillId="5" borderId="28" xfId="4" applyFont="1" applyFill="1" applyBorder="1" applyProtection="1">
      <alignment vertical="center"/>
    </xf>
    <xf numFmtId="0" fontId="250" fillId="5" borderId="30" xfId="4" applyFont="1" applyFill="1" applyBorder="1" applyAlignment="1" applyProtection="1">
      <alignment vertical="center"/>
    </xf>
    <xf numFmtId="0" fontId="250" fillId="5" borderId="56" xfId="4" applyFont="1" applyFill="1" applyBorder="1" applyAlignment="1" applyProtection="1">
      <alignment horizontal="center" vertical="center"/>
    </xf>
    <xf numFmtId="0" fontId="249" fillId="5" borderId="0" xfId="4" applyFont="1" applyFill="1" applyBorder="1" applyAlignment="1" applyProtection="1">
      <alignment vertical="center"/>
    </xf>
    <xf numFmtId="0" fontId="202" fillId="5" borderId="2" xfId="4" applyFont="1" applyFill="1" applyBorder="1" applyAlignment="1" applyProtection="1">
      <alignment horizontal="center" vertical="center" wrapText="1"/>
    </xf>
    <xf numFmtId="0" fontId="191" fillId="5" borderId="2" xfId="4" applyFont="1" applyFill="1" applyBorder="1" applyAlignment="1" applyProtection="1">
      <alignment horizontal="center" vertical="center" wrapText="1"/>
    </xf>
    <xf numFmtId="0" fontId="84" fillId="5" borderId="12" xfId="4" applyFont="1" applyFill="1" applyBorder="1" applyAlignment="1" applyProtection="1">
      <alignment horizontal="center" vertical="center" wrapText="1"/>
    </xf>
    <xf numFmtId="0" fontId="244" fillId="5" borderId="13" xfId="0" applyFont="1" applyFill="1" applyBorder="1" applyAlignment="1" applyProtection="1">
      <alignment horizontal="center" vertical="center" wrapText="1"/>
    </xf>
    <xf numFmtId="0" fontId="69" fillId="5" borderId="2" xfId="4" applyNumberFormat="1" applyFont="1" applyFill="1" applyBorder="1" applyAlignment="1" applyProtection="1">
      <alignment horizontal="center" vertical="center" wrapText="1"/>
    </xf>
    <xf numFmtId="9" fontId="191" fillId="5" borderId="2" xfId="4" applyNumberFormat="1" applyFont="1" applyFill="1" applyBorder="1" applyAlignment="1" applyProtection="1">
      <alignment horizontal="center" vertical="center" wrapText="1"/>
    </xf>
    <xf numFmtId="10" fontId="84" fillId="5" borderId="25" xfId="4" applyNumberFormat="1" applyFont="1" applyFill="1" applyBorder="1" applyAlignment="1" applyProtection="1">
      <alignment horizontal="center" vertical="center" wrapText="1"/>
    </xf>
    <xf numFmtId="10" fontId="125" fillId="5" borderId="0" xfId="4" applyNumberFormat="1" applyFont="1" applyFill="1" applyBorder="1" applyAlignment="1" applyProtection="1">
      <alignment horizontal="center" vertical="center" wrapText="1"/>
    </xf>
    <xf numFmtId="10" fontId="82" fillId="5" borderId="2" xfId="4" applyNumberFormat="1" applyFont="1" applyFill="1" applyBorder="1" applyAlignment="1" applyProtection="1">
      <alignment horizontal="center" vertical="center" wrapText="1"/>
    </xf>
    <xf numFmtId="10" fontId="84" fillId="5" borderId="51" xfId="4" applyNumberFormat="1" applyFont="1" applyFill="1" applyBorder="1" applyAlignment="1" applyProtection="1">
      <alignment vertical="center" wrapText="1"/>
    </xf>
    <xf numFmtId="0" fontId="203" fillId="5" borderId="64" xfId="4" applyFont="1" applyFill="1" applyBorder="1" applyAlignment="1" applyProtection="1">
      <alignment horizontal="center" vertical="center" wrapText="1"/>
    </xf>
    <xf numFmtId="0" fontId="203" fillId="5" borderId="42" xfId="4" applyFont="1" applyFill="1" applyBorder="1" applyAlignment="1" applyProtection="1">
      <alignment horizontal="center" vertical="center" wrapText="1"/>
    </xf>
    <xf numFmtId="9" fontId="191" fillId="5" borderId="43" xfId="4" applyNumberFormat="1" applyFont="1" applyFill="1" applyBorder="1" applyAlignment="1" applyProtection="1">
      <alignment horizontal="center" vertical="center" wrapText="1"/>
    </xf>
    <xf numFmtId="10" fontId="84" fillId="5" borderId="69" xfId="4" applyNumberFormat="1" applyFont="1" applyFill="1" applyBorder="1" applyAlignment="1" applyProtection="1">
      <alignment vertical="center" wrapText="1"/>
    </xf>
    <xf numFmtId="0" fontId="251" fillId="5" borderId="30" xfId="4" applyFont="1" applyFill="1" applyBorder="1" applyAlignment="1" applyProtection="1">
      <alignment vertical="center"/>
    </xf>
    <xf numFmtId="10" fontId="84" fillId="5" borderId="51" xfId="4" applyNumberFormat="1" applyFont="1" applyFill="1" applyBorder="1" applyAlignment="1" applyProtection="1">
      <alignment horizontal="center" vertical="center" wrapText="1"/>
    </xf>
    <xf numFmtId="10" fontId="125" fillId="5" borderId="0" xfId="4" applyNumberFormat="1" applyFont="1" applyFill="1" applyBorder="1" applyAlignment="1" applyProtection="1">
      <alignment vertical="center" wrapText="1"/>
    </xf>
    <xf numFmtId="10" fontId="84" fillId="5" borderId="69" xfId="4" applyNumberFormat="1" applyFont="1" applyFill="1" applyBorder="1" applyAlignment="1" applyProtection="1">
      <alignment horizontal="center" vertical="center" wrapText="1"/>
    </xf>
    <xf numFmtId="0" fontId="203" fillId="5" borderId="0" xfId="4" applyFont="1" applyFill="1" applyAlignment="1" applyProtection="1">
      <alignment horizontal="left" vertical="center"/>
    </xf>
    <xf numFmtId="0" fontId="203" fillId="5" borderId="2" xfId="4" applyFont="1" applyFill="1" applyBorder="1" applyAlignment="1" applyProtection="1">
      <alignment horizontal="center" vertical="center"/>
    </xf>
    <xf numFmtId="0" fontId="210" fillId="5" borderId="0" xfId="4" applyFont="1" applyFill="1" applyAlignment="1" applyProtection="1">
      <alignment horizontal="center" vertical="center"/>
    </xf>
    <xf numFmtId="180" fontId="197" fillId="5" borderId="3" xfId="7" applyNumberFormat="1" applyFont="1" applyFill="1" applyBorder="1" applyAlignment="1" applyProtection="1">
      <alignment horizontal="center" vertical="center" wrapText="1"/>
    </xf>
    <xf numFmtId="0" fontId="38" fillId="0" borderId="2" xfId="4" applyFont="1" applyFill="1" applyBorder="1" applyAlignment="1" applyProtection="1">
      <alignment vertical="center" wrapText="1"/>
      <protection locked="0"/>
    </xf>
    <xf numFmtId="0" fontId="95" fillId="5" borderId="2" xfId="4" applyFont="1" applyFill="1" applyBorder="1" applyAlignment="1" applyProtection="1">
      <alignment horizontal="right" vertical="center" wrapText="1"/>
    </xf>
    <xf numFmtId="0" fontId="76" fillId="5" borderId="13" xfId="0" applyNumberFormat="1" applyFont="1" applyFill="1" applyBorder="1" applyAlignment="1" applyProtection="1">
      <alignment horizontal="left" vertical="center"/>
    </xf>
    <xf numFmtId="0" fontId="76" fillId="5" borderId="2" xfId="0" applyNumberFormat="1" applyFont="1" applyFill="1" applyBorder="1" applyAlignment="1" applyProtection="1">
      <alignment horizontal="center" vertical="center" wrapText="1"/>
    </xf>
    <xf numFmtId="0" fontId="76" fillId="5" borderId="0" xfId="0" applyFont="1" applyFill="1" applyBorder="1" applyAlignment="1" applyProtection="1">
      <alignment vertical="center"/>
    </xf>
    <xf numFmtId="0" fontId="218" fillId="0" borderId="5" xfId="0" applyFont="1" applyFill="1" applyBorder="1" applyAlignment="1" applyProtection="1">
      <alignment horizontal="center" vertical="center" wrapText="1"/>
      <protection locked="0"/>
    </xf>
    <xf numFmtId="0" fontId="218" fillId="0" borderId="8" xfId="0" applyFont="1" applyFill="1" applyBorder="1" applyAlignment="1" applyProtection="1">
      <alignment horizontal="center" vertical="center" wrapText="1"/>
      <protection locked="0"/>
    </xf>
    <xf numFmtId="0" fontId="218" fillId="0" borderId="9" xfId="0" applyFont="1" applyFill="1" applyBorder="1" applyAlignment="1" applyProtection="1">
      <alignment horizontal="center" vertical="center" wrapText="1"/>
      <protection locked="0"/>
    </xf>
    <xf numFmtId="10" fontId="188" fillId="5" borderId="2" xfId="4" applyNumberFormat="1" applyFont="1" applyFill="1" applyBorder="1" applyAlignment="1" applyProtection="1">
      <alignment horizontal="center" vertical="center"/>
    </xf>
    <xf numFmtId="10" fontId="188" fillId="5" borderId="2" xfId="0" applyNumberFormat="1" applyFont="1" applyFill="1" applyBorder="1" applyAlignment="1" applyProtection="1">
      <alignment horizontal="center" vertical="center"/>
    </xf>
    <xf numFmtId="0" fontId="212" fillId="5" borderId="31" xfId="0" applyFont="1" applyFill="1" applyBorder="1" applyAlignment="1" applyProtection="1">
      <alignment horizontal="left" vertical="center"/>
    </xf>
    <xf numFmtId="0" fontId="74" fillId="5" borderId="8" xfId="0" applyFont="1" applyFill="1" applyBorder="1" applyProtection="1">
      <alignment vertical="center"/>
      <protection locked="0"/>
    </xf>
    <xf numFmtId="0" fontId="74" fillId="5" borderId="16" xfId="0" applyFont="1" applyFill="1" applyBorder="1" applyProtection="1">
      <alignment vertical="center"/>
      <protection locked="0"/>
    </xf>
    <xf numFmtId="0" fontId="74" fillId="5" borderId="0" xfId="0" applyFont="1" applyFill="1" applyBorder="1" applyProtection="1">
      <alignment vertical="center"/>
      <protection locked="0"/>
    </xf>
    <xf numFmtId="0" fontId="74" fillId="5" borderId="65" xfId="0" applyFont="1" applyFill="1" applyBorder="1" applyProtection="1">
      <alignment vertical="center"/>
      <protection locked="0"/>
    </xf>
    <xf numFmtId="0" fontId="67" fillId="5" borderId="64" xfId="0" applyFont="1" applyFill="1" applyBorder="1" applyProtection="1">
      <alignment vertical="center"/>
      <protection locked="0"/>
    </xf>
    <xf numFmtId="49" fontId="93" fillId="5" borderId="11" xfId="3" applyNumberFormat="1" applyFont="1" applyFill="1" applyBorder="1" applyAlignment="1" applyProtection="1">
      <alignment horizontal="left" vertical="center"/>
    </xf>
    <xf numFmtId="49" fontId="93" fillId="5" borderId="11" xfId="0" applyNumberFormat="1" applyFont="1" applyFill="1" applyBorder="1" applyAlignment="1" applyProtection="1">
      <alignment horizontal="left" vertical="center"/>
    </xf>
    <xf numFmtId="49" fontId="93" fillId="5" borderId="42" xfId="3" applyNumberFormat="1" applyFont="1" applyFill="1" applyBorder="1" applyAlignment="1" applyProtection="1">
      <alignment horizontal="left" vertical="center"/>
    </xf>
    <xf numFmtId="0" fontId="58" fillId="5" borderId="5" xfId="3" applyFont="1" applyFill="1" applyBorder="1" applyAlignment="1" applyProtection="1">
      <alignment vertical="center"/>
    </xf>
    <xf numFmtId="10" fontId="84" fillId="5" borderId="5" xfId="3" applyNumberFormat="1" applyFont="1" applyFill="1" applyBorder="1" applyAlignment="1" applyProtection="1">
      <alignment horizontal="center" vertical="center"/>
    </xf>
    <xf numFmtId="0" fontId="156" fillId="5" borderId="5" xfId="3" applyFont="1" applyFill="1" applyBorder="1" applyAlignment="1" applyProtection="1">
      <alignment vertical="center"/>
    </xf>
    <xf numFmtId="49" fontId="155" fillId="5" borderId="11" xfId="3" applyNumberFormat="1" applyFont="1" applyFill="1" applyBorder="1" applyAlignment="1" applyProtection="1">
      <alignment horizontal="left" vertical="center"/>
    </xf>
    <xf numFmtId="0" fontId="125" fillId="5" borderId="12" xfId="3" applyFont="1" applyFill="1" applyBorder="1" applyAlignment="1" applyProtection="1">
      <alignment vertical="center" wrapText="1"/>
    </xf>
    <xf numFmtId="0" fontId="125" fillId="5" borderId="12" xfId="3" applyFont="1" applyFill="1" applyBorder="1" applyAlignment="1" applyProtection="1">
      <alignment horizontal="left" vertical="center"/>
    </xf>
    <xf numFmtId="0" fontId="40" fillId="6" borderId="12" xfId="3" applyFont="1" applyFill="1" applyBorder="1" applyAlignment="1" applyProtection="1">
      <alignment vertical="center"/>
      <protection locked="0"/>
    </xf>
    <xf numFmtId="10" fontId="74" fillId="5" borderId="25" xfId="0" applyNumberFormat="1" applyFont="1" applyFill="1" applyBorder="1" applyAlignment="1" applyProtection="1">
      <alignment horizontal="center" vertical="center"/>
    </xf>
    <xf numFmtId="0" fontId="252" fillId="8" borderId="0" xfId="0" applyFont="1" applyFill="1" applyAlignment="1" applyProtection="1">
      <alignment vertical="center"/>
      <protection locked="0"/>
    </xf>
    <xf numFmtId="0" fontId="195" fillId="5" borderId="64" xfId="0" applyFont="1" applyFill="1" applyBorder="1" applyAlignment="1" applyProtection="1">
      <alignment vertical="center"/>
    </xf>
    <xf numFmtId="0" fontId="46" fillId="5" borderId="44" xfId="0" applyFont="1" applyFill="1" applyBorder="1" applyAlignment="1" applyProtection="1"/>
    <xf numFmtId="0" fontId="74" fillId="5" borderId="2"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74" fillId="5" borderId="19" xfId="0" applyFont="1" applyFill="1" applyBorder="1" applyAlignment="1" applyProtection="1">
      <alignment horizontal="center" vertical="center"/>
    </xf>
    <xf numFmtId="0" fontId="74" fillId="5" borderId="19" xfId="0" applyFont="1" applyFill="1" applyBorder="1" applyAlignment="1" applyProtection="1">
      <alignment horizontal="center" vertical="center"/>
    </xf>
    <xf numFmtId="0" fontId="15" fillId="5" borderId="22" xfId="0" applyFont="1" applyFill="1" applyBorder="1" applyAlignment="1" applyProtection="1">
      <alignment vertical="center" wrapText="1"/>
    </xf>
    <xf numFmtId="49" fontId="74" fillId="5" borderId="24" xfId="0" applyNumberFormat="1" applyFont="1" applyFill="1" applyBorder="1" applyAlignment="1" applyProtection="1">
      <alignment horizontal="center" vertical="center"/>
    </xf>
    <xf numFmtId="0" fontId="74" fillId="5" borderId="17" xfId="0" applyFont="1" applyFill="1" applyBorder="1" applyAlignment="1" applyProtection="1">
      <alignment horizontal="right" vertical="center"/>
    </xf>
    <xf numFmtId="0" fontId="74" fillId="5" borderId="63" xfId="0" applyFont="1" applyFill="1" applyBorder="1" applyAlignment="1" applyProtection="1">
      <alignment horizontal="center" vertical="center"/>
    </xf>
    <xf numFmtId="182" fontId="83" fillId="5" borderId="15" xfId="0" applyNumberFormat="1" applyFont="1" applyFill="1" applyBorder="1" applyAlignment="1" applyProtection="1">
      <alignment horizontal="center" vertical="center"/>
    </xf>
    <xf numFmtId="49" fontId="74" fillId="5" borderId="18" xfId="0" applyNumberFormat="1" applyFont="1" applyFill="1" applyBorder="1" applyAlignment="1" applyProtection="1">
      <alignment horizontal="left" vertical="center"/>
    </xf>
    <xf numFmtId="0" fontId="9" fillId="5" borderId="32" xfId="0" applyFont="1" applyFill="1" applyBorder="1" applyAlignment="1" applyProtection="1">
      <alignment vertical="center" wrapText="1"/>
    </xf>
    <xf numFmtId="0" fontId="159" fillId="5" borderId="2" xfId="0" applyFont="1" applyFill="1" applyBorder="1" applyAlignment="1" applyProtection="1">
      <alignment horizontal="right" vertical="center" wrapText="1"/>
    </xf>
    <xf numFmtId="0" fontId="124" fillId="5" borderId="10" xfId="0" applyFont="1" applyFill="1" applyBorder="1" applyAlignment="1" applyProtection="1">
      <alignment vertical="center"/>
    </xf>
    <xf numFmtId="0" fontId="9" fillId="5" borderId="10" xfId="0" applyFont="1" applyFill="1" applyBorder="1" applyAlignment="1" applyProtection="1">
      <alignment horizontal="left" vertical="center"/>
    </xf>
    <xf numFmtId="0" fontId="83" fillId="5" borderId="2" xfId="0" applyFont="1" applyFill="1" applyBorder="1" applyAlignment="1" applyProtection="1">
      <alignment horizontal="center" vertical="center"/>
      <protection locked="0"/>
    </xf>
    <xf numFmtId="49" fontId="74" fillId="5" borderId="3" xfId="0" applyNumberFormat="1" applyFont="1" applyFill="1" applyBorder="1" applyAlignment="1" applyProtection="1">
      <alignment horizontal="left" vertical="center"/>
    </xf>
    <xf numFmtId="0" fontId="9" fillId="5" borderId="32" xfId="0" applyFont="1" applyFill="1" applyBorder="1" applyAlignment="1" applyProtection="1">
      <alignment vertical="center"/>
    </xf>
    <xf numFmtId="49" fontId="83" fillId="5" borderId="22" xfId="0" applyNumberFormat="1" applyFont="1" applyFill="1" applyBorder="1" applyAlignment="1" applyProtection="1">
      <alignment horizontal="left" vertical="center"/>
    </xf>
    <xf numFmtId="49" fontId="83" fillId="5" borderId="24" xfId="0" applyNumberFormat="1" applyFont="1" applyFill="1" applyBorder="1" applyAlignment="1" applyProtection="1">
      <alignment horizontal="left" vertical="center"/>
    </xf>
    <xf numFmtId="49" fontId="74" fillId="5" borderId="22" xfId="0" applyNumberFormat="1" applyFont="1" applyFill="1" applyBorder="1" applyAlignment="1" applyProtection="1">
      <alignment horizontal="center" vertical="center"/>
    </xf>
    <xf numFmtId="49" fontId="83" fillId="5" borderId="24" xfId="0" applyNumberFormat="1" applyFont="1" applyFill="1" applyBorder="1" applyAlignment="1" applyProtection="1">
      <alignment horizontal="center" vertical="center"/>
    </xf>
    <xf numFmtId="49" fontId="74" fillId="5" borderId="49" xfId="0" applyNumberFormat="1" applyFont="1" applyFill="1" applyBorder="1" applyAlignment="1" applyProtection="1">
      <alignment horizontal="right" vertical="center"/>
    </xf>
    <xf numFmtId="0" fontId="125" fillId="0" borderId="2" xfId="0" applyFont="1" applyFill="1" applyBorder="1" applyAlignment="1">
      <alignment horizontal="center" vertical="center"/>
    </xf>
    <xf numFmtId="178" fontId="125" fillId="0" borderId="12" xfId="0" applyNumberFormat="1" applyFont="1" applyFill="1" applyBorder="1" applyAlignment="1">
      <alignment horizontal="center" vertical="center"/>
    </xf>
    <xf numFmtId="0" fontId="240" fillId="0" borderId="2" xfId="0" applyFont="1" applyFill="1" applyBorder="1" applyAlignment="1">
      <alignment horizontal="center" vertical="center"/>
    </xf>
    <xf numFmtId="9" fontId="125" fillId="0" borderId="2" xfId="0" applyNumberFormat="1" applyFont="1" applyFill="1" applyBorder="1" applyAlignment="1">
      <alignment horizontal="center" vertical="center"/>
    </xf>
    <xf numFmtId="178" fontId="125" fillId="0" borderId="2" xfId="0" applyNumberFormat="1" applyFont="1" applyFill="1" applyBorder="1" applyAlignment="1">
      <alignment horizontal="center" vertical="center"/>
    </xf>
    <xf numFmtId="0" fontId="125" fillId="0" borderId="12" xfId="0" applyFont="1" applyFill="1" applyBorder="1" applyAlignment="1">
      <alignment horizontal="center" vertical="center"/>
    </xf>
    <xf numFmtId="0" fontId="253" fillId="0" borderId="2" xfId="0" applyFont="1" applyFill="1" applyBorder="1" applyAlignment="1">
      <alignment horizontal="center" vertical="center"/>
    </xf>
    <xf numFmtId="9" fontId="155" fillId="0" borderId="2" xfId="0" applyNumberFormat="1" applyFont="1" applyFill="1" applyBorder="1" applyAlignment="1">
      <alignment horizontal="center" vertical="center"/>
    </xf>
    <xf numFmtId="178" fontId="155" fillId="0" borderId="2" xfId="0" applyNumberFormat="1" applyFont="1" applyFill="1" applyBorder="1" applyAlignment="1">
      <alignment horizontal="center" vertical="center"/>
    </xf>
    <xf numFmtId="0" fontId="155" fillId="0" borderId="12" xfId="0" applyFont="1" applyFill="1" applyBorder="1" applyAlignment="1">
      <alignment horizontal="center" vertical="center"/>
    </xf>
    <xf numFmtId="0" fontId="30" fillId="0" borderId="2" xfId="0" applyFont="1" applyFill="1" applyBorder="1" applyAlignment="1">
      <alignment horizontal="center" vertical="center"/>
    </xf>
    <xf numFmtId="0" fontId="0" fillId="0" borderId="2" xfId="0" applyFill="1" applyBorder="1" applyAlignment="1">
      <alignment vertical="center"/>
    </xf>
    <xf numFmtId="0" fontId="253" fillId="0" borderId="12" xfId="0" applyFont="1" applyFill="1" applyBorder="1" applyAlignment="1">
      <alignment horizontal="center" vertical="center"/>
    </xf>
    <xf numFmtId="0" fontId="240" fillId="0" borderId="2" xfId="0" applyFont="1" applyFill="1" applyBorder="1" applyAlignment="1">
      <alignment horizontal="center" vertical="center" wrapText="1"/>
    </xf>
    <xf numFmtId="0" fontId="30" fillId="0" borderId="2" xfId="0" applyFont="1" applyFill="1" applyBorder="1" applyAlignment="1">
      <alignment vertical="center"/>
    </xf>
    <xf numFmtId="0" fontId="240" fillId="0" borderId="12" xfId="0" applyFont="1" applyFill="1" applyBorder="1" applyAlignment="1">
      <alignment horizontal="center" vertical="center"/>
    </xf>
    <xf numFmtId="9" fontId="253" fillId="0" borderId="2" xfId="0" applyNumberFormat="1" applyFont="1" applyFill="1" applyBorder="1" applyAlignment="1">
      <alignment horizontal="center" vertical="center"/>
    </xf>
    <xf numFmtId="0" fontId="240" fillId="0" borderId="2" xfId="0" applyFont="1" applyBorder="1" applyAlignment="1">
      <alignment horizontal="center" vertical="center"/>
    </xf>
    <xf numFmtId="9" fontId="240" fillId="0" borderId="2" xfId="0" applyNumberFormat="1" applyFont="1" applyBorder="1" applyAlignment="1">
      <alignment horizontal="center" vertical="center"/>
    </xf>
    <xf numFmtId="0" fontId="253" fillId="0" borderId="43" xfId="0" applyFont="1" applyFill="1" applyBorder="1" applyAlignment="1">
      <alignment horizontal="center" vertical="center"/>
    </xf>
    <xf numFmtId="9" fontId="253" fillId="0" borderId="43" xfId="0" applyNumberFormat="1" applyFont="1" applyFill="1" applyBorder="1" applyAlignment="1">
      <alignment horizontal="center" vertical="center"/>
    </xf>
    <xf numFmtId="178" fontId="253" fillId="0" borderId="43" xfId="0" applyNumberFormat="1" applyFont="1" applyFill="1" applyBorder="1" applyAlignment="1">
      <alignment horizontal="center" vertical="center"/>
    </xf>
    <xf numFmtId="0" fontId="155" fillId="0" borderId="45" xfId="0" applyFont="1" applyFill="1" applyBorder="1" applyAlignment="1">
      <alignment horizontal="center" vertical="center"/>
    </xf>
    <xf numFmtId="0" fontId="253" fillId="10" borderId="2" xfId="0" applyFont="1" applyFill="1" applyBorder="1" applyAlignment="1">
      <alignment vertical="center"/>
    </xf>
    <xf numFmtId="0" fontId="125" fillId="0" borderId="2" xfId="0" applyFont="1" applyBorder="1" applyAlignment="1">
      <alignment horizontal="center"/>
    </xf>
    <xf numFmtId="0" fontId="125" fillId="0" borderId="2" xfId="0" applyFont="1" applyBorder="1" applyAlignment="1"/>
    <xf numFmtId="49" fontId="125" fillId="0" borderId="2" xfId="0" applyNumberFormat="1" applyFont="1" applyBorder="1" applyAlignment="1">
      <alignment horizontal="center"/>
    </xf>
    <xf numFmtId="9" fontId="125" fillId="0" borderId="2" xfId="0" applyNumberFormat="1" applyFont="1" applyBorder="1" applyAlignment="1"/>
    <xf numFmtId="0" fontId="125" fillId="0" borderId="2" xfId="0" applyFont="1" applyFill="1" applyBorder="1" applyAlignment="1">
      <alignment horizontal="center"/>
    </xf>
    <xf numFmtId="49" fontId="74" fillId="5" borderId="109" xfId="0" applyNumberFormat="1" applyFont="1" applyFill="1" applyBorder="1" applyAlignment="1" applyProtection="1">
      <alignment vertical="center"/>
    </xf>
    <xf numFmtId="0" fontId="9" fillId="5" borderId="86" xfId="0" applyFont="1" applyFill="1" applyBorder="1" applyAlignment="1" applyProtection="1">
      <alignment vertical="center" wrapText="1"/>
    </xf>
    <xf numFmtId="0" fontId="83" fillId="0" borderId="71" xfId="0" applyFont="1" applyFill="1" applyBorder="1" applyAlignment="1" applyProtection="1">
      <alignment horizontal="center" vertical="center"/>
      <protection locked="0"/>
    </xf>
    <xf numFmtId="0" fontId="74"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3" fillId="5" borderId="72" xfId="0" applyNumberFormat="1" applyFont="1" applyFill="1" applyBorder="1" applyAlignment="1" applyProtection="1">
      <alignment horizontal="center" vertical="center"/>
    </xf>
    <xf numFmtId="0" fontId="74" fillId="5" borderId="71" xfId="0" applyFont="1" applyFill="1" applyBorder="1" applyAlignment="1" applyProtection="1">
      <alignment horizontal="center" vertical="center"/>
    </xf>
    <xf numFmtId="0" fontId="74" fillId="5" borderId="71" xfId="0" applyFont="1" applyFill="1" applyBorder="1" applyAlignment="1" applyProtection="1">
      <alignment horizontal="left" vertical="center" wrapText="1"/>
    </xf>
    <xf numFmtId="0" fontId="74" fillId="5" borderId="71" xfId="0" applyFont="1" applyFill="1" applyBorder="1" applyAlignment="1" applyProtection="1">
      <alignment horizontal="left" vertical="center"/>
    </xf>
    <xf numFmtId="182" fontId="74" fillId="5" borderId="72" xfId="0" applyNumberFormat="1" applyFont="1" applyFill="1" applyBorder="1" applyAlignment="1" applyProtection="1">
      <alignment horizontal="center" vertical="center"/>
    </xf>
    <xf numFmtId="0" fontId="74" fillId="5" borderId="17" xfId="0" applyFont="1" applyFill="1" applyBorder="1" applyAlignment="1" applyProtection="1">
      <alignment horizontal="left" vertical="center" wrapText="1"/>
    </xf>
    <xf numFmtId="0" fontId="74" fillId="5" borderId="19" xfId="0" applyFont="1" applyFill="1" applyBorder="1" applyAlignment="1" applyProtection="1">
      <alignment horizontal="center" vertical="center" wrapText="1"/>
    </xf>
    <xf numFmtId="0" fontId="74" fillId="5" borderId="63" xfId="0" applyFont="1" applyFill="1" applyBorder="1" applyAlignment="1" applyProtection="1">
      <alignment horizontal="center" vertical="center" wrapText="1"/>
    </xf>
    <xf numFmtId="49" fontId="74" fillId="5" borderId="109" xfId="0" applyNumberFormat="1" applyFont="1" applyFill="1" applyBorder="1" applyAlignment="1" applyProtection="1">
      <alignment horizontal="center" vertical="center"/>
    </xf>
    <xf numFmtId="0" fontId="97" fillId="5" borderId="19" xfId="0" applyFont="1" applyFill="1" applyBorder="1" applyAlignment="1" applyProtection="1">
      <alignment vertical="center"/>
    </xf>
    <xf numFmtId="0" fontId="97" fillId="5" borderId="63" xfId="0" applyFont="1" applyFill="1" applyBorder="1" applyAlignment="1" applyProtection="1">
      <alignment vertical="center"/>
    </xf>
    <xf numFmtId="182" fontId="83" fillId="5" borderId="89" xfId="0" applyNumberFormat="1" applyFont="1" applyFill="1" applyBorder="1" applyAlignment="1" applyProtection="1">
      <alignment horizontal="center" vertical="center"/>
    </xf>
    <xf numFmtId="182" fontId="83" fillId="5" borderId="71" xfId="0" applyNumberFormat="1" applyFont="1" applyFill="1" applyBorder="1" applyAlignment="1" applyProtection="1">
      <alignment horizontal="center" vertical="center"/>
    </xf>
    <xf numFmtId="0" fontId="74" fillId="5" borderId="84" xfId="0" applyFont="1" applyFill="1" applyBorder="1" applyAlignment="1" applyProtection="1">
      <alignment horizontal="left" vertical="center"/>
    </xf>
    <xf numFmtId="0" fontId="97" fillId="5" borderId="85" xfId="0" applyFont="1" applyFill="1" applyBorder="1" applyAlignment="1" applyProtection="1">
      <alignment vertical="center"/>
    </xf>
    <xf numFmtId="0" fontId="97" fillId="5" borderId="89" xfId="0" applyFont="1" applyFill="1" applyBorder="1" applyAlignment="1" applyProtection="1">
      <alignment vertical="center"/>
    </xf>
    <xf numFmtId="0" fontId="229" fillId="0" borderId="0" xfId="0" applyFont="1" applyAlignment="1" applyProtection="1">
      <alignment horizontal="left" vertical="top" wrapText="1"/>
    </xf>
    <xf numFmtId="49" fontId="74" fillId="5" borderId="109" xfId="0" applyNumberFormat="1" applyFont="1" applyFill="1" applyBorder="1" applyAlignment="1" applyProtection="1">
      <alignment horizontal="left" vertical="center"/>
    </xf>
    <xf numFmtId="49" fontId="74" fillId="5" borderId="79" xfId="0" applyNumberFormat="1" applyFont="1" applyFill="1" applyBorder="1" applyAlignment="1" applyProtection="1">
      <alignment horizontal="center" vertical="center"/>
    </xf>
    <xf numFmtId="49" fontId="83" fillId="5" borderId="87" xfId="0" applyNumberFormat="1" applyFont="1" applyFill="1" applyBorder="1" applyAlignment="1" applyProtection="1">
      <alignment horizontal="center" vertical="center"/>
    </xf>
    <xf numFmtId="0" fontId="74" fillId="5" borderId="0" xfId="0" applyFont="1" applyFill="1" applyBorder="1" applyAlignment="1" applyProtection="1">
      <alignment vertical="center"/>
    </xf>
    <xf numFmtId="0" fontId="9" fillId="5" borderId="110" xfId="0" applyFont="1" applyFill="1" applyBorder="1" applyAlignment="1" applyProtection="1">
      <alignment vertical="center" wrapText="1"/>
    </xf>
    <xf numFmtId="0" fontId="83" fillId="0" borderId="70" xfId="0" applyFont="1" applyFill="1" applyBorder="1" applyAlignment="1" applyProtection="1">
      <alignment horizontal="center" vertical="center"/>
      <protection locked="0"/>
    </xf>
    <xf numFmtId="0" fontId="9" fillId="5" borderId="10" xfId="0" applyFont="1" applyFill="1" applyBorder="1" applyAlignment="1" applyProtection="1">
      <alignment vertical="center" wrapText="1"/>
    </xf>
    <xf numFmtId="0" fontId="38" fillId="5" borderId="2" xfId="3" applyFont="1" applyFill="1" applyBorder="1" applyAlignment="1" applyProtection="1">
      <alignment horizontal="left"/>
    </xf>
    <xf numFmtId="0" fontId="46" fillId="5" borderId="26" xfId="0" applyNumberFormat="1" applyFont="1" applyFill="1" applyBorder="1" applyAlignment="1" applyProtection="1">
      <alignment vertical="center"/>
    </xf>
    <xf numFmtId="0" fontId="73" fillId="5" borderId="57"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3" fillId="5" borderId="2" xfId="0" applyNumberFormat="1" applyFont="1" applyFill="1" applyBorder="1" applyAlignment="1" applyProtection="1">
      <alignment horizontal="center" vertical="center"/>
    </xf>
    <xf numFmtId="0" fontId="69" fillId="5" borderId="0" xfId="0" applyFont="1" applyFill="1" applyAlignment="1" applyProtection="1">
      <alignment horizontal="center"/>
    </xf>
    <xf numFmtId="0" fontId="69"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199" fillId="5" borderId="0" xfId="0" applyFont="1" applyFill="1" applyAlignment="1" applyProtection="1">
      <alignment horizontal="center" vertical="center" wrapText="1"/>
    </xf>
    <xf numFmtId="0" fontId="50" fillId="5" borderId="0" xfId="0" applyFont="1" applyFill="1" applyAlignment="1" applyProtection="1">
      <alignment horizontal="center" vertical="center" wrapText="1"/>
    </xf>
    <xf numFmtId="0" fontId="78" fillId="5" borderId="51" xfId="0" applyNumberFormat="1" applyFont="1" applyFill="1" applyBorder="1" applyAlignment="1" applyProtection="1">
      <alignment horizontal="center" vertical="center" wrapText="1"/>
    </xf>
    <xf numFmtId="0" fontId="50" fillId="5" borderId="51" xfId="0"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protection locked="0"/>
    </xf>
    <xf numFmtId="0" fontId="50" fillId="5" borderId="13" xfId="0" applyFont="1" applyFill="1" applyBorder="1" applyAlignment="1" applyProtection="1">
      <alignment horizontal="center" vertical="center" wrapText="1"/>
    </xf>
    <xf numFmtId="0" fontId="78" fillId="0" borderId="44" xfId="0" applyFont="1" applyFill="1" applyBorder="1" applyAlignment="1" applyProtection="1">
      <alignment horizontal="center" vertical="center"/>
      <protection locked="0"/>
    </xf>
    <xf numFmtId="0" fontId="82" fillId="5" borderId="24" xfId="0" applyNumberFormat="1" applyFont="1" applyFill="1" applyBorder="1" applyAlignment="1" applyProtection="1">
      <alignment horizontal="center" vertical="center" wrapText="1"/>
    </xf>
    <xf numFmtId="0" fontId="82" fillId="5" borderId="64" xfId="0" applyNumberFormat="1" applyFont="1" applyFill="1" applyBorder="1" applyAlignment="1" applyProtection="1">
      <alignment horizontal="center" vertical="center" wrapText="1"/>
    </xf>
    <xf numFmtId="0" fontId="50" fillId="5" borderId="3" xfId="0" applyNumberFormat="1" applyFont="1" applyFill="1" applyBorder="1" applyAlignment="1" applyProtection="1">
      <alignment horizontal="center" vertical="center" wrapText="1"/>
    </xf>
    <xf numFmtId="0" fontId="56" fillId="5" borderId="3" xfId="0" applyNumberFormat="1" applyFont="1" applyFill="1" applyBorder="1" applyAlignment="1" applyProtection="1">
      <alignment horizontal="center" vertical="center" wrapText="1"/>
    </xf>
    <xf numFmtId="0" fontId="104" fillId="5" borderId="82" xfId="0" applyNumberFormat="1" applyFont="1" applyFill="1" applyBorder="1" applyAlignment="1" applyProtection="1">
      <alignment horizontal="center" vertical="center" wrapText="1"/>
    </xf>
    <xf numFmtId="0" fontId="50" fillId="5" borderId="4" xfId="0" applyFont="1" applyFill="1" applyBorder="1" applyAlignment="1" applyProtection="1">
      <alignment horizontal="center" vertical="center" wrapText="1"/>
    </xf>
    <xf numFmtId="0" fontId="82" fillId="5" borderId="75" xfId="0" applyNumberFormat="1" applyFont="1" applyFill="1" applyBorder="1" applyAlignment="1" applyProtection="1">
      <alignment horizontal="center" vertical="center" wrapText="1"/>
    </xf>
    <xf numFmtId="0" fontId="104" fillId="5" borderId="24" xfId="0" applyNumberFormat="1" applyFont="1" applyFill="1" applyBorder="1" applyAlignment="1" applyProtection="1">
      <alignment horizontal="center" vertical="center" wrapText="1"/>
    </xf>
    <xf numFmtId="0" fontId="50" fillId="5" borderId="25" xfId="0" applyFont="1" applyFill="1" applyBorder="1" applyAlignment="1" applyProtection="1">
      <alignment horizontal="center" vertical="center" wrapText="1"/>
    </xf>
    <xf numFmtId="0" fontId="15" fillId="5" borderId="11" xfId="0" applyFont="1" applyFill="1" applyBorder="1" applyAlignment="1" applyProtection="1">
      <alignment horizontal="center" vertical="center"/>
    </xf>
    <xf numFmtId="0" fontId="15" fillId="5" borderId="2" xfId="0" applyFont="1" applyFill="1" applyBorder="1" applyAlignment="1" applyProtection="1">
      <alignment horizontal="left" vertical="center"/>
    </xf>
    <xf numFmtId="0" fontId="15" fillId="5" borderId="12" xfId="0" applyFont="1" applyFill="1" applyBorder="1" applyAlignment="1" applyProtection="1">
      <alignment horizontal="center" vertical="center"/>
    </xf>
    <xf numFmtId="0" fontId="69" fillId="5" borderId="11" xfId="0" applyFont="1" applyFill="1" applyBorder="1" applyProtection="1">
      <alignment vertical="center"/>
    </xf>
    <xf numFmtId="0" fontId="69" fillId="5" borderId="12" xfId="0" applyFont="1" applyFill="1" applyBorder="1" applyProtection="1">
      <alignment vertical="center"/>
    </xf>
    <xf numFmtId="0" fontId="15" fillId="0" borderId="11" xfId="0" applyFont="1" applyBorder="1" applyProtection="1">
      <alignment vertical="center"/>
      <protection locked="0"/>
    </xf>
    <xf numFmtId="0" fontId="15" fillId="0" borderId="2" xfId="0" applyFont="1" applyBorder="1" applyProtection="1">
      <alignment vertical="center"/>
      <protection locked="0"/>
    </xf>
    <xf numFmtId="0" fontId="15" fillId="5" borderId="12" xfId="0" applyFont="1" applyFill="1" applyBorder="1" applyProtection="1">
      <alignment vertical="center"/>
    </xf>
    <xf numFmtId="0" fontId="69" fillId="5" borderId="22" xfId="0" applyFont="1" applyFill="1" applyBorder="1" applyProtection="1">
      <alignment vertical="center"/>
    </xf>
    <xf numFmtId="0" fontId="15" fillId="0" borderId="22" xfId="0" applyFont="1" applyBorder="1" applyProtection="1">
      <alignment vertical="center"/>
      <protection locked="0"/>
    </xf>
    <xf numFmtId="0" fontId="15" fillId="0" borderId="10" xfId="0" applyFont="1" applyBorder="1" applyProtection="1">
      <alignment vertical="center"/>
      <protection locked="0"/>
    </xf>
    <xf numFmtId="0" fontId="15" fillId="5" borderId="25" xfId="0" applyFont="1" applyFill="1" applyBorder="1" applyProtection="1">
      <alignment vertical="center"/>
    </xf>
    <xf numFmtId="0" fontId="73" fillId="5" borderId="42" xfId="0" applyFont="1" applyFill="1" applyBorder="1" applyProtection="1">
      <alignment vertical="center"/>
    </xf>
    <xf numFmtId="0" fontId="73" fillId="5" borderId="43" xfId="0" applyFont="1" applyFill="1" applyBorder="1" applyProtection="1">
      <alignment vertical="center"/>
    </xf>
    <xf numFmtId="0" fontId="73" fillId="5" borderId="45" xfId="0" applyFont="1" applyFill="1" applyBorder="1" applyProtection="1">
      <alignment vertical="center"/>
    </xf>
    <xf numFmtId="0" fontId="69" fillId="5" borderId="45" xfId="0" applyFont="1" applyFill="1" applyBorder="1" applyProtection="1">
      <alignment vertical="center"/>
    </xf>
    <xf numFmtId="0" fontId="15" fillId="5" borderId="28" xfId="3" applyFont="1" applyFill="1" applyBorder="1" applyAlignment="1" applyProtection="1">
      <alignment horizontal="center" vertical="center" wrapText="1"/>
    </xf>
    <xf numFmtId="182" fontId="83" fillId="6" borderId="25" xfId="0" applyNumberFormat="1" applyFont="1" applyFill="1" applyBorder="1" applyAlignment="1" applyProtection="1">
      <alignment horizontal="center" vertical="center"/>
      <protection locked="0"/>
    </xf>
    <xf numFmtId="0" fontId="95" fillId="5" borderId="21" xfId="0" applyFont="1" applyFill="1" applyBorder="1" applyAlignment="1" applyProtection="1">
      <alignment horizontal="right" vertical="center"/>
    </xf>
    <xf numFmtId="0" fontId="99" fillId="5" borderId="5" xfId="0" applyFont="1" applyFill="1" applyBorder="1" applyAlignment="1" applyProtection="1">
      <alignment horizontal="right" vertical="center"/>
    </xf>
    <xf numFmtId="0" fontId="99" fillId="5" borderId="8" xfId="0" applyFont="1" applyFill="1" applyBorder="1" applyAlignment="1" applyProtection="1">
      <alignment horizontal="center" vertical="center"/>
    </xf>
    <xf numFmtId="0" fontId="99" fillId="2" borderId="8" xfId="0" applyFont="1" applyFill="1" applyBorder="1" applyAlignment="1" applyProtection="1">
      <alignment vertical="center"/>
      <protection locked="0"/>
    </xf>
    <xf numFmtId="0" fontId="81" fillId="5" borderId="58" xfId="0" applyNumberFormat="1" applyFont="1" applyFill="1" applyBorder="1" applyAlignment="1" applyProtection="1">
      <alignment horizontal="right" vertical="center" wrapText="1"/>
    </xf>
    <xf numFmtId="0" fontId="81" fillId="5" borderId="56" xfId="0" applyNumberFormat="1" applyFont="1" applyFill="1" applyBorder="1" applyAlignment="1" applyProtection="1">
      <alignment vertical="center" wrapText="1"/>
    </xf>
    <xf numFmtId="0" fontId="106" fillId="3" borderId="30" xfId="0" applyNumberFormat="1" applyFont="1" applyFill="1" applyBorder="1" applyAlignment="1" applyProtection="1">
      <alignment vertical="center" wrapText="1"/>
      <protection locked="0"/>
    </xf>
    <xf numFmtId="0" fontId="106" fillId="5" borderId="30" xfId="0" applyNumberFormat="1" applyFont="1" applyFill="1" applyBorder="1" applyAlignment="1" applyProtection="1">
      <alignment vertical="center" wrapText="1"/>
    </xf>
    <xf numFmtId="0" fontId="106" fillId="3" borderId="58" xfId="0" applyNumberFormat="1" applyFont="1" applyFill="1" applyBorder="1" applyAlignment="1" applyProtection="1">
      <alignment vertical="center" wrapText="1"/>
      <protection locked="0"/>
    </xf>
    <xf numFmtId="0" fontId="106" fillId="5" borderId="56" xfId="0" applyNumberFormat="1" applyFont="1" applyFill="1" applyBorder="1" applyAlignment="1" applyProtection="1">
      <alignment vertical="center" wrapText="1"/>
    </xf>
    <xf numFmtId="0" fontId="81" fillId="5" borderId="59" xfId="0" applyNumberFormat="1" applyFont="1" applyFill="1" applyBorder="1" applyAlignment="1" applyProtection="1">
      <alignment vertical="center" wrapText="1"/>
    </xf>
    <xf numFmtId="0" fontId="81" fillId="5" borderId="55" xfId="0" applyNumberFormat="1" applyFont="1" applyFill="1" applyBorder="1" applyAlignment="1" applyProtection="1">
      <alignment vertical="center" wrapText="1"/>
    </xf>
    <xf numFmtId="0" fontId="81" fillId="5" borderId="60" xfId="0" applyNumberFormat="1" applyFont="1" applyFill="1" applyBorder="1" applyAlignment="1" applyProtection="1">
      <alignment vertical="center" wrapText="1"/>
    </xf>
    <xf numFmtId="0" fontId="74" fillId="5" borderId="8"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2" xfId="0" applyFont="1" applyFill="1" applyBorder="1" applyAlignment="1" applyProtection="1">
      <alignment horizontal="left" vertical="center" wrapText="1"/>
    </xf>
    <xf numFmtId="0" fontId="74" fillId="5" borderId="8"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49" fontId="132" fillId="5" borderId="52" xfId="0" applyNumberFormat="1" applyFont="1" applyFill="1" applyBorder="1" applyAlignment="1" applyProtection="1">
      <alignment vertical="center"/>
    </xf>
    <xf numFmtId="0" fontId="56" fillId="5" borderId="28" xfId="0" applyFont="1" applyFill="1" applyBorder="1" applyAlignment="1" applyProtection="1">
      <alignment vertical="center"/>
      <protection locked="0"/>
    </xf>
    <xf numFmtId="0" fontId="76" fillId="5" borderId="10" xfId="0" applyFont="1" applyFill="1" applyBorder="1" applyAlignment="1" applyProtection="1">
      <alignment horizontal="left" vertical="center"/>
    </xf>
    <xf numFmtId="49" fontId="76" fillId="5" borderId="2" xfId="0" applyNumberFormat="1" applyFont="1" applyFill="1" applyBorder="1" applyAlignment="1" applyProtection="1">
      <alignment horizontal="center" vertical="center" wrapText="1"/>
    </xf>
    <xf numFmtId="0" fontId="69" fillId="5" borderId="20" xfId="0" applyFont="1" applyFill="1" applyBorder="1" applyProtection="1">
      <alignment vertical="center"/>
      <protection locked="0"/>
    </xf>
    <xf numFmtId="0" fontId="234" fillId="0" borderId="2" xfId="0" applyFont="1" applyBorder="1" applyAlignment="1" applyProtection="1">
      <alignment horizontal="center" vertical="center" wrapText="1"/>
      <protection locked="0"/>
    </xf>
    <xf numFmtId="0" fontId="236" fillId="0" borderId="2" xfId="0" applyFont="1" applyBorder="1" applyAlignment="1" applyProtection="1">
      <alignment horizontal="center" vertical="center" wrapText="1"/>
      <protection locked="0"/>
    </xf>
    <xf numFmtId="0" fontId="234" fillId="0" borderId="2" xfId="0" applyFont="1" applyBorder="1" applyAlignment="1" applyProtection="1">
      <alignment horizontal="center" vertical="center" wrapText="1"/>
    </xf>
    <xf numFmtId="0" fontId="76" fillId="5" borderId="1" xfId="0" applyFont="1" applyFill="1" applyBorder="1" applyAlignment="1" applyProtection="1">
      <alignment horizontal="right" vertical="center" wrapText="1"/>
    </xf>
    <xf numFmtId="0" fontId="76" fillId="5" borderId="11" xfId="0" applyFont="1" applyFill="1" applyBorder="1" applyAlignment="1" applyProtection="1">
      <alignment horizontal="right" vertical="center" wrapText="1"/>
    </xf>
    <xf numFmtId="0" fontId="76" fillId="5" borderId="90" xfId="0" applyFont="1" applyFill="1" applyBorder="1" applyAlignment="1" applyProtection="1">
      <alignment horizontal="right" vertical="center" wrapText="1"/>
    </xf>
    <xf numFmtId="10" fontId="84" fillId="5" borderId="12" xfId="4" applyNumberFormat="1" applyFont="1" applyFill="1" applyBorder="1" applyAlignment="1" applyProtection="1">
      <alignment horizontal="center" vertical="center" wrapText="1"/>
    </xf>
    <xf numFmtId="0" fontId="84" fillId="5" borderId="68" xfId="4" applyFont="1" applyFill="1" applyBorder="1" applyAlignment="1" applyProtection="1">
      <alignment horizontal="center" vertical="center" wrapText="1"/>
    </xf>
    <xf numFmtId="49" fontId="133" fillId="5" borderId="24" xfId="0" applyNumberFormat="1" applyFont="1" applyFill="1" applyBorder="1" applyAlignment="1" applyProtection="1">
      <alignment horizontal="left" vertical="center" wrapText="1"/>
    </xf>
    <xf numFmtId="0" fontId="55" fillId="5" borderId="54" xfId="4" applyFont="1" applyFill="1" applyBorder="1" applyAlignment="1" applyProtection="1">
      <alignment horizontal="left" vertical="center" wrapText="1"/>
    </xf>
    <xf numFmtId="186" fontId="81" fillId="5" borderId="54" xfId="4" applyNumberFormat="1" applyFont="1" applyFill="1" applyBorder="1" applyAlignment="1" applyProtection="1">
      <alignment horizontal="center" vertical="center" wrapText="1"/>
    </xf>
    <xf numFmtId="0" fontId="38" fillId="5" borderId="54" xfId="4" applyFont="1" applyFill="1" applyBorder="1" applyAlignment="1" applyProtection="1">
      <alignment horizontal="center" vertical="center" wrapText="1"/>
    </xf>
    <xf numFmtId="182" fontId="191" fillId="5" borderId="54" xfId="4" applyNumberFormat="1" applyFont="1" applyFill="1" applyBorder="1" applyAlignment="1" applyProtection="1">
      <alignment horizontal="center" vertical="center" wrapText="1"/>
    </xf>
    <xf numFmtId="0" fontId="84" fillId="5" borderId="69" xfId="4" applyFont="1" applyFill="1" applyBorder="1" applyAlignment="1" applyProtection="1">
      <alignment horizontal="center" vertical="center" wrapText="1"/>
    </xf>
    <xf numFmtId="10" fontId="82" fillId="5" borderId="81" xfId="4" applyNumberFormat="1" applyFont="1" applyFill="1" applyBorder="1" applyAlignment="1" applyProtection="1">
      <alignment horizontal="center" vertical="center" wrapText="1"/>
    </xf>
    <xf numFmtId="0" fontId="191" fillId="5" borderId="40" xfId="4" applyFont="1" applyFill="1" applyBorder="1" applyAlignment="1" applyProtection="1">
      <alignment horizontal="center" vertical="center" wrapText="1"/>
    </xf>
    <xf numFmtId="0" fontId="38" fillId="5" borderId="26" xfId="4" applyFont="1" applyFill="1" applyBorder="1" applyAlignment="1" applyProtection="1">
      <alignment horizontal="center" vertical="center" wrapText="1"/>
    </xf>
    <xf numFmtId="0" fontId="142" fillId="5" borderId="6" xfId="4" applyFont="1" applyFill="1" applyBorder="1" applyAlignment="1" applyProtection="1">
      <alignment vertical="center" wrapText="1"/>
      <protection locked="0"/>
    </xf>
    <xf numFmtId="0" fontId="142" fillId="5" borderId="38" xfId="4" applyFont="1" applyFill="1" applyBorder="1" applyAlignment="1" applyProtection="1">
      <alignment vertical="center"/>
      <protection locked="0"/>
    </xf>
    <xf numFmtId="0" fontId="142" fillId="5" borderId="26" xfId="4" applyFont="1" applyFill="1" applyBorder="1" applyAlignment="1" applyProtection="1">
      <alignment horizontal="center" vertical="center" wrapText="1"/>
      <protection locked="0"/>
    </xf>
    <xf numFmtId="178" fontId="69" fillId="0" borderId="67" xfId="0" applyNumberFormat="1" applyFont="1" applyFill="1" applyBorder="1" applyAlignment="1" applyProtection="1">
      <alignment horizontal="center" vertical="center" wrapText="1"/>
      <protection locked="0"/>
    </xf>
    <xf numFmtId="179" fontId="69" fillId="0" borderId="54"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5" borderId="41" xfId="0" applyNumberFormat="1" applyFont="1" applyFill="1" applyBorder="1" applyAlignment="1" applyProtection="1">
      <alignment horizontal="center" vertical="center" wrapText="1"/>
    </xf>
    <xf numFmtId="0" fontId="73"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2" fillId="5" borderId="0" xfId="0" applyNumberFormat="1" applyFont="1" applyFill="1" applyAlignment="1" applyProtection="1">
      <alignment horizontal="center" vertical="center"/>
    </xf>
    <xf numFmtId="177" fontId="82" fillId="5" borderId="0" xfId="0" applyNumberFormat="1" applyFont="1" applyFill="1" applyAlignment="1" applyProtection="1">
      <alignment horizontal="center" vertical="center"/>
    </xf>
    <xf numFmtId="0" fontId="69" fillId="5" borderId="41" xfId="0" applyNumberFormat="1" applyFont="1" applyFill="1" applyBorder="1" applyAlignment="1" applyProtection="1">
      <alignment horizontal="center" vertical="center" wrapText="1"/>
    </xf>
    <xf numFmtId="189" fontId="69" fillId="5" borderId="41"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protection locked="0"/>
    </xf>
    <xf numFmtId="189" fontId="69" fillId="5" borderId="6" xfId="0" applyNumberFormat="1" applyFont="1" applyFill="1" applyBorder="1" applyAlignment="1" applyProtection="1">
      <alignment horizontal="center" vertical="center" wrapText="1"/>
    </xf>
    <xf numFmtId="0" fontId="138" fillId="5" borderId="21" xfId="4" applyNumberFormat="1" applyFont="1" applyFill="1" applyBorder="1" applyAlignment="1" applyProtection="1">
      <alignment horizontal="center" vertical="center" wrapText="1"/>
      <protection locked="0"/>
    </xf>
    <xf numFmtId="0" fontId="73" fillId="6" borderId="2" xfId="0" applyNumberFormat="1" applyFont="1" applyFill="1" applyBorder="1" applyAlignment="1" applyProtection="1">
      <alignment horizontal="center" vertical="center" wrapText="1"/>
      <protection locked="0"/>
    </xf>
    <xf numFmtId="0" fontId="99" fillId="6" borderId="2" xfId="0" applyFont="1" applyFill="1" applyBorder="1" applyAlignment="1" applyProtection="1">
      <alignment horizontal="center" vertical="center"/>
      <protection locked="0"/>
    </xf>
    <xf numFmtId="0" fontId="73" fillId="5" borderId="2" xfId="0" applyFont="1" applyFill="1" applyBorder="1" applyAlignment="1" applyProtection="1">
      <alignment horizontal="center" vertical="center"/>
    </xf>
    <xf numFmtId="0" fontId="68" fillId="6" borderId="30" xfId="3" applyFont="1" applyFill="1" applyBorder="1" applyAlignment="1" applyProtection="1">
      <alignment horizontal="right" vertical="center"/>
      <protection locked="0"/>
    </xf>
    <xf numFmtId="0" fontId="74" fillId="0" borderId="8" xfId="0" applyFont="1" applyFill="1" applyBorder="1" applyAlignment="1" applyProtection="1">
      <alignment vertical="center"/>
      <protection locked="0"/>
    </xf>
    <xf numFmtId="0" fontId="132" fillId="5" borderId="8" xfId="0" applyFont="1" applyFill="1" applyBorder="1" applyAlignment="1" applyProtection="1">
      <alignment vertical="center"/>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xf>
    <xf numFmtId="0" fontId="73" fillId="5" borderId="16" xfId="0" applyFont="1" applyFill="1" applyBorder="1" applyAlignment="1" applyProtection="1">
      <alignment vertical="center"/>
    </xf>
    <xf numFmtId="0" fontId="74" fillId="5" borderId="8" xfId="0" applyFont="1" applyFill="1" applyBorder="1" applyAlignment="1" applyProtection="1">
      <alignment vertical="center"/>
    </xf>
    <xf numFmtId="0" fontId="69" fillId="5" borderId="5" xfId="0" applyFont="1" applyFill="1" applyBorder="1" applyAlignment="1" applyProtection="1">
      <alignment vertical="center"/>
    </xf>
    <xf numFmtId="0" fontId="69" fillId="5" borderId="8" xfId="0" applyFont="1" applyFill="1" applyBorder="1" applyAlignment="1" applyProtection="1">
      <alignment vertical="center"/>
    </xf>
    <xf numFmtId="0" fontId="69" fillId="5" borderId="16" xfId="0" applyFont="1" applyFill="1" applyBorder="1" applyAlignment="1" applyProtection="1">
      <alignment vertical="center"/>
    </xf>
    <xf numFmtId="0" fontId="74"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4" fillId="5" borderId="5" xfId="0" applyNumberFormat="1" applyFont="1" applyFill="1" applyBorder="1" applyAlignment="1" applyProtection="1">
      <alignment vertical="center"/>
    </xf>
    <xf numFmtId="0" fontId="74" fillId="5" borderId="44" xfId="0" applyFont="1" applyFill="1" applyBorder="1" applyAlignment="1" applyProtection="1">
      <alignment vertical="center"/>
    </xf>
    <xf numFmtId="0" fontId="74" fillId="5" borderId="55" xfId="0" applyFont="1" applyFill="1" applyBorder="1" applyAlignment="1" applyProtection="1">
      <alignment vertical="center"/>
    </xf>
    <xf numFmtId="0" fontId="74" fillId="5" borderId="47" xfId="0" applyFont="1" applyFill="1" applyBorder="1" applyAlignment="1" applyProtection="1">
      <alignment vertical="center"/>
    </xf>
    <xf numFmtId="0" fontId="68" fillId="5" borderId="68" xfId="0" applyFont="1" applyFill="1" applyBorder="1" applyAlignment="1" applyProtection="1">
      <alignment vertical="center"/>
    </xf>
    <xf numFmtId="0" fontId="73" fillId="5" borderId="60" xfId="0" applyFont="1" applyFill="1" applyBorder="1" applyAlignment="1" applyProtection="1">
      <alignment vertical="center"/>
    </xf>
    <xf numFmtId="0" fontId="73" fillId="5" borderId="66" xfId="0" applyFont="1" applyFill="1" applyBorder="1" applyAlignment="1" applyProtection="1">
      <alignment vertical="center"/>
    </xf>
    <xf numFmtId="0" fontId="68" fillId="5" borderId="58" xfId="0" applyFont="1" applyFill="1" applyBorder="1" applyAlignment="1" applyProtection="1">
      <alignment vertical="center"/>
    </xf>
    <xf numFmtId="0" fontId="68" fillId="5" borderId="30" xfId="0" applyFont="1" applyFill="1" applyBorder="1" applyAlignment="1" applyProtection="1">
      <alignment vertical="center"/>
    </xf>
    <xf numFmtId="185" fontId="73" fillId="5" borderId="29" xfId="0" applyNumberFormat="1" applyFont="1" applyFill="1" applyBorder="1" applyAlignment="1" applyProtection="1">
      <alignment horizontal="center" vertical="center"/>
    </xf>
    <xf numFmtId="0" fontId="68" fillId="5" borderId="56" xfId="0" applyFont="1" applyFill="1" applyBorder="1" applyAlignment="1" applyProtection="1">
      <alignment vertical="center"/>
    </xf>
    <xf numFmtId="0" fontId="73" fillId="5" borderId="11" xfId="0" applyFont="1" applyFill="1" applyBorder="1" applyAlignment="1" applyProtection="1">
      <alignment horizontal="center" vertical="center"/>
    </xf>
    <xf numFmtId="0" fontId="73" fillId="5" borderId="4" xfId="0" applyFont="1" applyFill="1" applyBorder="1" applyAlignment="1" applyProtection="1">
      <alignment vertical="center"/>
    </xf>
    <xf numFmtId="185" fontId="74" fillId="0" borderId="2" xfId="0" applyNumberFormat="1" applyFont="1" applyFill="1" applyBorder="1" applyAlignment="1" applyProtection="1">
      <alignment horizontal="center" vertical="center"/>
      <protection locked="0"/>
    </xf>
    <xf numFmtId="185" fontId="74" fillId="0" borderId="12" xfId="0" applyNumberFormat="1" applyFont="1" applyFill="1" applyBorder="1" applyAlignment="1" applyProtection="1">
      <alignment horizontal="center" vertical="center"/>
      <protection locked="0"/>
    </xf>
    <xf numFmtId="49" fontId="74" fillId="5" borderId="42" xfId="0" applyNumberFormat="1" applyFont="1" applyFill="1" applyBorder="1" applyAlignment="1" applyProtection="1">
      <alignment horizontal="left" vertical="center"/>
    </xf>
    <xf numFmtId="185" fontId="74" fillId="0" borderId="43" xfId="0" applyNumberFormat="1" applyFont="1" applyFill="1" applyBorder="1" applyAlignment="1" applyProtection="1">
      <alignment horizontal="center" vertical="center"/>
      <protection locked="0"/>
    </xf>
    <xf numFmtId="185" fontId="74" fillId="0" borderId="45" xfId="0" applyNumberFormat="1" applyFont="1" applyFill="1" applyBorder="1" applyAlignment="1" applyProtection="1">
      <alignment horizontal="center" vertical="center"/>
      <protection locked="0"/>
    </xf>
    <xf numFmtId="49" fontId="68" fillId="5" borderId="58" xfId="0" applyNumberFormat="1" applyFont="1" applyFill="1" applyBorder="1" applyAlignment="1" applyProtection="1">
      <alignment vertical="center"/>
    </xf>
    <xf numFmtId="49" fontId="73" fillId="5" borderId="11" xfId="0" applyNumberFormat="1" applyFont="1" applyFill="1" applyBorder="1" applyAlignment="1" applyProtection="1">
      <alignment horizontal="center" vertical="center"/>
    </xf>
    <xf numFmtId="185" fontId="73" fillId="5" borderId="2" xfId="0" applyNumberFormat="1" applyFont="1" applyFill="1" applyBorder="1" applyAlignment="1" applyProtection="1">
      <alignment horizontal="center" vertical="center"/>
    </xf>
    <xf numFmtId="49" fontId="74" fillId="5" borderId="11" xfId="3" applyNumberFormat="1" applyFont="1" applyFill="1" applyBorder="1" applyAlignment="1" applyProtection="1">
      <alignment horizontal="left" vertical="center"/>
    </xf>
    <xf numFmtId="0" fontId="74" fillId="5" borderId="5" xfId="3" applyFont="1" applyFill="1" applyBorder="1" applyAlignment="1" applyProtection="1">
      <alignment vertical="center"/>
    </xf>
    <xf numFmtId="180" fontId="74" fillId="5" borderId="2" xfId="3" applyNumberFormat="1" applyFont="1" applyFill="1" applyBorder="1" applyAlignment="1" applyProtection="1">
      <alignment horizontal="center" vertical="center"/>
    </xf>
    <xf numFmtId="0" fontId="74" fillId="5" borderId="2" xfId="0" applyFont="1" applyFill="1" applyBorder="1" applyAlignment="1" applyProtection="1">
      <alignment vertical="center"/>
    </xf>
    <xf numFmtId="182" fontId="74" fillId="5" borderId="2" xfId="3" applyNumberFormat="1" applyFont="1" applyFill="1" applyBorder="1" applyAlignment="1" applyProtection="1">
      <alignment horizontal="center" vertical="center"/>
    </xf>
    <xf numFmtId="9" fontId="74" fillId="5" borderId="2" xfId="3" applyNumberFormat="1" applyFont="1" applyFill="1" applyBorder="1" applyAlignment="1" applyProtection="1">
      <alignment horizontal="center" vertical="center"/>
    </xf>
    <xf numFmtId="178" fontId="74" fillId="5" borderId="2" xfId="3" applyNumberFormat="1" applyFont="1" applyFill="1" applyBorder="1" applyAlignment="1" applyProtection="1">
      <alignment horizontal="center" vertical="center"/>
    </xf>
    <xf numFmtId="10" fontId="74" fillId="5" borderId="2" xfId="3" applyNumberFormat="1" applyFont="1" applyFill="1" applyBorder="1" applyAlignment="1" applyProtection="1">
      <alignment horizontal="center" vertical="center"/>
    </xf>
    <xf numFmtId="49" fontId="73" fillId="5" borderId="11" xfId="3" applyNumberFormat="1" applyFont="1" applyFill="1" applyBorder="1" applyAlignment="1" applyProtection="1">
      <alignment horizontal="left" vertical="center"/>
    </xf>
    <xf numFmtId="0" fontId="73" fillId="5" borderId="5" xfId="3" applyFont="1" applyFill="1" applyBorder="1" applyAlignment="1" applyProtection="1">
      <alignment vertical="center"/>
    </xf>
    <xf numFmtId="178" fontId="73" fillId="5" borderId="2" xfId="3" applyNumberFormat="1" applyFont="1" applyFill="1" applyBorder="1" applyAlignment="1" applyProtection="1">
      <alignment horizontal="center" vertical="center"/>
    </xf>
    <xf numFmtId="0" fontId="73" fillId="5" borderId="2" xfId="3" applyFont="1" applyFill="1" applyBorder="1" applyAlignment="1" applyProtection="1">
      <alignment vertical="center"/>
    </xf>
    <xf numFmtId="180" fontId="73" fillId="5" borderId="2" xfId="3" applyNumberFormat="1" applyFont="1" applyFill="1" applyBorder="1" applyAlignment="1" applyProtection="1">
      <alignment horizontal="center" vertical="center"/>
    </xf>
    <xf numFmtId="9" fontId="73" fillId="5" borderId="2" xfId="3" applyNumberFormat="1" applyFont="1" applyFill="1" applyBorder="1" applyAlignment="1" applyProtection="1">
      <alignment horizontal="center" vertical="center"/>
    </xf>
    <xf numFmtId="10" fontId="73" fillId="5" borderId="2" xfId="3"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0" fontId="74" fillId="5" borderId="2" xfId="3" applyFont="1" applyFill="1" applyBorder="1" applyAlignment="1" applyProtection="1">
      <alignment horizontal="left" vertical="center"/>
    </xf>
    <xf numFmtId="186" fontId="74" fillId="5" borderId="9" xfId="0"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49" fontId="73" fillId="5" borderId="11" xfId="0" applyNumberFormat="1" applyFont="1" applyFill="1" applyBorder="1" applyAlignment="1" applyProtection="1">
      <alignment horizontal="left" vertical="center"/>
    </xf>
    <xf numFmtId="0" fontId="73" fillId="5" borderId="2" xfId="3" applyFont="1" applyFill="1" applyBorder="1" applyAlignment="1" applyProtection="1">
      <alignment horizontal="left" vertical="center"/>
    </xf>
    <xf numFmtId="0" fontId="74" fillId="5" borderId="5" xfId="3" applyFont="1" applyFill="1" applyBorder="1" applyAlignment="1" applyProtection="1">
      <alignment horizontal="left" vertical="center"/>
    </xf>
    <xf numFmtId="178" fontId="74" fillId="5" borderId="55" xfId="3" applyNumberFormat="1" applyFont="1" applyFill="1" applyBorder="1" applyAlignment="1" applyProtection="1">
      <alignment vertical="center"/>
    </xf>
    <xf numFmtId="185" fontId="68" fillId="5" borderId="54" xfId="0" applyNumberFormat="1" applyFont="1" applyFill="1" applyBorder="1" applyAlignment="1" applyProtection="1">
      <alignment horizontal="center" vertical="center"/>
    </xf>
    <xf numFmtId="0" fontId="74" fillId="6" borderId="0" xfId="0" applyFont="1" applyFill="1" applyProtection="1">
      <alignment vertical="center"/>
      <protection locked="0"/>
    </xf>
    <xf numFmtId="49" fontId="234" fillId="0" borderId="2" xfId="0" applyNumberFormat="1" applyFont="1" applyBorder="1" applyAlignment="1" applyProtection="1">
      <alignment horizontal="center" vertical="center" wrapText="1"/>
      <protection locked="0"/>
    </xf>
    <xf numFmtId="0" fontId="233" fillId="0" borderId="0" xfId="0" applyFont="1" applyAlignment="1">
      <alignment horizontal="center" vertical="center" wrapText="1"/>
    </xf>
    <xf numFmtId="0" fontId="233" fillId="0" borderId="0" xfId="0" applyFont="1" applyAlignment="1">
      <alignment horizontal="right" vertical="center"/>
    </xf>
    <xf numFmtId="0" fontId="233" fillId="0" borderId="19" xfId="0" applyFont="1" applyBorder="1" applyAlignment="1">
      <alignment vertical="center" wrapText="1"/>
    </xf>
    <xf numFmtId="0" fontId="225" fillId="0" borderId="0" xfId="0" applyFont="1" applyAlignment="1">
      <alignment horizontal="center" vertical="center" wrapText="1"/>
    </xf>
    <xf numFmtId="191" fontId="137" fillId="0" borderId="0" xfId="0" applyNumberFormat="1" applyFont="1" applyAlignment="1" applyProtection="1">
      <alignment horizontal="right" vertical="center" shrinkToFit="1"/>
      <protection locked="0"/>
    </xf>
    <xf numFmtId="0" fontId="254" fillId="0" borderId="0" xfId="0" applyFont="1" applyAlignment="1" applyProtection="1">
      <alignment horizontal="left" vertical="center" wrapText="1"/>
      <protection locked="0"/>
    </xf>
    <xf numFmtId="0" fontId="254" fillId="0" borderId="0" xfId="0" applyFont="1" applyAlignment="1" applyProtection="1">
      <alignment horizontal="left" vertical="top" wrapText="1"/>
    </xf>
    <xf numFmtId="0" fontId="229" fillId="0" borderId="0" xfId="0" applyFont="1">
      <alignment vertical="center"/>
    </xf>
    <xf numFmtId="0" fontId="220" fillId="0" borderId="0" xfId="0" applyFont="1" applyBorder="1">
      <alignment vertical="center"/>
    </xf>
    <xf numFmtId="0" fontId="220" fillId="0" borderId="2" xfId="0" applyFont="1" applyBorder="1" applyAlignment="1">
      <alignment vertical="center" wrapText="1"/>
    </xf>
    <xf numFmtId="0" fontId="220" fillId="0" borderId="2" xfId="0" applyFont="1" applyBorder="1" applyAlignment="1" applyProtection="1">
      <alignment horizontal="left" vertical="center"/>
    </xf>
    <xf numFmtId="0" fontId="220" fillId="0" borderId="0" xfId="0" applyFont="1" applyBorder="1" applyProtection="1">
      <alignment vertical="center"/>
      <protection locked="0"/>
    </xf>
    <xf numFmtId="0" fontId="220" fillId="0" borderId="2" xfId="0" applyFont="1" applyFill="1" applyBorder="1" applyAlignment="1" applyProtection="1">
      <alignment horizontal="left" vertical="center"/>
    </xf>
    <xf numFmtId="0" fontId="220" fillId="0" borderId="0" xfId="0" applyFont="1">
      <alignment vertical="center"/>
    </xf>
    <xf numFmtId="0" fontId="220" fillId="0" borderId="2" xfId="0" applyFont="1" applyBorder="1">
      <alignment vertical="center"/>
    </xf>
    <xf numFmtId="49" fontId="220" fillId="0" borderId="2" xfId="0" applyNumberFormat="1" applyFont="1" applyBorder="1" applyAlignment="1" applyProtection="1">
      <alignment horizontal="left" vertical="center"/>
    </xf>
    <xf numFmtId="0" fontId="220" fillId="0" borderId="2" xfId="0" applyNumberFormat="1" applyFont="1" applyBorder="1" applyAlignment="1" applyProtection="1">
      <alignment horizontal="left" vertical="center"/>
    </xf>
    <xf numFmtId="0" fontId="220" fillId="0" borderId="2" xfId="0" applyFont="1" applyBorder="1" applyAlignment="1">
      <alignment horizontal="left" vertical="center"/>
    </xf>
    <xf numFmtId="0" fontId="220" fillId="0" borderId="0" xfId="0" applyFont="1" applyBorder="1" applyAlignment="1">
      <alignment vertical="center" wrapText="1"/>
    </xf>
    <xf numFmtId="0" fontId="220" fillId="0" borderId="0" xfId="0" applyFont="1" applyBorder="1" applyAlignment="1">
      <alignment horizontal="left" vertical="center"/>
    </xf>
    <xf numFmtId="0" fontId="220" fillId="0" borderId="21" xfId="0" applyFont="1" applyBorder="1" applyAlignment="1">
      <alignment vertical="center" wrapText="1"/>
    </xf>
    <xf numFmtId="0" fontId="220" fillId="0" borderId="21" xfId="0" applyFont="1" applyBorder="1" applyAlignment="1" applyProtection="1">
      <alignment horizontal="left" vertical="center"/>
    </xf>
    <xf numFmtId="0" fontId="220" fillId="0" borderId="71" xfId="0" applyFont="1" applyBorder="1" applyAlignment="1">
      <alignment horizontal="left" vertical="center" wrapText="1"/>
    </xf>
    <xf numFmtId="0" fontId="193" fillId="0" borderId="71" xfId="0" applyFont="1" applyBorder="1" applyAlignment="1" applyProtection="1">
      <alignment horizontal="left" vertical="center"/>
      <protection locked="0"/>
    </xf>
    <xf numFmtId="0" fontId="220" fillId="0" borderId="111" xfId="0" applyFont="1" applyBorder="1">
      <alignment vertical="center"/>
    </xf>
    <xf numFmtId="0" fontId="220" fillId="0" borderId="74" xfId="0" applyFont="1" applyBorder="1" applyAlignment="1">
      <alignment vertical="center" wrapText="1"/>
    </xf>
    <xf numFmtId="0" fontId="220" fillId="0" borderId="74" xfId="0" applyFont="1" applyBorder="1" applyAlignment="1" applyProtection="1">
      <alignment horizontal="left" vertical="center"/>
    </xf>
    <xf numFmtId="0" fontId="220" fillId="0" borderId="78" xfId="0" applyFont="1" applyBorder="1" applyProtection="1">
      <alignment vertical="center"/>
      <protection locked="0"/>
    </xf>
    <xf numFmtId="49" fontId="220" fillId="0" borderId="78" xfId="0" applyNumberFormat="1" applyFont="1" applyBorder="1" applyProtection="1">
      <alignment vertical="center"/>
      <protection locked="0"/>
    </xf>
    <xf numFmtId="184" fontId="220" fillId="0" borderId="78" xfId="0" applyNumberFormat="1" applyFont="1" applyBorder="1" applyProtection="1">
      <alignment vertical="center"/>
      <protection locked="0"/>
    </xf>
    <xf numFmtId="0" fontId="220" fillId="0" borderId="0" xfId="0" applyFont="1" applyFill="1" applyBorder="1" applyProtection="1">
      <alignment vertical="center"/>
    </xf>
    <xf numFmtId="0" fontId="220" fillId="0" borderId="71" xfId="0" applyFont="1" applyBorder="1" applyAlignment="1">
      <alignment vertical="center" wrapText="1"/>
    </xf>
    <xf numFmtId="0" fontId="220" fillId="0" borderId="71" xfId="0" applyFont="1" applyBorder="1" applyAlignment="1" applyProtection="1">
      <alignment horizontal="left" vertical="center"/>
    </xf>
    <xf numFmtId="0" fontId="220" fillId="0" borderId="78" xfId="0" applyFont="1" applyBorder="1">
      <alignment vertical="center"/>
    </xf>
    <xf numFmtId="0" fontId="220" fillId="0" borderId="74" xfId="0" applyFont="1" applyBorder="1">
      <alignment vertical="center"/>
    </xf>
    <xf numFmtId="191" fontId="220" fillId="0" borderId="71" xfId="0" applyNumberFormat="1" applyFont="1" applyBorder="1" applyAlignment="1" applyProtection="1">
      <alignment horizontal="left" vertical="center"/>
    </xf>
    <xf numFmtId="0" fontId="220" fillId="0" borderId="21" xfId="0" applyFont="1" applyBorder="1" applyAlignment="1">
      <alignment horizontal="left" vertical="center"/>
    </xf>
    <xf numFmtId="0" fontId="220" fillId="0" borderId="71" xfId="0" applyNumberFormat="1" applyFont="1" applyBorder="1" applyAlignment="1" applyProtection="1">
      <alignment horizontal="left" vertical="center"/>
    </xf>
    <xf numFmtId="0" fontId="220" fillId="0" borderId="71" xfId="0" applyFont="1" applyBorder="1" applyAlignment="1">
      <alignment horizontal="left" vertical="center"/>
    </xf>
    <xf numFmtId="0" fontId="174" fillId="5" borderId="52" xfId="0" applyFont="1" applyFill="1" applyBorder="1" applyAlignment="1" applyProtection="1">
      <alignment vertical="center" wrapText="1"/>
    </xf>
    <xf numFmtId="0" fontId="69" fillId="2" borderId="30" xfId="0" applyNumberFormat="1" applyFont="1" applyFill="1" applyBorder="1" applyAlignment="1" applyProtection="1">
      <alignment horizontal="center" vertical="center" wrapText="1"/>
      <protection locked="0"/>
    </xf>
    <xf numFmtId="0" fontId="50" fillId="0" borderId="20" xfId="0" applyNumberFormat="1" applyFont="1" applyFill="1" applyBorder="1" applyAlignment="1" applyProtection="1">
      <alignment horizontal="center" vertical="center" wrapText="1"/>
      <protection locked="0"/>
    </xf>
    <xf numFmtId="0" fontId="174" fillId="5" borderId="24" xfId="0" applyFont="1" applyFill="1" applyBorder="1" applyAlignment="1" applyProtection="1">
      <alignment vertical="center" wrapText="1"/>
    </xf>
    <xf numFmtId="184" fontId="69" fillId="5" borderId="62" xfId="0" applyNumberFormat="1" applyFont="1" applyFill="1" applyBorder="1" applyAlignment="1" applyProtection="1">
      <alignment horizontal="center" vertical="center" wrapText="1"/>
    </xf>
    <xf numFmtId="0" fontId="73" fillId="5" borderId="58" xfId="0" applyFont="1" applyFill="1" applyBorder="1" applyAlignment="1" applyProtection="1">
      <alignment vertical="center" wrapText="1"/>
    </xf>
    <xf numFmtId="0" fontId="73" fillId="5" borderId="64" xfId="0" applyFont="1" applyFill="1" applyBorder="1" applyAlignment="1" applyProtection="1">
      <alignment vertical="center" wrapText="1"/>
    </xf>
    <xf numFmtId="0" fontId="73" fillId="5" borderId="87" xfId="0" applyFont="1" applyFill="1" applyBorder="1" applyAlignment="1" applyProtection="1">
      <alignment vertical="center" wrapText="1"/>
    </xf>
    <xf numFmtId="0" fontId="101" fillId="5" borderId="64" xfId="0" applyFont="1" applyFill="1" applyBorder="1" applyAlignment="1" applyProtection="1">
      <alignment vertical="center" wrapText="1"/>
    </xf>
    <xf numFmtId="0" fontId="81" fillId="5" borderId="64" xfId="0" applyFont="1" applyFill="1" applyBorder="1" applyAlignment="1" applyProtection="1">
      <alignment vertical="center" wrapText="1"/>
    </xf>
    <xf numFmtId="0" fontId="81" fillId="8" borderId="87" xfId="0" applyFont="1" applyFill="1" applyBorder="1" applyAlignment="1" applyProtection="1">
      <alignment vertical="center" wrapText="1"/>
    </xf>
    <xf numFmtId="0" fontId="81" fillId="8" borderId="53" xfId="0" applyFont="1" applyFill="1" applyBorder="1" applyAlignment="1" applyProtection="1">
      <alignment vertical="center" wrapText="1"/>
    </xf>
    <xf numFmtId="0" fontId="73" fillId="5" borderId="56"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73" fillId="5" borderId="63"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protection locked="0"/>
    </xf>
    <xf numFmtId="0" fontId="73" fillId="8" borderId="63" xfId="0" applyFont="1" applyFill="1" applyBorder="1" applyAlignment="1" applyProtection="1">
      <alignment horizontal="left" vertical="center" wrapText="1"/>
      <protection locked="0"/>
    </xf>
    <xf numFmtId="0" fontId="73" fillId="8" borderId="66" xfId="0" applyFont="1" applyFill="1" applyBorder="1" applyAlignment="1" applyProtection="1">
      <alignment horizontal="left" vertical="center" wrapText="1"/>
      <protection locked="0"/>
    </xf>
    <xf numFmtId="0" fontId="82" fillId="5" borderId="0" xfId="4" applyFont="1" applyFill="1" applyAlignment="1" applyProtection="1">
      <alignment horizontal="center" vertical="center" wrapText="1"/>
      <protection locked="0"/>
    </xf>
    <xf numFmtId="0" fontId="104" fillId="0" borderId="2" xfId="4" applyFont="1" applyFill="1" applyBorder="1" applyAlignment="1" applyProtection="1">
      <alignment horizontal="center" vertical="center" wrapText="1"/>
      <protection locked="0"/>
    </xf>
    <xf numFmtId="0" fontId="84" fillId="5" borderId="2" xfId="4" applyFont="1" applyFill="1" applyBorder="1" applyAlignment="1" applyProtection="1">
      <alignment horizontal="center" vertical="center" wrapText="1"/>
      <protection locked="0"/>
    </xf>
    <xf numFmtId="180" fontId="84" fillId="5" borderId="2" xfId="4" applyNumberFormat="1" applyFont="1" applyFill="1" applyBorder="1" applyAlignment="1" applyProtection="1">
      <alignment horizontal="center" vertical="center" wrapText="1"/>
      <protection locked="0"/>
    </xf>
    <xf numFmtId="0" fontId="84" fillId="8" borderId="0" xfId="4" applyFont="1" applyFill="1" applyAlignment="1" applyProtection="1">
      <alignment horizontal="center" vertical="center" wrapText="1"/>
    </xf>
    <xf numFmtId="0" fontId="84" fillId="0" borderId="0" xfId="4" applyFont="1" applyAlignment="1" applyProtection="1">
      <alignment horizontal="center" vertical="center" wrapText="1"/>
    </xf>
    <xf numFmtId="185" fontId="191" fillId="5" borderId="2" xfId="4" applyNumberFormat="1" applyFont="1" applyFill="1" applyBorder="1" applyAlignment="1" applyProtection="1">
      <alignment horizontal="center" vertical="center"/>
    </xf>
    <xf numFmtId="178" fontId="197" fillId="5" borderId="2" xfId="4" applyNumberFormat="1" applyFont="1" applyFill="1" applyBorder="1" applyAlignment="1" applyProtection="1">
      <alignment horizontal="center" vertical="center"/>
    </xf>
    <xf numFmtId="186" fontId="197" fillId="5" borderId="2" xfId="4" applyNumberFormat="1" applyFont="1" applyFill="1" applyBorder="1" applyAlignment="1" applyProtection="1">
      <alignment horizontal="center" vertical="center" wrapText="1"/>
    </xf>
    <xf numFmtId="0" fontId="191" fillId="5" borderId="2" xfId="4" applyFont="1" applyFill="1" applyBorder="1" applyAlignment="1" applyProtection="1">
      <alignment vertical="center" wrapText="1"/>
    </xf>
    <xf numFmtId="0" fontId="84" fillId="5" borderId="9" xfId="4" applyFont="1" applyFill="1" applyBorder="1" applyAlignment="1" applyProtection="1">
      <alignment horizontal="center" vertical="center" wrapText="1"/>
      <protection locked="0"/>
    </xf>
    <xf numFmtId="0" fontId="138" fillId="5" borderId="2" xfId="4" applyFont="1" applyFill="1" applyBorder="1" applyAlignment="1" applyProtection="1">
      <alignment horizontal="center" vertical="center" wrapText="1"/>
    </xf>
    <xf numFmtId="0" fontId="104" fillId="5" borderId="2" xfId="4" applyFont="1" applyFill="1" applyBorder="1" applyAlignment="1" applyProtection="1">
      <alignment horizontal="center" vertical="center" wrapText="1"/>
    </xf>
    <xf numFmtId="178" fontId="125" fillId="5" borderId="111" xfId="6" applyNumberFormat="1" applyFont="1" applyFill="1" applyBorder="1" applyAlignment="1">
      <alignment horizontal="center"/>
    </xf>
    <xf numFmtId="0" fontId="204" fillId="5" borderId="0" xfId="0" applyFont="1" applyFill="1" applyAlignment="1"/>
    <xf numFmtId="0" fontId="125" fillId="5" borderId="0" xfId="6" applyFont="1" applyFill="1"/>
    <xf numFmtId="0" fontId="125" fillId="5" borderId="1" xfId="6" applyFont="1" applyFill="1" applyBorder="1"/>
    <xf numFmtId="0" fontId="240" fillId="5" borderId="6" xfId="6" applyFont="1" applyFill="1" applyBorder="1" applyAlignment="1">
      <alignment horizontal="center" vertical="center" wrapText="1"/>
    </xf>
    <xf numFmtId="0" fontId="125" fillId="5" borderId="7" xfId="6" applyFont="1" applyFill="1" applyBorder="1" applyAlignment="1">
      <alignment horizontal="center"/>
    </xf>
    <xf numFmtId="0" fontId="240" fillId="5" borderId="1" xfId="6" applyFont="1" applyFill="1" applyBorder="1" applyAlignment="1">
      <alignment horizontal="center" vertical="center" wrapText="1"/>
    </xf>
    <xf numFmtId="0" fontId="125" fillId="5" borderId="6" xfId="6" applyNumberFormat="1" applyFont="1" applyFill="1" applyBorder="1" applyAlignment="1">
      <alignment horizontal="center"/>
    </xf>
    <xf numFmtId="0" fontId="125" fillId="0" borderId="0" xfId="6" applyFont="1"/>
    <xf numFmtId="0" fontId="125" fillId="5" borderId="11" xfId="6" applyFont="1" applyFill="1" applyBorder="1"/>
    <xf numFmtId="0" fontId="240" fillId="5" borderId="2" xfId="6" applyFont="1" applyFill="1" applyBorder="1" applyAlignment="1">
      <alignment horizontal="center" vertical="center" wrapText="1"/>
    </xf>
    <xf numFmtId="0" fontId="125" fillId="5" borderId="12" xfId="6" applyFont="1" applyFill="1" applyBorder="1" applyAlignment="1">
      <alignment horizontal="center"/>
    </xf>
    <xf numFmtId="0" fontId="240" fillId="5" borderId="11" xfId="6" applyFont="1" applyFill="1" applyBorder="1" applyAlignment="1">
      <alignment horizontal="center" vertical="center" wrapText="1"/>
    </xf>
    <xf numFmtId="0" fontId="125" fillId="5" borderId="2" xfId="6" applyNumberFormat="1" applyFont="1" applyFill="1" applyBorder="1" applyAlignment="1">
      <alignment horizontal="center"/>
    </xf>
    <xf numFmtId="0" fontId="125" fillId="5" borderId="42" xfId="6" applyFont="1" applyFill="1" applyBorder="1"/>
    <xf numFmtId="0" fontId="240" fillId="5" borderId="43" xfId="6" applyFont="1" applyFill="1" applyBorder="1" applyAlignment="1">
      <alignment horizontal="center" vertical="center" wrapText="1"/>
    </xf>
    <xf numFmtId="0" fontId="125" fillId="5" borderId="45" xfId="6" applyFont="1" applyFill="1" applyBorder="1" applyAlignment="1">
      <alignment horizontal="center"/>
    </xf>
    <xf numFmtId="0" fontId="240" fillId="5" borderId="42" xfId="6" applyFont="1" applyFill="1" applyBorder="1" applyAlignment="1">
      <alignment horizontal="center" vertical="center" wrapText="1"/>
    </xf>
    <xf numFmtId="0" fontId="125" fillId="5" borderId="43" xfId="6" applyNumberFormat="1" applyFont="1" applyFill="1" applyBorder="1" applyAlignment="1">
      <alignment horizontal="center"/>
    </xf>
    <xf numFmtId="0" fontId="125" fillId="5" borderId="0" xfId="6" applyNumberFormat="1" applyFont="1" applyFill="1" applyAlignment="1">
      <alignment horizontal="center"/>
    </xf>
    <xf numFmtId="0" fontId="125" fillId="5" borderId="0" xfId="6" applyFont="1" applyFill="1" applyAlignment="1">
      <alignment horizontal="right"/>
    </xf>
    <xf numFmtId="14" fontId="125" fillId="5" borderId="0" xfId="6" applyNumberFormat="1" applyFont="1" applyFill="1" applyAlignment="1">
      <alignment horizontal="center"/>
    </xf>
    <xf numFmtId="0" fontId="255" fillId="5" borderId="0" xfId="6" applyNumberFormat="1" applyFont="1" applyFill="1" applyAlignment="1">
      <alignment horizontal="center"/>
    </xf>
    <xf numFmtId="0" fontId="256" fillId="5" borderId="0" xfId="6" applyFont="1" applyFill="1" applyAlignment="1">
      <alignment horizontal="left"/>
    </xf>
    <xf numFmtId="14" fontId="255" fillId="5" borderId="0" xfId="6" applyNumberFormat="1" applyFont="1" applyFill="1" applyAlignment="1">
      <alignment horizontal="center"/>
    </xf>
    <xf numFmtId="0" fontId="255" fillId="5" borderId="0" xfId="6" applyFont="1" applyFill="1"/>
    <xf numFmtId="0" fontId="255" fillId="0" borderId="0" xfId="6" applyFont="1"/>
    <xf numFmtId="0" fontId="175" fillId="5" borderId="0" xfId="6" applyFont="1" applyFill="1"/>
    <xf numFmtId="0" fontId="176" fillId="5" borderId="0" xfId="6" applyFont="1" applyFill="1"/>
    <xf numFmtId="0" fontId="175" fillId="0" borderId="0" xfId="6" applyFont="1"/>
    <xf numFmtId="0" fontId="240" fillId="5" borderId="0" xfId="6" applyFont="1" applyFill="1" applyAlignment="1"/>
    <xf numFmtId="0" fontId="253" fillId="5" borderId="10" xfId="6" applyFont="1" applyFill="1" applyBorder="1" applyAlignment="1">
      <alignment horizontal="center" vertical="center"/>
    </xf>
    <xf numFmtId="0" fontId="253" fillId="5" borderId="10" xfId="6" applyFont="1" applyFill="1" applyBorder="1" applyAlignment="1">
      <alignment vertical="center"/>
    </xf>
    <xf numFmtId="0" fontId="253" fillId="5" borderId="5" xfId="6" applyFont="1" applyFill="1" applyBorder="1" applyAlignment="1">
      <alignment vertical="center"/>
    </xf>
    <xf numFmtId="0" fontId="253" fillId="5" borderId="9" xfId="6" applyFont="1" applyFill="1" applyBorder="1" applyAlignment="1">
      <alignment vertical="center"/>
    </xf>
    <xf numFmtId="0" fontId="253" fillId="5" borderId="8" xfId="6" applyFont="1" applyFill="1" applyBorder="1" applyAlignment="1">
      <alignment vertical="center"/>
    </xf>
    <xf numFmtId="0" fontId="240" fillId="0" borderId="0" xfId="6" applyFont="1" applyAlignment="1"/>
    <xf numFmtId="0" fontId="240" fillId="5" borderId="0" xfId="6" applyFont="1" applyFill="1"/>
    <xf numFmtId="0" fontId="253" fillId="5" borderId="21" xfId="6" applyFont="1" applyFill="1" applyBorder="1" applyAlignment="1">
      <alignment horizontal="center" vertical="center" wrapText="1"/>
    </xf>
    <xf numFmtId="0" fontId="253" fillId="5" borderId="21" xfId="6" applyFont="1" applyFill="1" applyBorder="1" applyAlignment="1">
      <alignment vertical="center" wrapText="1"/>
    </xf>
    <xf numFmtId="0" fontId="125" fillId="5" borderId="2" xfId="6" applyFont="1" applyFill="1" applyBorder="1"/>
    <xf numFmtId="0" fontId="253" fillId="5" borderId="2" xfId="6" applyFont="1" applyFill="1" applyBorder="1" applyAlignment="1">
      <alignment horizontal="center" vertical="center" wrapText="1"/>
    </xf>
    <xf numFmtId="0" fontId="240" fillId="0" borderId="0" xfId="6" applyFont="1"/>
    <xf numFmtId="0" fontId="247" fillId="5" borderId="0" xfId="6" applyFont="1" applyFill="1" applyAlignment="1">
      <alignment vertical="center"/>
    </xf>
    <xf numFmtId="0" fontId="247" fillId="5" borderId="2" xfId="6" applyFont="1" applyFill="1" applyBorder="1" applyAlignment="1">
      <alignment horizontal="left" vertical="center" wrapText="1"/>
    </xf>
    <xf numFmtId="194" fontId="247" fillId="5" borderId="2" xfId="6" applyNumberFormat="1" applyFont="1" applyFill="1" applyBorder="1" applyAlignment="1">
      <alignment horizontal="center" vertical="center" wrapText="1"/>
    </xf>
    <xf numFmtId="0" fontId="247" fillId="5" borderId="2" xfId="6" applyFont="1" applyFill="1" applyBorder="1" applyAlignment="1">
      <alignment horizontal="center" vertical="center" wrapText="1"/>
    </xf>
    <xf numFmtId="14" fontId="247" fillId="5" borderId="2" xfId="6" applyNumberFormat="1" applyFont="1" applyFill="1" applyBorder="1" applyAlignment="1">
      <alignment horizontal="center" vertical="center" wrapText="1"/>
    </xf>
    <xf numFmtId="0" fontId="247" fillId="6" borderId="0" xfId="6" applyFont="1" applyFill="1" applyAlignment="1">
      <alignment vertical="center"/>
    </xf>
    <xf numFmtId="0" fontId="125" fillId="5" borderId="2" xfId="6" applyFont="1" applyFill="1" applyBorder="1" applyAlignment="1">
      <alignment horizontal="center" wrapText="1"/>
    </xf>
    <xf numFmtId="14" fontId="125" fillId="5" borderId="2" xfId="6" applyNumberFormat="1" applyFont="1" applyFill="1" applyBorder="1" applyAlignment="1">
      <alignment horizontal="center" wrapText="1"/>
    </xf>
    <xf numFmtId="180" fontId="178" fillId="5" borderId="2" xfId="6" applyNumberFormat="1" applyFont="1" applyFill="1" applyBorder="1" applyAlignment="1">
      <alignment horizontal="center"/>
    </xf>
    <xf numFmtId="14" fontId="244" fillId="5" borderId="2" xfId="6" applyNumberFormat="1" applyFont="1" applyFill="1" applyBorder="1" applyAlignment="1">
      <alignment horizontal="center" wrapText="1"/>
    </xf>
    <xf numFmtId="0" fontId="125" fillId="5" borderId="0" xfId="6" applyFont="1" applyFill="1" applyBorder="1" applyAlignment="1">
      <alignment horizontal="center" wrapText="1"/>
    </xf>
    <xf numFmtId="14" fontId="125" fillId="5" borderId="0" xfId="6" applyNumberFormat="1" applyFont="1" applyFill="1" applyBorder="1" applyAlignment="1">
      <alignment horizontal="center" wrapText="1"/>
    </xf>
    <xf numFmtId="0" fontId="0" fillId="5" borderId="0" xfId="0" applyFill="1" applyAlignment="1"/>
    <xf numFmtId="0" fontId="0" fillId="5" borderId="111" xfId="0" applyFill="1" applyBorder="1" applyAlignment="1"/>
    <xf numFmtId="0" fontId="125" fillId="5" borderId="0" xfId="6" applyFont="1" applyFill="1" applyBorder="1"/>
    <xf numFmtId="0" fontId="0" fillId="5" borderId="0" xfId="0" applyFill="1" applyBorder="1" applyAlignment="1"/>
    <xf numFmtId="0" fontId="155" fillId="5" borderId="2" xfId="6" applyFont="1" applyFill="1" applyBorder="1" applyAlignment="1">
      <alignment horizontal="center"/>
    </xf>
    <xf numFmtId="0" fontId="155" fillId="5" borderId="21" xfId="6" applyFont="1" applyFill="1" applyBorder="1" applyAlignment="1">
      <alignment horizontal="center"/>
    </xf>
    <xf numFmtId="0" fontId="249" fillId="5" borderId="2" xfId="0" applyFont="1" applyFill="1" applyBorder="1" applyAlignment="1">
      <alignment horizontal="center"/>
    </xf>
    <xf numFmtId="10" fontId="252" fillId="5" borderId="2" xfId="6" applyNumberFormat="1" applyFont="1" applyFill="1" applyBorder="1" applyAlignment="1">
      <alignment horizontal="center"/>
    </xf>
    <xf numFmtId="14" fontId="252" fillId="5" borderId="2" xfId="6" applyNumberFormat="1" applyFont="1" applyFill="1" applyBorder="1" applyAlignment="1" applyProtection="1">
      <alignment horizontal="center"/>
    </xf>
    <xf numFmtId="0" fontId="252" fillId="5" borderId="21" xfId="6"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3" xfId="0" applyFont="1" applyFill="1" applyBorder="1" applyAlignment="1" applyProtection="1">
      <alignment horizontal="left" vertical="center"/>
    </xf>
    <xf numFmtId="0" fontId="9" fillId="0" borderId="2" xfId="0" applyFont="1" applyBorder="1" applyAlignment="1" applyProtection="1">
      <alignment horizontal="center" vertical="center" wrapText="1"/>
      <protection locked="0"/>
    </xf>
    <xf numFmtId="0" fontId="9" fillId="2" borderId="21" xfId="0" applyFont="1" applyFill="1" applyBorder="1" applyAlignment="1" applyProtection="1">
      <alignment horizontal="center" vertical="center" wrapText="1"/>
      <protection locked="0"/>
    </xf>
    <xf numFmtId="0" fontId="9" fillId="0" borderId="2" xfId="0" applyFont="1" applyBorder="1" applyAlignment="1" applyProtection="1">
      <alignment vertical="center" wrapText="1"/>
      <protection locked="0"/>
    </xf>
    <xf numFmtId="0" fontId="15" fillId="6" borderId="21" xfId="0" applyFont="1" applyFill="1" applyBorder="1" applyAlignment="1" applyProtection="1">
      <alignment horizontal="center" vertical="center" wrapText="1"/>
      <protection locked="0"/>
    </xf>
    <xf numFmtId="177" fontId="9" fillId="0" borderId="2" xfId="0" applyNumberFormat="1" applyFont="1" applyBorder="1" applyAlignment="1" applyProtection="1">
      <alignment vertical="center" wrapText="1"/>
      <protection locked="0"/>
    </xf>
    <xf numFmtId="0" fontId="9" fillId="2" borderId="17" xfId="0" applyFont="1" applyFill="1" applyBorder="1" applyAlignment="1" applyProtection="1">
      <alignment horizontal="left" vertical="center"/>
      <protection locked="0"/>
    </xf>
    <xf numFmtId="0" fontId="9" fillId="2" borderId="8" xfId="0" applyFont="1" applyFill="1" applyBorder="1" applyAlignment="1" applyProtection="1">
      <alignment horizontal="left" vertical="center"/>
      <protection locked="0"/>
    </xf>
    <xf numFmtId="0" fontId="9" fillId="2" borderId="5" xfId="0" applyFont="1" applyFill="1" applyBorder="1" applyAlignment="1" applyProtection="1">
      <alignment horizontal="left" vertical="center"/>
      <protection locked="0"/>
    </xf>
    <xf numFmtId="177" fontId="9" fillId="0" borderId="2" xfId="0" applyNumberFormat="1" applyFont="1" applyBorder="1" applyAlignment="1" applyProtection="1">
      <alignment horizontal="center" vertical="center" wrapText="1"/>
      <protection locked="0"/>
    </xf>
    <xf numFmtId="177" fontId="9" fillId="0" borderId="21" xfId="0" applyNumberFormat="1" applyFont="1" applyBorder="1" applyAlignment="1" applyProtection="1">
      <alignment horizontal="center" vertical="center" wrapText="1"/>
      <protection locked="0"/>
    </xf>
    <xf numFmtId="0" fontId="9" fillId="0" borderId="17" xfId="0" applyFont="1" applyBorder="1" applyAlignment="1" applyProtection="1">
      <alignment horizontal="center" vertical="center" wrapText="1"/>
      <protection locked="0"/>
    </xf>
    <xf numFmtId="178" fontId="9" fillId="0" borderId="2" xfId="3" applyNumberFormat="1" applyFont="1" applyFill="1" applyBorder="1" applyAlignment="1" applyProtection="1">
      <alignment vertical="center"/>
      <protection locked="0" hidden="1"/>
    </xf>
    <xf numFmtId="182" fontId="191" fillId="0" borderId="2" xfId="0" applyNumberFormat="1" applyFont="1" applyFill="1" applyBorder="1" applyAlignment="1" applyProtection="1">
      <alignment horizontal="center" vertical="center"/>
      <protection locked="0"/>
    </xf>
    <xf numFmtId="178" fontId="74" fillId="0" borderId="2" xfId="3" applyNumberFormat="1" applyFont="1" applyFill="1" applyBorder="1" applyAlignment="1" applyProtection="1">
      <alignment horizontal="center" vertical="center"/>
      <protection locked="0"/>
    </xf>
    <xf numFmtId="10" fontId="74" fillId="0" borderId="2" xfId="3" applyNumberFormat="1" applyFont="1" applyFill="1" applyBorder="1" applyAlignment="1" applyProtection="1">
      <alignment horizontal="center" vertical="center"/>
      <protection locked="0"/>
    </xf>
    <xf numFmtId="9" fontId="74" fillId="0" borderId="5" xfId="0" applyNumberFormat="1" applyFont="1" applyFill="1" applyBorder="1" applyAlignment="1" applyProtection="1">
      <alignment horizontal="center" vertical="center"/>
      <protection locked="0"/>
    </xf>
    <xf numFmtId="185" fontId="191" fillId="0" borderId="10" xfId="0" applyNumberFormat="1" applyFont="1" applyFill="1" applyBorder="1" applyAlignment="1" applyProtection="1">
      <alignment horizontal="center" vertical="center"/>
      <protection locked="0"/>
    </xf>
    <xf numFmtId="0" fontId="73" fillId="5" borderId="2" xfId="0" applyNumberFormat="1" applyFont="1" applyFill="1" applyBorder="1" applyAlignment="1" applyProtection="1">
      <alignment horizontal="right"/>
    </xf>
    <xf numFmtId="0" fontId="73" fillId="5" borderId="2" xfId="3" applyNumberFormat="1" applyFont="1" applyFill="1" applyBorder="1" applyAlignment="1" applyProtection="1">
      <alignment horizontal="right"/>
    </xf>
    <xf numFmtId="0" fontId="46" fillId="5" borderId="2" xfId="3" applyFont="1" applyFill="1" applyBorder="1" applyAlignment="1" applyProtection="1">
      <alignment vertical="center" wrapText="1"/>
    </xf>
    <xf numFmtId="0" fontId="38" fillId="5" borderId="43" xfId="0" applyFont="1" applyFill="1" applyBorder="1" applyAlignment="1" applyProtection="1">
      <alignment vertical="center"/>
    </xf>
    <xf numFmtId="49" fontId="131" fillId="5" borderId="11" xfId="0" applyNumberFormat="1" applyFont="1" applyFill="1" applyBorder="1" applyAlignment="1" applyProtection="1">
      <alignment horizontal="left" vertical="center" wrapText="1"/>
    </xf>
    <xf numFmtId="0" fontId="17" fillId="5" borderId="5" xfId="3" applyFont="1" applyFill="1" applyBorder="1" applyAlignment="1" applyProtection="1">
      <alignment vertical="center"/>
    </xf>
    <xf numFmtId="0" fontId="17" fillId="5" borderId="2" xfId="3" applyFont="1" applyFill="1" applyBorder="1" applyAlignment="1" applyProtection="1">
      <alignment vertical="center"/>
    </xf>
    <xf numFmtId="10" fontId="83" fillId="5" borderId="2" xfId="3" applyNumberFormat="1" applyFont="1" applyFill="1" applyBorder="1" applyAlignment="1" applyProtection="1">
      <alignment horizontal="center" vertical="center"/>
    </xf>
    <xf numFmtId="0" fontId="83" fillId="5" borderId="10" xfId="0" applyNumberFormat="1" applyFont="1" applyFill="1" applyBorder="1" applyAlignment="1" applyProtection="1">
      <alignment horizontal="center" vertical="center"/>
    </xf>
    <xf numFmtId="182" fontId="69" fillId="0" borderId="12" xfId="0" applyNumberFormat="1" applyFont="1" applyBorder="1" applyAlignment="1" applyProtection="1">
      <alignment horizontal="center" vertical="center"/>
      <protection locked="0"/>
    </xf>
    <xf numFmtId="0" fontId="18" fillId="5" borderId="1" xfId="0" applyFont="1" applyFill="1" applyBorder="1" applyAlignment="1" applyProtection="1">
      <alignment vertical="center" wrapText="1"/>
    </xf>
    <xf numFmtId="0" fontId="104" fillId="5" borderId="7" xfId="0" applyFont="1" applyFill="1" applyBorder="1" applyAlignment="1" applyProtection="1">
      <alignment horizontal="center" vertical="center" wrapText="1"/>
    </xf>
    <xf numFmtId="0" fontId="18" fillId="5" borderId="42" xfId="0" applyFont="1" applyFill="1" applyBorder="1" applyAlignment="1" applyProtection="1">
      <alignment vertical="center" wrapText="1"/>
    </xf>
    <xf numFmtId="0" fontId="257" fillId="0" borderId="0" xfId="0" applyFont="1">
      <alignment vertical="center"/>
    </xf>
    <xf numFmtId="0" fontId="258" fillId="0" borderId="2" xfId="15" applyFont="1" applyBorder="1" applyAlignment="1" applyProtection="1">
      <alignment horizontal="left" vertical="center" wrapText="1"/>
      <protection locked="0"/>
    </xf>
    <xf numFmtId="0" fontId="191" fillId="5" borderId="2" xfId="0"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4" fillId="5" borderId="0" xfId="0" applyNumberFormat="1" applyFont="1" applyFill="1" applyProtection="1">
      <alignment vertical="center"/>
    </xf>
    <xf numFmtId="0" fontId="9" fillId="5" borderId="0" xfId="0" applyFont="1" applyFill="1" applyProtection="1">
      <alignment vertical="center"/>
      <protection locked="0"/>
    </xf>
    <xf numFmtId="0" fontId="205" fillId="5" borderId="5" xfId="0" applyFont="1" applyFill="1" applyBorder="1" applyAlignment="1" applyProtection="1">
      <alignment horizontal="center" vertical="center" wrapText="1"/>
    </xf>
    <xf numFmtId="0" fontId="206" fillId="5" borderId="21" xfId="0" applyFont="1" applyFill="1" applyBorder="1" applyAlignment="1" applyProtection="1">
      <alignment horizontal="center" vertical="center" wrapText="1"/>
    </xf>
    <xf numFmtId="0" fontId="206" fillId="5" borderId="5" xfId="0" applyFont="1" applyFill="1" applyBorder="1" applyAlignment="1" applyProtection="1">
      <alignment horizontal="center" vertical="center" wrapText="1"/>
    </xf>
    <xf numFmtId="0" fontId="206" fillId="5" borderId="8" xfId="0" applyFont="1" applyFill="1" applyBorder="1" applyAlignment="1" applyProtection="1">
      <alignment horizontal="center" vertical="center" wrapText="1"/>
    </xf>
    <xf numFmtId="0" fontId="206" fillId="5" borderId="8" xfId="0" applyFont="1" applyFill="1" applyBorder="1" applyAlignment="1" applyProtection="1">
      <alignment horizontal="center" vertical="center"/>
    </xf>
    <xf numFmtId="0" fontId="206" fillId="5" borderId="9" xfId="0" applyFont="1" applyFill="1" applyBorder="1" applyAlignment="1" applyProtection="1">
      <alignment horizontal="center" vertical="center" wrapText="1"/>
    </xf>
    <xf numFmtId="0" fontId="201" fillId="5" borderId="2" xfId="0" applyFont="1" applyFill="1" applyBorder="1" applyAlignment="1">
      <alignment horizontal="center" vertical="center" wrapText="1"/>
    </xf>
    <xf numFmtId="182" fontId="74" fillId="5" borderId="0" xfId="0" applyNumberFormat="1" applyFont="1" applyFill="1" applyAlignment="1" applyProtection="1">
      <alignment horizontal="left" vertical="center"/>
    </xf>
    <xf numFmtId="0" fontId="76" fillId="5" borderId="112" xfId="0" applyFont="1" applyFill="1" applyBorder="1" applyAlignment="1" applyProtection="1">
      <alignment vertical="center" wrapText="1"/>
    </xf>
    <xf numFmtId="0" fontId="76" fillId="0" borderId="112" xfId="0" applyFont="1" applyBorder="1" applyAlignment="1" applyProtection="1">
      <alignment vertical="center" wrapText="1"/>
    </xf>
    <xf numFmtId="0" fontId="222" fillId="5" borderId="112" xfId="0" applyFont="1" applyFill="1" applyBorder="1" applyAlignment="1" applyProtection="1">
      <alignment vertical="center"/>
    </xf>
    <xf numFmtId="0" fontId="15" fillId="0" borderId="11" xfId="0" applyFont="1" applyBorder="1" applyAlignment="1" applyProtection="1">
      <alignment horizontal="right" vertical="center" wrapText="1"/>
      <protection locked="0"/>
    </xf>
    <xf numFmtId="0" fontId="15" fillId="0" borderId="42" xfId="0" applyFont="1" applyBorder="1" applyAlignment="1" applyProtection="1">
      <alignment horizontal="right" vertical="center" wrapText="1"/>
      <protection locked="0"/>
    </xf>
    <xf numFmtId="0" fontId="83" fillId="6" borderId="5" xfId="0" applyFont="1" applyFill="1" applyBorder="1" applyAlignment="1" applyProtection="1">
      <alignment vertical="center"/>
      <protection locked="0"/>
    </xf>
    <xf numFmtId="0" fontId="261" fillId="0" borderId="113" xfId="0" applyNumberFormat="1" applyFont="1" applyFill="1" applyBorder="1" applyAlignment="1" applyProtection="1">
      <alignment horizontal="center" vertical="center" wrapText="1"/>
      <protection locked="0"/>
    </xf>
    <xf numFmtId="0" fontId="261" fillId="5" borderId="31" xfId="0" applyNumberFormat="1" applyFont="1" applyFill="1" applyBorder="1" applyAlignment="1" applyProtection="1">
      <alignment horizontal="center" vertical="center" wrapText="1"/>
    </xf>
    <xf numFmtId="0" fontId="261" fillId="0" borderId="31" xfId="0" applyNumberFormat="1" applyFont="1" applyFill="1" applyBorder="1" applyAlignment="1" applyProtection="1">
      <alignment horizontal="center" vertical="center" wrapText="1"/>
      <protection locked="0"/>
    </xf>
    <xf numFmtId="0" fontId="188" fillId="5" borderId="6" xfId="0" applyNumberFormat="1" applyFont="1" applyFill="1" applyBorder="1" applyAlignment="1" applyProtection="1">
      <alignment horizontal="center" vertical="center" wrapText="1"/>
    </xf>
    <xf numFmtId="0" fontId="188" fillId="5" borderId="6" xfId="0" applyNumberFormat="1" applyFont="1" applyFill="1" applyBorder="1" applyAlignment="1" applyProtection="1">
      <alignment horizontal="left" vertical="center" wrapText="1"/>
    </xf>
    <xf numFmtId="0" fontId="188" fillId="5" borderId="7" xfId="0" applyNumberFormat="1" applyFont="1" applyFill="1" applyBorder="1" applyAlignment="1" applyProtection="1">
      <alignment horizontal="center" vertical="center" wrapText="1"/>
    </xf>
    <xf numFmtId="10" fontId="84" fillId="5" borderId="54" xfId="4"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97" fillId="0" borderId="2" xfId="4" applyNumberFormat="1" applyFont="1" applyFill="1" applyBorder="1" applyAlignment="1" applyProtection="1">
      <alignment horizontal="center" vertical="center"/>
      <protection locked="0"/>
    </xf>
    <xf numFmtId="0" fontId="197" fillId="5" borderId="12" xfId="0" applyFont="1" applyFill="1" applyBorder="1" applyAlignment="1" applyProtection="1">
      <alignment horizontal="left" vertical="center"/>
    </xf>
    <xf numFmtId="182" fontId="104" fillId="5" borderId="6" xfId="0" applyNumberFormat="1" applyFont="1" applyFill="1" applyBorder="1" applyAlignment="1" applyProtection="1">
      <alignment horizontal="center" vertical="center"/>
    </xf>
    <xf numFmtId="182" fontId="104" fillId="5" borderId="5" xfId="0" applyNumberFormat="1" applyFont="1" applyFill="1" applyBorder="1" applyAlignment="1" applyProtection="1">
      <alignment horizontal="center" vertical="center"/>
    </xf>
    <xf numFmtId="0" fontId="0" fillId="5" borderId="2" xfId="0" applyFont="1" applyFill="1" applyBorder="1" applyProtection="1">
      <alignment vertical="center"/>
    </xf>
    <xf numFmtId="0" fontId="0" fillId="5" borderId="2" xfId="0" applyFill="1" applyBorder="1" applyAlignment="1" applyProtection="1">
      <alignment horizontal="center" vertical="center"/>
    </xf>
    <xf numFmtId="0" fontId="208" fillId="0" borderId="2" xfId="0" applyFont="1" applyBorder="1" applyAlignment="1" applyProtection="1">
      <alignment horizontal="center" vertical="center"/>
      <protection locked="0"/>
    </xf>
    <xf numFmtId="0" fontId="263" fillId="5" borderId="14" xfId="4" applyFont="1" applyFill="1" applyBorder="1" applyAlignment="1" applyProtection="1">
      <alignment horizontal="center" vertical="center"/>
    </xf>
    <xf numFmtId="0" fontId="104" fillId="5" borderId="0" xfId="0" applyFont="1" applyFill="1" applyAlignment="1" applyProtection="1">
      <alignment horizontal="center" vertical="center"/>
      <protection locked="0"/>
    </xf>
    <xf numFmtId="0" fontId="50" fillId="5" borderId="10" xfId="0" applyFont="1" applyFill="1" applyBorder="1" applyAlignment="1" applyProtection="1"/>
    <xf numFmtId="10" fontId="83" fillId="5" borderId="25" xfId="0" applyNumberFormat="1" applyFont="1" applyFill="1" applyBorder="1" applyAlignment="1" applyProtection="1">
      <alignment horizontal="center"/>
    </xf>
    <xf numFmtId="0" fontId="47" fillId="5" borderId="43" xfId="0" applyFont="1" applyFill="1" applyBorder="1" applyAlignment="1" applyProtection="1">
      <alignment horizontal="left" vertical="center"/>
    </xf>
    <xf numFmtId="0" fontId="96" fillId="6" borderId="0" xfId="0" applyFont="1" applyFill="1" applyAlignment="1" applyProtection="1">
      <alignment vertical="center"/>
      <protection locked="0"/>
    </xf>
    <xf numFmtId="0" fontId="130" fillId="5" borderId="11" xfId="0" applyFont="1" applyFill="1" applyBorder="1" applyAlignment="1" applyProtection="1">
      <alignment vertical="center"/>
    </xf>
    <xf numFmtId="0" fontId="192" fillId="0" borderId="42" xfId="0" applyFont="1" applyFill="1" applyBorder="1" applyAlignment="1" applyProtection="1">
      <alignment horizontal="center" vertical="center"/>
    </xf>
    <xf numFmtId="0" fontId="16" fillId="6" borderId="21" xfId="0" applyFont="1" applyFill="1" applyBorder="1" applyAlignment="1" applyProtection="1">
      <alignment horizontal="left" vertical="center" wrapText="1"/>
      <protection locked="0"/>
    </xf>
    <xf numFmtId="0" fontId="130" fillId="5" borderId="1" xfId="0" applyFont="1" applyFill="1" applyBorder="1" applyAlignment="1" applyProtection="1">
      <alignment vertical="center"/>
    </xf>
    <xf numFmtId="49" fontId="130" fillId="5" borderId="11" xfId="0" applyNumberFormat="1" applyFont="1" applyFill="1" applyBorder="1" applyAlignment="1" applyProtection="1">
      <alignment horizontal="left" vertical="center"/>
    </xf>
    <xf numFmtId="0" fontId="130" fillId="5" borderId="42" xfId="0" applyFont="1" applyFill="1" applyBorder="1" applyAlignment="1" applyProtection="1">
      <alignment vertical="center"/>
    </xf>
    <xf numFmtId="0" fontId="130" fillId="5" borderId="33" xfId="0" applyFont="1" applyFill="1" applyBorder="1" applyAlignment="1" applyProtection="1">
      <alignment vertical="center" wrapText="1"/>
    </xf>
    <xf numFmtId="0" fontId="216" fillId="5" borderId="12" xfId="0" applyFont="1" applyFill="1" applyBorder="1" applyAlignment="1" applyProtection="1">
      <alignment horizontal="center"/>
    </xf>
    <xf numFmtId="0" fontId="104" fillId="5" borderId="12" xfId="0" applyNumberFormat="1" applyFont="1" applyFill="1" applyBorder="1" applyAlignment="1" applyProtection="1">
      <alignment horizontal="center" vertical="center"/>
    </xf>
    <xf numFmtId="0" fontId="130" fillId="5" borderId="1" xfId="0" applyFont="1" applyFill="1" applyBorder="1" applyAlignment="1" applyProtection="1">
      <alignment horizontal="left" vertical="center"/>
    </xf>
    <xf numFmtId="0" fontId="187" fillId="5" borderId="11" xfId="0" applyFont="1" applyFill="1" applyBorder="1" applyAlignment="1" applyProtection="1">
      <alignment horizontal="left"/>
    </xf>
    <xf numFmtId="0" fontId="198" fillId="5" borderId="11" xfId="0" applyFont="1" applyFill="1" applyBorder="1" applyAlignment="1" applyProtection="1">
      <alignment horizontal="left"/>
    </xf>
    <xf numFmtId="0" fontId="193" fillId="5" borderId="80" xfId="0" applyFont="1" applyFill="1" applyBorder="1" applyAlignment="1" applyProtection="1">
      <alignment horizontal="center" vertical="center"/>
    </xf>
    <xf numFmtId="0" fontId="104" fillId="5" borderId="7" xfId="0" applyFont="1" applyFill="1" applyBorder="1" applyAlignment="1" applyProtection="1">
      <alignment horizontal="center" vertical="center"/>
    </xf>
    <xf numFmtId="193" fontId="104" fillId="5" borderId="12" xfId="0" applyNumberFormat="1" applyFont="1" applyFill="1" applyBorder="1" applyAlignment="1" applyProtection="1">
      <alignment horizontal="center" vertical="center"/>
    </xf>
    <xf numFmtId="0" fontId="104" fillId="8" borderId="0" xfId="0" applyFont="1" applyFill="1" applyAlignment="1" applyProtection="1">
      <alignment vertical="center"/>
    </xf>
    <xf numFmtId="0" fontId="104" fillId="8" borderId="0" xfId="0" applyFont="1" applyFill="1" applyAlignment="1" applyProtection="1">
      <alignment horizontal="left" vertical="center"/>
    </xf>
    <xf numFmtId="0" fontId="149" fillId="5" borderId="58" xfId="0" applyFont="1" applyFill="1" applyBorder="1" applyAlignment="1" applyProtection="1">
      <alignment horizontal="left" vertical="center" wrapText="1"/>
    </xf>
    <xf numFmtId="0" fontId="149" fillId="5" borderId="26" xfId="0" applyFont="1" applyFill="1" applyBorder="1" applyAlignment="1" applyProtection="1">
      <alignment horizontal="center" vertical="center"/>
    </xf>
    <xf numFmtId="0" fontId="130" fillId="5" borderId="49" xfId="0" applyFont="1" applyFill="1" applyBorder="1" applyAlignment="1" applyProtection="1">
      <alignment vertical="center" wrapText="1"/>
    </xf>
    <xf numFmtId="0" fontId="130" fillId="5" borderId="11" xfId="0" applyFont="1" applyFill="1" applyBorder="1" applyAlignment="1" applyProtection="1">
      <alignment vertical="center" wrapText="1"/>
    </xf>
    <xf numFmtId="0" fontId="104" fillId="5" borderId="5" xfId="0" applyFont="1" applyFill="1" applyBorder="1" applyAlignment="1" applyProtection="1">
      <alignment horizontal="center" vertical="center"/>
    </xf>
    <xf numFmtId="49" fontId="149" fillId="5" borderId="42" xfId="0" applyNumberFormat="1" applyFont="1" applyFill="1" applyBorder="1" applyAlignment="1" applyProtection="1">
      <alignment horizontal="left" vertical="center"/>
    </xf>
    <xf numFmtId="0" fontId="104" fillId="5" borderId="45" xfId="0" applyFont="1" applyFill="1" applyBorder="1" applyAlignment="1" applyProtection="1">
      <alignment horizontal="center" vertical="center"/>
    </xf>
    <xf numFmtId="0" fontId="149" fillId="5" borderId="42" xfId="0" applyFont="1" applyFill="1" applyBorder="1" applyAlignment="1" applyProtection="1">
      <alignment horizontal="center" vertical="center"/>
    </xf>
    <xf numFmtId="0" fontId="130" fillId="5" borderId="2" xfId="0" applyFont="1" applyFill="1" applyBorder="1" applyAlignment="1" applyProtection="1"/>
    <xf numFmtId="0" fontId="130" fillId="5" borderId="2" xfId="0" applyFont="1" applyFill="1" applyBorder="1" applyAlignment="1" applyProtection="1">
      <alignment horizontal="center"/>
    </xf>
    <xf numFmtId="0" fontId="130" fillId="5" borderId="2" xfId="0" applyFont="1" applyFill="1" applyBorder="1" applyAlignment="1" applyProtection="1">
      <alignment horizontal="center" vertical="center"/>
    </xf>
    <xf numFmtId="9" fontId="104" fillId="5" borderId="2" xfId="0" applyNumberFormat="1" applyFont="1" applyFill="1" applyBorder="1" applyAlignment="1" applyProtection="1">
      <alignment horizontal="center" vertical="center"/>
    </xf>
    <xf numFmtId="0" fontId="104" fillId="6" borderId="0" xfId="0" applyFont="1" applyFill="1" applyAlignment="1" applyProtection="1">
      <alignment horizontal="center" vertical="center"/>
      <protection locked="0"/>
    </xf>
    <xf numFmtId="0" fontId="210" fillId="0" borderId="0" xfId="9" applyFont="1" applyAlignment="1">
      <alignment horizontal="left" vertical="center"/>
    </xf>
    <xf numFmtId="0" fontId="203" fillId="0" borderId="0" xfId="9" applyFont="1" applyAlignment="1">
      <alignment horizontal="left" vertical="center"/>
    </xf>
    <xf numFmtId="0" fontId="203" fillId="0" borderId="0" xfId="9" applyFont="1" applyFill="1" applyAlignment="1">
      <alignment horizontal="left" vertical="center"/>
    </xf>
    <xf numFmtId="182" fontId="191" fillId="5" borderId="2" xfId="0" applyNumberFormat="1" applyFont="1" applyFill="1" applyBorder="1" applyAlignment="1" applyProtection="1">
      <alignment horizontal="center" vertical="center" wrapText="1"/>
    </xf>
    <xf numFmtId="0" fontId="125" fillId="5" borderId="2" xfId="0" applyFont="1" applyFill="1" applyBorder="1" applyAlignment="1" applyProtection="1">
      <alignment vertical="center" wrapText="1"/>
    </xf>
    <xf numFmtId="0" fontId="56" fillId="5" borderId="0" xfId="4" applyFont="1" applyFill="1" applyBorder="1" applyAlignment="1" applyProtection="1">
      <alignment vertical="center" wrapText="1"/>
    </xf>
    <xf numFmtId="0" fontId="38" fillId="5" borderId="0" xfId="4" applyFont="1" applyFill="1" applyBorder="1" applyAlignment="1" applyProtection="1">
      <alignment vertical="center"/>
    </xf>
    <xf numFmtId="10" fontId="82" fillId="0" borderId="2" xfId="4" applyNumberFormat="1" applyFont="1" applyFill="1" applyBorder="1" applyAlignment="1" applyProtection="1">
      <alignment horizontal="center" vertical="center" wrapText="1"/>
      <protection locked="0"/>
    </xf>
    <xf numFmtId="0" fontId="104" fillId="5" borderId="44" xfId="0" applyFont="1" applyFill="1" applyBorder="1" applyAlignment="1" applyProtection="1">
      <alignment horizontal="center" vertical="center" wrapText="1"/>
    </xf>
    <xf numFmtId="0" fontId="142" fillId="5" borderId="42" xfId="4" applyFont="1" applyFill="1" applyBorder="1" applyAlignment="1" applyProtection="1">
      <alignment horizontal="center" vertical="center" wrapText="1"/>
      <protection locked="0"/>
    </xf>
    <xf numFmtId="0" fontId="82" fillId="5" borderId="43" xfId="4" applyFont="1" applyFill="1" applyBorder="1" applyAlignment="1" applyProtection="1">
      <alignment vertical="center" wrapText="1"/>
      <protection locked="0"/>
    </xf>
    <xf numFmtId="0" fontId="84" fillId="0" borderId="10" xfId="4" applyFont="1" applyFill="1" applyBorder="1" applyAlignment="1" applyProtection="1">
      <alignment horizontal="center" vertical="center" wrapText="1"/>
      <protection locked="0"/>
    </xf>
    <xf numFmtId="0" fontId="84" fillId="0" borderId="25" xfId="4" applyFont="1" applyFill="1" applyBorder="1" applyAlignment="1" applyProtection="1">
      <alignment horizontal="center" vertical="center" wrapText="1"/>
      <protection locked="0"/>
    </xf>
    <xf numFmtId="0" fontId="56" fillId="5" borderId="65" xfId="4" applyFont="1" applyFill="1" applyBorder="1" applyAlignment="1" applyProtection="1">
      <alignment vertical="center" wrapText="1"/>
    </xf>
    <xf numFmtId="0" fontId="38" fillId="5" borderId="0" xfId="4" applyFont="1" applyFill="1" applyBorder="1" applyAlignment="1" applyProtection="1">
      <alignment horizontal="center" vertical="center" wrapText="1"/>
      <protection locked="0"/>
    </xf>
    <xf numFmtId="0" fontId="84" fillId="5" borderId="0" xfId="4" applyFont="1" applyFill="1" applyBorder="1" applyAlignment="1" applyProtection="1">
      <alignment horizontal="center" vertical="center" wrapText="1"/>
      <protection locked="0"/>
    </xf>
    <xf numFmtId="0" fontId="203" fillId="5" borderId="2" xfId="0" applyFont="1" applyFill="1" applyBorder="1" applyAlignment="1" applyProtection="1">
      <alignment horizontal="center" vertical="center" wrapText="1"/>
    </xf>
    <xf numFmtId="0" fontId="38" fillId="5" borderId="43" xfId="4" applyFont="1" applyFill="1" applyBorder="1" applyAlignment="1" applyProtection="1">
      <alignment horizontal="center" vertical="center" wrapText="1"/>
    </xf>
    <xf numFmtId="0" fontId="38" fillId="6" borderId="43" xfId="4" applyFont="1" applyFill="1" applyBorder="1" applyAlignment="1" applyProtection="1">
      <alignment horizontal="right" vertical="center" wrapText="1"/>
      <protection locked="0"/>
    </xf>
    <xf numFmtId="0" fontId="205" fillId="5" borderId="3" xfId="4" applyFont="1" applyFill="1" applyBorder="1" applyAlignment="1" applyProtection="1">
      <alignment horizontal="left" vertical="center" wrapText="1"/>
    </xf>
    <xf numFmtId="0" fontId="55" fillId="5" borderId="3" xfId="4" applyFont="1" applyFill="1" applyBorder="1" applyAlignment="1" applyProtection="1">
      <alignment horizontal="left" vertical="center" wrapText="1"/>
    </xf>
    <xf numFmtId="0" fontId="81" fillId="5" borderId="13" xfId="4" applyFont="1" applyFill="1" applyBorder="1" applyAlignment="1" applyProtection="1">
      <alignment horizontal="center" vertical="center" wrapText="1"/>
    </xf>
    <xf numFmtId="0" fontId="38" fillId="5" borderId="13" xfId="4" applyFont="1" applyFill="1" applyBorder="1" applyAlignment="1" applyProtection="1">
      <alignment vertical="center"/>
    </xf>
    <xf numFmtId="0" fontId="55" fillId="5" borderId="0" xfId="4" applyFont="1" applyFill="1" applyBorder="1" applyAlignment="1" applyProtection="1">
      <alignment horizontal="center" vertical="center" wrapText="1"/>
    </xf>
    <xf numFmtId="0" fontId="38" fillId="6" borderId="7" xfId="4" applyFont="1" applyFill="1" applyBorder="1" applyAlignment="1" applyProtection="1">
      <alignment horizontal="center" vertical="center" wrapText="1"/>
      <protection locked="0"/>
    </xf>
    <xf numFmtId="0" fontId="38" fillId="5" borderId="43" xfId="4" applyFont="1" applyFill="1" applyBorder="1" applyAlignment="1" applyProtection="1">
      <alignment horizontal="left" vertical="center"/>
    </xf>
    <xf numFmtId="0" fontId="84" fillId="5" borderId="54" xfId="4" applyFont="1" applyFill="1" applyBorder="1" applyAlignment="1" applyProtection="1">
      <alignment horizontal="center" vertical="center" wrapText="1"/>
    </xf>
    <xf numFmtId="0" fontId="38" fillId="5" borderId="43" xfId="0" applyFont="1" applyFill="1" applyBorder="1" applyAlignment="1" applyProtection="1">
      <alignment horizontal="center" vertical="center" wrapText="1"/>
    </xf>
    <xf numFmtId="0" fontId="84" fillId="5" borderId="45" xfId="4" applyFont="1" applyFill="1" applyBorder="1" applyAlignment="1" applyProtection="1">
      <alignment horizontal="center" vertical="center" wrapText="1"/>
    </xf>
    <xf numFmtId="0" fontId="104" fillId="11" borderId="81" xfId="0" applyFont="1" applyFill="1" applyBorder="1" applyAlignment="1" applyProtection="1">
      <alignment horizontal="center" vertical="center"/>
    </xf>
    <xf numFmtId="0" fontId="208" fillId="5" borderId="0" xfId="0" applyFont="1" applyFill="1" applyProtection="1">
      <alignment vertical="center"/>
    </xf>
    <xf numFmtId="0" fontId="74" fillId="6" borderId="26" xfId="0" applyNumberFormat="1" applyFont="1" applyFill="1" applyBorder="1" applyAlignment="1" applyProtection="1">
      <alignment horizontal="center" vertical="center" wrapText="1"/>
      <protection locked="0"/>
    </xf>
    <xf numFmtId="0" fontId="74" fillId="6" borderId="2" xfId="0" applyFont="1" applyFill="1" applyBorder="1" applyAlignment="1" applyProtection="1">
      <alignment horizontal="center" vertical="center" wrapText="1"/>
      <protection locked="0"/>
    </xf>
    <xf numFmtId="0" fontId="264" fillId="12" borderId="130" xfId="12" applyFont="1" applyFill="1" applyBorder="1" applyAlignment="1" applyProtection="1">
      <alignment horizontal="left" vertical="center" wrapText="1"/>
    </xf>
    <xf numFmtId="0" fontId="264" fillId="12" borderId="131" xfId="12" applyFont="1" applyFill="1" applyBorder="1" applyAlignment="1" applyProtection="1">
      <alignment horizontal="left" vertical="center" wrapText="1"/>
    </xf>
    <xf numFmtId="0" fontId="196" fillId="0" borderId="0" xfId="11" applyFont="1" applyAlignment="1">
      <alignment horizontal="left" vertical="center"/>
    </xf>
    <xf numFmtId="0" fontId="196" fillId="0" borderId="114" xfId="11" applyFont="1" applyBorder="1" applyAlignment="1">
      <alignment horizontal="left" vertical="center"/>
    </xf>
    <xf numFmtId="0" fontId="198" fillId="5" borderId="114" xfId="2" applyFont="1" applyFill="1" applyBorder="1" applyAlignment="1" applyProtection="1">
      <alignment horizontal="left" vertical="center"/>
    </xf>
    <xf numFmtId="0" fontId="15" fillId="5" borderId="114" xfId="2" applyFont="1" applyFill="1" applyBorder="1" applyAlignment="1" applyProtection="1">
      <alignment horizontal="left" vertical="center"/>
    </xf>
    <xf numFmtId="0" fontId="196" fillId="0" borderId="115" xfId="11" applyFont="1" applyBorder="1" applyAlignment="1">
      <alignment horizontal="left" vertical="center"/>
    </xf>
    <xf numFmtId="0" fontId="252" fillId="13" borderId="0" xfId="12" applyFont="1" applyFill="1" applyAlignment="1">
      <alignment horizontal="left" vertical="center"/>
    </xf>
    <xf numFmtId="0" fontId="188" fillId="13" borderId="0" xfId="2" applyFont="1" applyFill="1" applyAlignment="1" applyProtection="1">
      <alignment horizontal="left" vertical="center"/>
    </xf>
    <xf numFmtId="0" fontId="15" fillId="13" borderId="0" xfId="2" applyFont="1" applyFill="1" applyAlignment="1" applyProtection="1">
      <alignment horizontal="left" vertical="center"/>
    </xf>
    <xf numFmtId="0" fontId="196" fillId="13" borderId="116" xfId="11" applyFont="1" applyFill="1" applyBorder="1" applyAlignment="1">
      <alignment horizontal="left" vertical="center"/>
    </xf>
    <xf numFmtId="0" fontId="196" fillId="13" borderId="0" xfId="11" applyFont="1" applyFill="1" applyBorder="1" applyAlignment="1">
      <alignment horizontal="left" vertical="center"/>
    </xf>
    <xf numFmtId="0" fontId="265" fillId="13" borderId="0" xfId="12" applyFont="1" applyFill="1" applyBorder="1" applyAlignment="1" applyProtection="1">
      <alignment horizontal="left" vertical="center"/>
      <protection locked="0"/>
    </xf>
    <xf numFmtId="0" fontId="196" fillId="13" borderId="0" xfId="11" applyFont="1" applyFill="1" applyAlignment="1">
      <alignment horizontal="left" vertical="center"/>
    </xf>
    <xf numFmtId="0" fontId="253" fillId="13" borderId="0" xfId="12" applyFont="1" applyFill="1" applyAlignment="1">
      <alignment horizontal="left" vertical="center"/>
    </xf>
    <xf numFmtId="0" fontId="191" fillId="13" borderId="0" xfId="11" applyFont="1" applyFill="1" applyAlignment="1">
      <alignment horizontal="left" vertical="center"/>
    </xf>
    <xf numFmtId="10" fontId="191" fillId="13" borderId="0" xfId="11" applyNumberFormat="1" applyFont="1" applyFill="1" applyAlignment="1">
      <alignment horizontal="left" vertical="center"/>
    </xf>
    <xf numFmtId="0" fontId="196" fillId="0" borderId="0" xfId="11" applyFont="1" applyFill="1" applyAlignment="1">
      <alignment horizontal="left" vertical="center"/>
    </xf>
    <xf numFmtId="0" fontId="188" fillId="0" borderId="0" xfId="2" applyFont="1" applyFill="1" applyAlignment="1" applyProtection="1">
      <alignment horizontal="left" vertical="center"/>
    </xf>
    <xf numFmtId="0" fontId="15" fillId="0" borderId="0" xfId="2" applyFont="1" applyFill="1" applyAlignment="1" applyProtection="1">
      <alignment horizontal="left" vertical="center"/>
    </xf>
    <xf numFmtId="0" fontId="196" fillId="0" borderId="116" xfId="11" applyFont="1" applyFill="1" applyBorder="1" applyAlignment="1">
      <alignment horizontal="left" vertical="center"/>
    </xf>
    <xf numFmtId="0" fontId="196" fillId="0" borderId="0" xfId="11" applyFont="1" applyFill="1" applyBorder="1" applyAlignment="1">
      <alignment horizontal="left" vertical="center"/>
    </xf>
    <xf numFmtId="0" fontId="196" fillId="0" borderId="0" xfId="11" applyFont="1" applyFill="1" applyBorder="1" applyAlignment="1" applyProtection="1">
      <alignment horizontal="left" vertical="center"/>
      <protection locked="0"/>
    </xf>
    <xf numFmtId="0" fontId="196" fillId="0" borderId="0" xfId="12" applyFont="1" applyFill="1" applyAlignment="1">
      <alignment horizontal="left" vertical="center"/>
    </xf>
    <xf numFmtId="0" fontId="191" fillId="0" borderId="0" xfId="11" applyFont="1" applyAlignment="1">
      <alignment horizontal="left" vertical="center"/>
    </xf>
    <xf numFmtId="10" fontId="191" fillId="0" borderId="0" xfId="11" applyNumberFormat="1" applyFont="1" applyAlignment="1">
      <alignment horizontal="left" vertical="center"/>
    </xf>
    <xf numFmtId="49" fontId="84" fillId="14" borderId="2" xfId="11" applyNumberFormat="1" applyFont="1" applyFill="1" applyBorder="1" applyAlignment="1" applyProtection="1">
      <alignment horizontal="left" vertical="center" wrapText="1"/>
    </xf>
    <xf numFmtId="185" fontId="265" fillId="14" borderId="0" xfId="11" applyNumberFormat="1" applyFont="1" applyFill="1" applyBorder="1" applyAlignment="1">
      <alignment horizontal="left" vertical="center"/>
    </xf>
    <xf numFmtId="0" fontId="264" fillId="14" borderId="130" xfId="11" applyFont="1" applyFill="1" applyBorder="1" applyAlignment="1" applyProtection="1">
      <alignment horizontal="left" vertical="center" wrapText="1"/>
    </xf>
    <xf numFmtId="0" fontId="265" fillId="14" borderId="0" xfId="11" applyFont="1" applyFill="1" applyBorder="1" applyAlignment="1" applyProtection="1">
      <alignment horizontal="left" vertical="center"/>
      <protection locked="0"/>
    </xf>
    <xf numFmtId="0" fontId="196" fillId="14" borderId="0" xfId="11" applyFont="1" applyFill="1" applyAlignment="1">
      <alignment horizontal="left" vertical="center"/>
    </xf>
    <xf numFmtId="10" fontId="265" fillId="14" borderId="117" xfId="11" applyNumberFormat="1" applyFont="1" applyFill="1" applyBorder="1" applyAlignment="1">
      <alignment horizontal="left" vertical="center"/>
    </xf>
    <xf numFmtId="0" fontId="196" fillId="14" borderId="116" xfId="11" applyFont="1" applyFill="1" applyBorder="1" applyAlignment="1">
      <alignment horizontal="left" vertical="center"/>
    </xf>
    <xf numFmtId="0" fontId="197" fillId="6" borderId="0" xfId="12" applyFont="1" applyFill="1" applyAlignment="1">
      <alignment horizontal="left" vertical="center"/>
    </xf>
    <xf numFmtId="0" fontId="191" fillId="14" borderId="0" xfId="11" applyFont="1" applyFill="1" applyAlignment="1">
      <alignment horizontal="left" vertical="center"/>
    </xf>
    <xf numFmtId="10" fontId="191" fillId="14" borderId="0" xfId="11" applyNumberFormat="1" applyFont="1" applyFill="1" applyAlignment="1">
      <alignment horizontal="left" vertical="center"/>
    </xf>
    <xf numFmtId="49" fontId="84" fillId="5" borderId="2" xfId="11" applyNumberFormat="1" applyFont="1" applyFill="1" applyBorder="1" applyAlignment="1" applyProtection="1">
      <alignment horizontal="left" vertical="center" wrapText="1"/>
    </xf>
    <xf numFmtId="185" fontId="191" fillId="0" borderId="0" xfId="11" applyNumberFormat="1" applyFont="1" applyAlignment="1">
      <alignment horizontal="left" vertical="center"/>
    </xf>
    <xf numFmtId="0" fontId="264" fillId="12" borderId="130" xfId="11" applyFont="1" applyFill="1" applyBorder="1" applyAlignment="1" applyProtection="1">
      <alignment horizontal="left" vertical="center" wrapText="1"/>
    </xf>
    <xf numFmtId="10" fontId="191" fillId="0" borderId="116" xfId="11" applyNumberFormat="1" applyFont="1" applyBorder="1" applyAlignment="1">
      <alignment horizontal="left" vertical="center"/>
    </xf>
    <xf numFmtId="178" fontId="191" fillId="0" borderId="0" xfId="11" applyNumberFormat="1" applyFont="1" applyAlignment="1">
      <alignment horizontal="left" vertical="center"/>
    </xf>
    <xf numFmtId="10" fontId="191" fillId="0" borderId="117" xfId="11" applyNumberFormat="1" applyFont="1" applyBorder="1" applyAlignment="1">
      <alignment horizontal="left" vertical="center"/>
    </xf>
    <xf numFmtId="10" fontId="191" fillId="0" borderId="19" xfId="11" applyNumberFormat="1" applyFont="1" applyBorder="1" applyAlignment="1">
      <alignment horizontal="left" vertical="center"/>
    </xf>
    <xf numFmtId="0" fontId="265" fillId="14" borderId="0" xfId="11" applyFont="1" applyFill="1" applyAlignment="1">
      <alignment horizontal="left" vertical="center"/>
    </xf>
    <xf numFmtId="0" fontId="264" fillId="12" borderId="131" xfId="11" applyFont="1" applyFill="1" applyBorder="1" applyAlignment="1" applyProtection="1">
      <alignment horizontal="left" vertical="center" wrapText="1"/>
    </xf>
    <xf numFmtId="0" fontId="264" fillId="15" borderId="132" xfId="11" applyFont="1" applyFill="1" applyBorder="1" applyAlignment="1" applyProtection="1">
      <alignment horizontal="left" vertical="center" wrapText="1"/>
    </xf>
    <xf numFmtId="0" fontId="264" fillId="15" borderId="133" xfId="11" applyFont="1" applyFill="1" applyBorder="1" applyAlignment="1" applyProtection="1">
      <alignment horizontal="left" vertical="center" wrapText="1"/>
    </xf>
    <xf numFmtId="185" fontId="196" fillId="15" borderId="132" xfId="12" applyNumberFormat="1" applyFont="1" applyFill="1" applyBorder="1" applyAlignment="1" applyProtection="1">
      <alignment horizontal="left" vertical="center" wrapText="1"/>
    </xf>
    <xf numFmtId="185" fontId="196" fillId="15" borderId="134" xfId="12" applyNumberFormat="1" applyFont="1" applyFill="1" applyBorder="1" applyAlignment="1" applyProtection="1">
      <alignment horizontal="left" vertical="center" wrapText="1"/>
    </xf>
    <xf numFmtId="182" fontId="191" fillId="0" borderId="116" xfId="11" applyNumberFormat="1" applyFont="1" applyBorder="1" applyAlignment="1">
      <alignment horizontal="left" vertical="center"/>
    </xf>
    <xf numFmtId="182" fontId="191" fillId="0" borderId="0" xfId="11" applyNumberFormat="1" applyFont="1" applyAlignment="1">
      <alignment horizontal="left" vertical="center"/>
    </xf>
    <xf numFmtId="0" fontId="264" fillId="15" borderId="130" xfId="11" applyFont="1" applyFill="1" applyBorder="1" applyAlignment="1" applyProtection="1">
      <alignment horizontal="left" vertical="center" wrapText="1"/>
    </xf>
    <xf numFmtId="0" fontId="264" fillId="15" borderId="131" xfId="11" applyFont="1" applyFill="1" applyBorder="1" applyAlignment="1" applyProtection="1">
      <alignment horizontal="left" vertical="center" wrapText="1"/>
    </xf>
    <xf numFmtId="185" fontId="196" fillId="15" borderId="132" xfId="12" applyNumberFormat="1" applyFont="1" applyFill="1" applyBorder="1" applyAlignment="1">
      <alignment horizontal="left" vertical="center" wrapText="1"/>
    </xf>
    <xf numFmtId="185" fontId="196" fillId="15" borderId="134" xfId="12" applyNumberFormat="1" applyFont="1" applyFill="1" applyBorder="1" applyAlignment="1">
      <alignment horizontal="left" vertical="center" wrapText="1"/>
    </xf>
    <xf numFmtId="10" fontId="191" fillId="0" borderId="118" xfId="11" applyNumberFormat="1" applyFont="1" applyBorder="1" applyAlignment="1">
      <alignment horizontal="left" vertical="center"/>
    </xf>
    <xf numFmtId="10" fontId="191" fillId="0" borderId="14" xfId="11" applyNumberFormat="1" applyFont="1" applyBorder="1" applyAlignment="1">
      <alignment horizontal="left" vertical="center"/>
    </xf>
    <xf numFmtId="10" fontId="191" fillId="0" borderId="0" xfId="11" applyNumberFormat="1" applyFont="1" applyBorder="1" applyAlignment="1">
      <alignment horizontal="left" vertical="center"/>
    </xf>
    <xf numFmtId="185" fontId="196" fillId="15" borderId="132" xfId="11" applyNumberFormat="1" applyFont="1" applyFill="1" applyBorder="1" applyAlignment="1">
      <alignment horizontal="left" vertical="center" wrapText="1"/>
    </xf>
    <xf numFmtId="185" fontId="196" fillId="15" borderId="134" xfId="11" applyNumberFormat="1" applyFont="1" applyFill="1" applyBorder="1" applyAlignment="1">
      <alignment horizontal="left" vertical="center" wrapText="1"/>
    </xf>
    <xf numFmtId="0" fontId="264" fillId="15" borderId="135" xfId="11" applyFont="1" applyFill="1" applyBorder="1" applyAlignment="1" applyProtection="1">
      <alignment horizontal="left" vertical="center" wrapText="1"/>
    </xf>
    <xf numFmtId="0" fontId="264" fillId="15" borderId="136" xfId="11" applyFont="1" applyFill="1" applyBorder="1" applyAlignment="1" applyProtection="1">
      <alignment horizontal="left" vertical="center" wrapText="1"/>
    </xf>
    <xf numFmtId="0" fontId="191" fillId="0" borderId="116" xfId="11" applyFont="1" applyBorder="1" applyAlignment="1">
      <alignment horizontal="left" vertical="center"/>
    </xf>
    <xf numFmtId="0" fontId="264" fillId="12" borderId="132" xfId="11" applyFont="1" applyFill="1" applyBorder="1" applyAlignment="1" applyProtection="1">
      <alignment horizontal="left" vertical="center" wrapText="1"/>
    </xf>
    <xf numFmtId="0" fontId="264" fillId="12" borderId="133" xfId="11" applyFont="1" applyFill="1" applyBorder="1" applyAlignment="1" applyProtection="1">
      <alignment horizontal="left" vertical="center" wrapText="1"/>
    </xf>
    <xf numFmtId="185" fontId="196" fillId="15" borderId="130" xfId="11" applyNumberFormat="1" applyFont="1" applyFill="1" applyBorder="1" applyAlignment="1">
      <alignment horizontal="left" vertical="center" wrapText="1"/>
    </xf>
    <xf numFmtId="185" fontId="196" fillId="15" borderId="137" xfId="11" applyNumberFormat="1" applyFont="1" applyFill="1" applyBorder="1" applyAlignment="1">
      <alignment horizontal="left" vertical="center" wrapText="1"/>
    </xf>
    <xf numFmtId="0" fontId="191" fillId="12" borderId="132" xfId="11" applyFont="1" applyFill="1" applyBorder="1" applyAlignment="1" applyProtection="1">
      <alignment horizontal="left" vertical="center" wrapText="1"/>
    </xf>
    <xf numFmtId="0" fontId="191" fillId="12" borderId="133" xfId="11" applyFont="1" applyFill="1" applyBorder="1" applyAlignment="1" applyProtection="1">
      <alignment horizontal="left" vertical="center" wrapText="1"/>
    </xf>
    <xf numFmtId="49" fontId="84" fillId="6" borderId="2" xfId="11" applyNumberFormat="1" applyFont="1" applyFill="1" applyBorder="1" applyAlignment="1" applyProtection="1">
      <alignment horizontal="left" vertical="center" wrapText="1"/>
    </xf>
    <xf numFmtId="185" fontId="191" fillId="6" borderId="0" xfId="11" applyNumberFormat="1" applyFont="1" applyFill="1" applyAlignment="1">
      <alignment horizontal="left" vertical="center"/>
    </xf>
    <xf numFmtId="0" fontId="191" fillId="6" borderId="130" xfId="11" applyFont="1" applyFill="1" applyBorder="1" applyAlignment="1" applyProtection="1">
      <alignment horizontal="left" vertical="center" wrapText="1"/>
    </xf>
    <xf numFmtId="0" fontId="191" fillId="6" borderId="131" xfId="11" applyFont="1" applyFill="1" applyBorder="1" applyAlignment="1" applyProtection="1">
      <alignment horizontal="left" vertical="center" wrapText="1"/>
    </xf>
    <xf numFmtId="0" fontId="191" fillId="6" borderId="0" xfId="11" applyFont="1" applyFill="1" applyAlignment="1">
      <alignment horizontal="left" vertical="center"/>
    </xf>
    <xf numFmtId="10" fontId="191" fillId="6" borderId="116" xfId="11" applyNumberFormat="1" applyFont="1" applyFill="1" applyBorder="1" applyAlignment="1">
      <alignment horizontal="left" vertical="center"/>
    </xf>
    <xf numFmtId="10" fontId="191" fillId="6" borderId="0" xfId="11" applyNumberFormat="1" applyFont="1" applyFill="1" applyAlignment="1">
      <alignment horizontal="left" vertical="center"/>
    </xf>
    <xf numFmtId="178" fontId="191" fillId="6" borderId="0" xfId="11" applyNumberFormat="1" applyFont="1" applyFill="1" applyAlignment="1">
      <alignment horizontal="left" vertical="center"/>
    </xf>
    <xf numFmtId="10" fontId="191" fillId="6" borderId="117" xfId="11" applyNumberFormat="1" applyFont="1" applyFill="1" applyBorder="1" applyAlignment="1">
      <alignment horizontal="left" vertical="center"/>
    </xf>
    <xf numFmtId="10" fontId="191" fillId="6" borderId="19" xfId="11" applyNumberFormat="1" applyFont="1" applyFill="1" applyBorder="1" applyAlignment="1">
      <alignment horizontal="left" vertical="center"/>
    </xf>
    <xf numFmtId="0" fontId="240" fillId="6" borderId="0" xfId="11" applyFont="1" applyFill="1" applyAlignment="1">
      <alignment horizontal="left" vertical="center"/>
    </xf>
    <xf numFmtId="0" fontId="191" fillId="6" borderId="0" xfId="11" applyNumberFormat="1" applyFont="1" applyFill="1" applyAlignment="1">
      <alignment horizontal="left" vertical="center"/>
    </xf>
    <xf numFmtId="0" fontId="191" fillId="15" borderId="135" xfId="11" applyFont="1" applyFill="1" applyBorder="1" applyAlignment="1" applyProtection="1">
      <alignment horizontal="left" vertical="center" wrapText="1"/>
    </xf>
    <xf numFmtId="0" fontId="191" fillId="15" borderId="136" xfId="11" applyFont="1" applyFill="1" applyBorder="1" applyAlignment="1" applyProtection="1">
      <alignment horizontal="left" vertical="center" wrapText="1"/>
    </xf>
    <xf numFmtId="14" fontId="191" fillId="0" borderId="0" xfId="11" applyNumberFormat="1" applyFont="1" applyAlignment="1">
      <alignment horizontal="left" vertical="center"/>
    </xf>
    <xf numFmtId="0" fontId="240" fillId="0" borderId="0" xfId="11" applyFont="1" applyAlignment="1">
      <alignment horizontal="left" vertical="center"/>
    </xf>
    <xf numFmtId="0" fontId="191" fillId="0" borderId="0" xfId="11" applyNumberFormat="1" applyFont="1" applyAlignment="1">
      <alignment horizontal="left" vertical="center"/>
    </xf>
    <xf numFmtId="185" fontId="196" fillId="15" borderId="135" xfId="11" applyNumberFormat="1" applyFont="1" applyFill="1" applyBorder="1" applyAlignment="1">
      <alignment horizontal="left" vertical="center" wrapText="1"/>
    </xf>
    <xf numFmtId="185" fontId="196" fillId="15" borderId="138" xfId="11" applyNumberFormat="1" applyFont="1" applyFill="1" applyBorder="1" applyAlignment="1">
      <alignment horizontal="left" vertical="center" wrapText="1"/>
    </xf>
    <xf numFmtId="185" fontId="191" fillId="14" borderId="0" xfId="11" applyNumberFormat="1" applyFont="1" applyFill="1" applyAlignment="1">
      <alignment horizontal="left" vertical="center"/>
    </xf>
    <xf numFmtId="185" fontId="191" fillId="0" borderId="60" xfId="11" applyNumberFormat="1" applyFont="1" applyBorder="1" applyAlignment="1">
      <alignment horizontal="left" vertical="center"/>
    </xf>
    <xf numFmtId="0" fontId="264" fillId="12" borderId="139" xfId="11" applyFont="1" applyFill="1" applyBorder="1" applyAlignment="1" applyProtection="1">
      <alignment horizontal="left" vertical="center" wrapText="1"/>
    </xf>
    <xf numFmtId="0" fontId="264" fillId="12" borderId="140" xfId="11" applyFont="1" applyFill="1" applyBorder="1" applyAlignment="1" applyProtection="1">
      <alignment horizontal="left" vertical="center" wrapText="1"/>
    </xf>
    <xf numFmtId="0" fontId="191" fillId="0" borderId="60" xfId="11" applyFont="1" applyBorder="1" applyAlignment="1">
      <alignment horizontal="left" vertical="center"/>
    </xf>
    <xf numFmtId="10" fontId="191" fillId="0" borderId="119" xfId="11" applyNumberFormat="1" applyFont="1" applyBorder="1" applyAlignment="1">
      <alignment horizontal="left" vertical="center"/>
    </xf>
    <xf numFmtId="10" fontId="191" fillId="0" borderId="60" xfId="11" applyNumberFormat="1" applyFont="1" applyBorder="1" applyAlignment="1">
      <alignment horizontal="left" vertical="center"/>
    </xf>
    <xf numFmtId="178" fontId="191" fillId="0" borderId="60" xfId="11" applyNumberFormat="1" applyFont="1" applyBorder="1" applyAlignment="1">
      <alignment horizontal="left" vertical="center"/>
    </xf>
    <xf numFmtId="0" fontId="264" fillId="15" borderId="141" xfId="11" applyFont="1" applyFill="1" applyBorder="1" applyAlignment="1" applyProtection="1">
      <alignment horizontal="left" vertical="center" wrapText="1"/>
    </xf>
    <xf numFmtId="0" fontId="264" fillId="15" borderId="142" xfId="11" applyFont="1" applyFill="1" applyBorder="1" applyAlignment="1" applyProtection="1">
      <alignment horizontal="left" vertical="center" wrapText="1"/>
    </xf>
    <xf numFmtId="10" fontId="191" fillId="16" borderId="116" xfId="11" applyNumberFormat="1" applyFont="1" applyFill="1" applyBorder="1" applyAlignment="1">
      <alignment horizontal="left" vertical="center"/>
    </xf>
    <xf numFmtId="10" fontId="191" fillId="16" borderId="0" xfId="11" applyNumberFormat="1" applyFont="1" applyFill="1" applyAlignment="1">
      <alignment horizontal="left" vertical="center"/>
    </xf>
    <xf numFmtId="179" fontId="191" fillId="0" borderId="0" xfId="11" applyNumberFormat="1" applyFont="1" applyAlignment="1">
      <alignment horizontal="left" vertical="center"/>
    </xf>
    <xf numFmtId="10" fontId="191" fillId="16" borderId="117" xfId="11" applyNumberFormat="1" applyFont="1" applyFill="1" applyBorder="1" applyAlignment="1">
      <alignment horizontal="left" vertical="center"/>
    </xf>
    <xf numFmtId="10" fontId="191" fillId="16" borderId="19" xfId="11" applyNumberFormat="1" applyFont="1" applyFill="1" applyBorder="1" applyAlignment="1">
      <alignment horizontal="left" vertical="center"/>
    </xf>
    <xf numFmtId="10" fontId="191" fillId="16" borderId="119" xfId="11" applyNumberFormat="1" applyFont="1" applyFill="1" applyBorder="1" applyAlignment="1">
      <alignment horizontal="left" vertical="center"/>
    </xf>
    <xf numFmtId="10" fontId="191" fillId="16" borderId="60" xfId="11" applyNumberFormat="1" applyFont="1" applyFill="1" applyBorder="1" applyAlignment="1">
      <alignment horizontal="left" vertical="center"/>
    </xf>
    <xf numFmtId="179" fontId="191" fillId="0" borderId="60" xfId="11" applyNumberFormat="1" applyFont="1" applyBorder="1" applyAlignment="1">
      <alignment horizontal="left" vertical="center"/>
    </xf>
    <xf numFmtId="0" fontId="196" fillId="12" borderId="143" xfId="11" applyFont="1" applyFill="1" applyBorder="1" applyAlignment="1">
      <alignment horizontal="left" vertical="center" wrapText="1"/>
    </xf>
    <xf numFmtId="0" fontId="196" fillId="12" borderId="144" xfId="11" applyFont="1" applyFill="1" applyBorder="1" applyAlignment="1">
      <alignment horizontal="left" vertical="center" wrapText="1"/>
    </xf>
    <xf numFmtId="181" fontId="191" fillId="0" borderId="0" xfId="11" applyNumberFormat="1" applyFont="1" applyAlignment="1">
      <alignment horizontal="left" vertical="center"/>
    </xf>
    <xf numFmtId="181" fontId="191" fillId="0" borderId="116" xfId="11" applyNumberFormat="1" applyFont="1" applyBorder="1" applyAlignment="1">
      <alignment horizontal="left" vertical="center"/>
    </xf>
    <xf numFmtId="178" fontId="191" fillId="16" borderId="0" xfId="11" applyNumberFormat="1" applyFont="1" applyFill="1" applyAlignment="1">
      <alignment horizontal="left" vertical="center"/>
    </xf>
    <xf numFmtId="0" fontId="264" fillId="12" borderId="135" xfId="11" applyFont="1" applyFill="1" applyBorder="1" applyAlignment="1" applyProtection="1">
      <alignment horizontal="left" vertical="center" wrapText="1"/>
    </xf>
    <xf numFmtId="0" fontId="196" fillId="15" borderId="135" xfId="11" applyFont="1" applyFill="1" applyBorder="1" applyAlignment="1">
      <alignment horizontal="left" vertical="center" wrapText="1"/>
    </xf>
    <xf numFmtId="0" fontId="196" fillId="15" borderId="138" xfId="11" applyFont="1" applyFill="1" applyBorder="1" applyAlignment="1">
      <alignment horizontal="left" vertical="center" wrapText="1"/>
    </xf>
    <xf numFmtId="0" fontId="264" fillId="6" borderId="130" xfId="11" applyFont="1" applyFill="1" applyBorder="1" applyAlignment="1" applyProtection="1">
      <alignment horizontal="left" vertical="center" wrapText="1"/>
    </xf>
    <xf numFmtId="181" fontId="191" fillId="6" borderId="0" xfId="11" applyNumberFormat="1" applyFont="1" applyFill="1" applyAlignment="1">
      <alignment horizontal="left" vertical="center"/>
    </xf>
    <xf numFmtId="0" fontId="191" fillId="6" borderId="116" xfId="11" applyFont="1" applyFill="1" applyBorder="1" applyAlignment="1">
      <alignment horizontal="left" vertical="center"/>
    </xf>
    <xf numFmtId="179" fontId="191" fillId="6" borderId="0" xfId="11" applyNumberFormat="1" applyFont="1" applyFill="1" applyAlignment="1">
      <alignment horizontal="left" vertical="center"/>
    </xf>
    <xf numFmtId="0" fontId="196" fillId="15" borderId="145" xfId="11" applyFont="1" applyFill="1" applyBorder="1" applyAlignment="1">
      <alignment horizontal="left" vertical="center" wrapText="1"/>
    </xf>
    <xf numFmtId="0" fontId="196" fillId="15" borderId="146" xfId="11" applyFont="1" applyFill="1" applyBorder="1" applyAlignment="1">
      <alignment horizontal="left" vertical="center" wrapText="1"/>
    </xf>
    <xf numFmtId="0" fontId="196" fillId="15" borderId="147" xfId="11" applyFont="1" applyFill="1" applyBorder="1" applyAlignment="1">
      <alignment horizontal="left" vertical="center" wrapText="1"/>
    </xf>
    <xf numFmtId="0" fontId="244" fillId="0" borderId="0" xfId="11" applyFont="1" applyAlignment="1">
      <alignment horizontal="left" vertical="center"/>
    </xf>
    <xf numFmtId="0" fontId="197" fillId="0" borderId="0" xfId="11" applyFont="1" applyAlignment="1">
      <alignment horizontal="left" vertical="center"/>
    </xf>
    <xf numFmtId="0" fontId="197" fillId="0" borderId="116" xfId="11" applyFont="1" applyBorder="1" applyAlignment="1">
      <alignment horizontal="left" vertical="center"/>
    </xf>
    <xf numFmtId="181" fontId="197" fillId="0" borderId="0" xfId="11" applyNumberFormat="1" applyFont="1" applyAlignment="1">
      <alignment horizontal="left" vertical="center"/>
    </xf>
    <xf numFmtId="181" fontId="197" fillId="0" borderId="116" xfId="11" applyNumberFormat="1" applyFont="1" applyBorder="1" applyAlignment="1">
      <alignment horizontal="left" vertical="center"/>
    </xf>
    <xf numFmtId="0" fontId="264" fillId="12" borderId="148" xfId="11" applyFont="1" applyFill="1" applyBorder="1" applyAlignment="1">
      <alignment horizontal="left" vertical="center" wrapText="1"/>
    </xf>
    <xf numFmtId="0" fontId="264" fillId="12" borderId="132" xfId="11" applyFont="1" applyFill="1" applyBorder="1" applyAlignment="1">
      <alignment horizontal="left" vertical="center" wrapText="1"/>
    </xf>
    <xf numFmtId="0" fontId="264" fillId="15" borderId="149" xfId="11" applyFont="1" applyFill="1" applyBorder="1" applyAlignment="1">
      <alignment horizontal="left" vertical="center" wrapText="1"/>
    </xf>
    <xf numFmtId="0" fontId="264" fillId="15" borderId="130" xfId="11" applyFont="1" applyFill="1" applyBorder="1" applyAlignment="1">
      <alignment horizontal="left" vertical="center" wrapText="1"/>
    </xf>
    <xf numFmtId="0" fontId="264" fillId="12" borderId="149" xfId="11" applyFont="1" applyFill="1" applyBorder="1" applyAlignment="1">
      <alignment horizontal="left" vertical="center" wrapText="1"/>
    </xf>
    <xf numFmtId="0" fontId="264" fillId="12" borderId="130" xfId="11" applyFont="1" applyFill="1" applyBorder="1" applyAlignment="1">
      <alignment horizontal="left" vertical="center" wrapText="1"/>
    </xf>
    <xf numFmtId="0" fontId="264" fillId="15" borderId="150" xfId="11" applyFont="1" applyFill="1" applyBorder="1" applyAlignment="1">
      <alignment horizontal="left" vertical="center" wrapText="1"/>
    </xf>
    <xf numFmtId="0" fontId="264" fillId="15" borderId="135" xfId="11" applyFont="1" applyFill="1" applyBorder="1" applyAlignment="1">
      <alignment horizontal="left" vertical="center" wrapText="1"/>
    </xf>
    <xf numFmtId="0" fontId="76" fillId="17" borderId="10" xfId="0" applyFont="1" applyFill="1" applyBorder="1" applyAlignment="1" applyProtection="1">
      <alignment vertical="center" wrapText="1"/>
    </xf>
    <xf numFmtId="0" fontId="76" fillId="17" borderId="4" xfId="0" applyFont="1" applyFill="1" applyBorder="1" applyAlignment="1" applyProtection="1">
      <alignment vertical="center" wrapText="1"/>
    </xf>
    <xf numFmtId="0" fontId="76" fillId="17" borderId="84" xfId="0" applyFont="1" applyFill="1" applyBorder="1" applyAlignment="1" applyProtection="1">
      <alignment vertical="center" wrapText="1"/>
    </xf>
    <xf numFmtId="0" fontId="76" fillId="17" borderId="17" xfId="0" applyFont="1" applyFill="1" applyBorder="1" applyAlignment="1" applyProtection="1">
      <alignment horizontal="left" vertical="center"/>
    </xf>
    <xf numFmtId="0" fontId="76" fillId="17" borderId="5" xfId="0" applyFont="1" applyFill="1" applyBorder="1" applyAlignment="1" applyProtection="1">
      <alignment vertical="center"/>
    </xf>
    <xf numFmtId="49" fontId="76" fillId="17" borderId="10" xfId="0" applyNumberFormat="1" applyFont="1" applyFill="1" applyBorder="1" applyAlignment="1" applyProtection="1">
      <alignment horizontal="left" vertical="center" wrapText="1"/>
    </xf>
    <xf numFmtId="0" fontId="76" fillId="17" borderId="19" xfId="0" applyFont="1" applyFill="1" applyBorder="1" applyAlignment="1" applyProtection="1">
      <alignment vertical="center" wrapText="1"/>
    </xf>
    <xf numFmtId="0" fontId="244" fillId="5" borderId="0" xfId="0" applyFont="1" applyFill="1" applyAlignment="1" applyProtection="1">
      <alignment horizontal="left" vertical="center"/>
    </xf>
    <xf numFmtId="0" fontId="73" fillId="5" borderId="21" xfId="0" applyFont="1" applyFill="1" applyBorder="1" applyAlignment="1" applyProtection="1">
      <alignment vertical="center"/>
    </xf>
    <xf numFmtId="0" fontId="83" fillId="5" borderId="63" xfId="0" applyFont="1" applyFill="1" applyBorder="1" applyAlignment="1" applyProtection="1">
      <alignment vertical="center"/>
    </xf>
    <xf numFmtId="0" fontId="80" fillId="11" borderId="0" xfId="0" applyFont="1" applyFill="1" applyAlignment="1" applyProtection="1">
      <alignment horizontal="left" vertical="center"/>
    </xf>
    <xf numFmtId="0" fontId="74" fillId="11" borderId="0" xfId="0" applyFont="1" applyFill="1" applyAlignment="1" applyProtection="1">
      <alignment horizontal="left" vertical="center"/>
    </xf>
    <xf numFmtId="10" fontId="74" fillId="11" borderId="0" xfId="0" applyNumberFormat="1" applyFont="1" applyFill="1" applyAlignment="1" applyProtection="1">
      <alignment horizontal="center" vertical="center"/>
    </xf>
    <xf numFmtId="0" fontId="80" fillId="11" borderId="0" xfId="0" applyFont="1" applyFill="1" applyProtection="1">
      <alignment vertical="center"/>
    </xf>
    <xf numFmtId="0" fontId="80" fillId="11" borderId="9" xfId="0" applyFont="1" applyFill="1" applyBorder="1" applyAlignment="1" applyProtection="1">
      <alignment horizontal="left" vertical="center" wrapText="1"/>
      <protection locked="0"/>
    </xf>
    <xf numFmtId="0" fontId="74" fillId="11" borderId="44" xfId="0" applyFont="1" applyFill="1" applyBorder="1" applyAlignment="1" applyProtection="1">
      <alignment horizontal="right" vertical="center"/>
    </xf>
    <xf numFmtId="0" fontId="74" fillId="11" borderId="43" xfId="0" applyFont="1" applyFill="1" applyBorder="1" applyAlignment="1" applyProtection="1">
      <alignment horizontal="center" vertical="center" wrapText="1"/>
    </xf>
    <xf numFmtId="10" fontId="74" fillId="11" borderId="43" xfId="0" applyNumberFormat="1" applyFont="1" applyFill="1" applyBorder="1" applyAlignment="1" applyProtection="1">
      <alignment horizontal="center" vertical="center"/>
    </xf>
    <xf numFmtId="0" fontId="93" fillId="11" borderId="47" xfId="0" applyNumberFormat="1" applyFont="1" applyFill="1" applyBorder="1" applyAlignment="1" applyProtection="1">
      <alignment horizontal="left" vertical="center" wrapText="1"/>
      <protection locked="0"/>
    </xf>
    <xf numFmtId="182" fontId="81" fillId="11" borderId="47" xfId="0" applyNumberFormat="1" applyFont="1" applyFill="1" applyBorder="1" applyAlignment="1" applyProtection="1">
      <alignment horizontal="left" vertical="center" wrapText="1"/>
      <protection locked="0"/>
    </xf>
    <xf numFmtId="177" fontId="82" fillId="5" borderId="16" xfId="0" applyNumberFormat="1" applyFont="1" applyFill="1" applyBorder="1" applyAlignment="1" applyProtection="1">
      <alignment horizontal="left" vertical="center" wrapText="1"/>
    </xf>
    <xf numFmtId="0" fontId="93" fillId="11" borderId="2" xfId="4" applyFont="1" applyFill="1" applyBorder="1" applyAlignment="1" applyProtection="1">
      <alignment horizontal="center" vertical="center" wrapText="1"/>
    </xf>
    <xf numFmtId="182" fontId="74" fillId="11" borderId="16" xfId="0" applyNumberFormat="1" applyFont="1" applyFill="1" applyBorder="1" applyAlignment="1" applyProtection="1">
      <alignment horizontal="center" vertical="center" wrapText="1"/>
    </xf>
    <xf numFmtId="0" fontId="74" fillId="11" borderId="2" xfId="0" applyFont="1" applyFill="1" applyBorder="1" applyAlignment="1" applyProtection="1">
      <alignment horizontal="center" vertical="center"/>
    </xf>
    <xf numFmtId="0" fontId="76" fillId="0" borderId="2" xfId="0" applyFont="1" applyBorder="1" applyAlignment="1" applyProtection="1">
      <alignment vertical="center" wrapText="1"/>
      <protection locked="0"/>
    </xf>
    <xf numFmtId="0" fontId="120" fillId="5" borderId="0" xfId="0" applyFont="1" applyFill="1" applyAlignment="1" applyProtection="1">
      <alignment horizontal="left" vertical="center"/>
      <protection locked="0"/>
    </xf>
    <xf numFmtId="177" fontId="82" fillId="11" borderId="16" xfId="0" applyNumberFormat="1" applyFont="1" applyFill="1" applyBorder="1" applyAlignment="1" applyProtection="1">
      <alignment horizontal="left" vertical="center" wrapText="1"/>
    </xf>
    <xf numFmtId="0" fontId="76" fillId="18" borderId="21" xfId="0" applyFont="1" applyFill="1" applyBorder="1" applyAlignment="1" applyProtection="1">
      <alignment vertical="center" wrapText="1"/>
    </xf>
    <xf numFmtId="0" fontId="220" fillId="0" borderId="0" xfId="9" applyFont="1" applyAlignment="1">
      <alignment horizontal="left" vertical="center"/>
    </xf>
    <xf numFmtId="0" fontId="266" fillId="0" borderId="0" xfId="9" applyFont="1" applyAlignment="1">
      <alignment horizontal="left" vertical="center"/>
    </xf>
    <xf numFmtId="14" fontId="266" fillId="0" borderId="0" xfId="9" applyNumberFormat="1" applyFont="1" applyAlignment="1">
      <alignment horizontal="left" vertical="center"/>
    </xf>
    <xf numFmtId="0" fontId="267" fillId="0" borderId="0" xfId="9" applyFont="1" applyAlignment="1">
      <alignment horizontal="left" vertical="center"/>
    </xf>
    <xf numFmtId="0" fontId="268" fillId="0" borderId="10" xfId="9" applyFont="1" applyFill="1" applyBorder="1" applyAlignment="1">
      <alignment horizontal="left" vertical="center"/>
    </xf>
    <xf numFmtId="0" fontId="268" fillId="0" borderId="2" xfId="9" applyFont="1" applyFill="1" applyBorder="1" applyAlignment="1">
      <alignment horizontal="left" vertical="center"/>
    </xf>
    <xf numFmtId="0" fontId="268" fillId="0" borderId="5" xfId="9" applyFont="1" applyFill="1" applyBorder="1" applyAlignment="1">
      <alignment horizontal="left" vertical="center"/>
    </xf>
    <xf numFmtId="184" fontId="268" fillId="0" borderId="2" xfId="9" applyNumberFormat="1" applyFont="1" applyFill="1" applyBorder="1" applyAlignment="1">
      <alignment horizontal="left" vertical="center"/>
    </xf>
    <xf numFmtId="191" fontId="268" fillId="0" borderId="5" xfId="9" applyNumberFormat="1" applyFont="1" applyFill="1" applyBorder="1" applyAlignment="1">
      <alignment horizontal="left" vertical="center"/>
    </xf>
    <xf numFmtId="0" fontId="220" fillId="0" borderId="0" xfId="9" applyFont="1" applyFill="1" applyAlignment="1">
      <alignment horizontal="left" vertical="center"/>
    </xf>
    <xf numFmtId="0" fontId="269" fillId="0" borderId="2" xfId="9" applyFont="1" applyFill="1" applyBorder="1" applyAlignment="1">
      <alignment horizontal="left" vertical="center"/>
    </xf>
    <xf numFmtId="0" fontId="268" fillId="0" borderId="2" xfId="9" applyFont="1" applyBorder="1" applyAlignment="1">
      <alignment horizontal="left" vertical="center"/>
    </xf>
    <xf numFmtId="0" fontId="266" fillId="0" borderId="2" xfId="9" applyFont="1" applyBorder="1" applyAlignment="1">
      <alignment horizontal="left" vertical="center"/>
    </xf>
    <xf numFmtId="184" fontId="268" fillId="0" borderId="2" xfId="0" applyNumberFormat="1" applyFont="1" applyFill="1" applyBorder="1" applyAlignment="1">
      <alignment horizontal="left" vertical="center"/>
    </xf>
    <xf numFmtId="14" fontId="220" fillId="0" borderId="0" xfId="9" applyNumberFormat="1" applyFont="1" applyAlignment="1">
      <alignment horizontal="left" vertical="center"/>
    </xf>
    <xf numFmtId="0" fontId="270" fillId="0" borderId="0" xfId="9" applyFont="1" applyBorder="1" applyAlignment="1">
      <alignment horizontal="left" vertical="center"/>
    </xf>
    <xf numFmtId="0" fontId="268" fillId="0" borderId="120" xfId="9" applyFont="1" applyFill="1" applyBorder="1" applyAlignment="1">
      <alignment horizontal="left" vertical="center"/>
    </xf>
    <xf numFmtId="191" fontId="268" fillId="0" borderId="120" xfId="9" applyNumberFormat="1" applyFont="1" applyFill="1" applyBorder="1" applyAlignment="1">
      <alignment horizontal="left" vertical="center"/>
    </xf>
    <xf numFmtId="0" fontId="268" fillId="0" borderId="5" xfId="9" applyFont="1" applyBorder="1" applyAlignment="1">
      <alignment horizontal="left" vertical="center"/>
    </xf>
    <xf numFmtId="184" fontId="268" fillId="0" borderId="5" xfId="9" applyNumberFormat="1" applyFont="1" applyFill="1" applyBorder="1" applyAlignment="1">
      <alignment horizontal="left" vertical="center"/>
    </xf>
    <xf numFmtId="14" fontId="266" fillId="0" borderId="5" xfId="9" applyNumberFormat="1" applyFont="1" applyBorder="1" applyAlignment="1">
      <alignment horizontal="left" vertical="center"/>
    </xf>
    <xf numFmtId="0" fontId="266" fillId="0" borderId="120" xfId="9" applyFont="1" applyBorder="1" applyAlignment="1">
      <alignment horizontal="left" vertical="center"/>
    </xf>
    <xf numFmtId="14" fontId="220" fillId="0" borderId="121" xfId="9" applyNumberFormat="1" applyFont="1" applyBorder="1" applyAlignment="1">
      <alignment horizontal="left" vertical="center"/>
    </xf>
    <xf numFmtId="0" fontId="220" fillId="0" borderId="0" xfId="9" applyFont="1" applyBorder="1" applyAlignment="1">
      <alignment horizontal="left" vertical="center"/>
    </xf>
    <xf numFmtId="0" fontId="269" fillId="6" borderId="10" xfId="9" applyFont="1" applyFill="1" applyBorder="1" applyAlignment="1">
      <alignment horizontal="left" vertical="center"/>
    </xf>
    <xf numFmtId="0" fontId="269" fillId="6" borderId="122" xfId="9" applyFont="1" applyFill="1" applyBorder="1" applyAlignment="1">
      <alignment horizontal="left" vertical="center"/>
    </xf>
    <xf numFmtId="0" fontId="76" fillId="5" borderId="13" xfId="0" applyNumberFormat="1" applyFont="1" applyFill="1" applyBorder="1" applyAlignment="1" applyProtection="1">
      <alignment horizontal="left" vertical="center"/>
      <protection locked="0"/>
    </xf>
    <xf numFmtId="4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vertical="center" wrapText="1"/>
      <protection locked="0"/>
    </xf>
    <xf numFmtId="0" fontId="76" fillId="5" borderId="0" xfId="0" applyFont="1" applyFill="1" applyAlignment="1" applyProtection="1">
      <alignment horizontal="center" vertical="center" wrapText="1"/>
      <protection locked="0"/>
    </xf>
    <xf numFmtId="0" fontId="76" fillId="0" borderId="0" xfId="0" applyFont="1" applyAlignment="1" applyProtection="1">
      <alignment vertical="center" wrapText="1"/>
      <protection locked="0"/>
    </xf>
    <xf numFmtId="49" fontId="76" fillId="5" borderId="13"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vertical="center" wrapText="1"/>
      <protection locked="0"/>
    </xf>
    <xf numFmtId="0" fontId="76" fillId="5" borderId="13" xfId="0" applyFont="1" applyFill="1" applyBorder="1" applyAlignment="1" applyProtection="1">
      <alignment vertical="center" wrapText="1"/>
      <protection locked="0"/>
    </xf>
    <xf numFmtId="49" fontId="76" fillId="5" borderId="13" xfId="0" applyNumberFormat="1" applyFont="1" applyFill="1" applyBorder="1" applyAlignment="1" applyProtection="1">
      <alignment horizontal="left" vertical="center"/>
      <protection locked="0"/>
    </xf>
    <xf numFmtId="49" fontId="76" fillId="5" borderId="123" xfId="0" applyNumberFormat="1" applyFont="1" applyFill="1" applyBorder="1" applyAlignment="1" applyProtection="1">
      <alignment horizontal="center" vertical="center" wrapText="1"/>
      <protection locked="0"/>
    </xf>
    <xf numFmtId="49" fontId="76" fillId="5" borderId="112" xfId="0" applyNumberFormat="1" applyFont="1" applyFill="1" applyBorder="1" applyAlignment="1" applyProtection="1">
      <alignment horizontal="center" vertical="center" wrapText="1"/>
      <protection locked="0"/>
    </xf>
    <xf numFmtId="0" fontId="76" fillId="5" borderId="112" xfId="0" applyFont="1" applyFill="1" applyBorder="1" applyAlignment="1" applyProtection="1">
      <alignment vertical="center" wrapText="1"/>
      <protection locked="0"/>
    </xf>
    <xf numFmtId="0" fontId="76" fillId="5" borderId="112" xfId="0" applyFont="1" applyFill="1" applyBorder="1" applyAlignment="1" applyProtection="1">
      <alignment horizontal="center" vertical="center" wrapText="1"/>
      <protection locked="0"/>
    </xf>
    <xf numFmtId="0" fontId="76" fillId="0" borderId="112" xfId="0" applyFont="1" applyBorder="1" applyAlignment="1" applyProtection="1">
      <alignment vertical="center" wrapText="1"/>
      <protection locked="0"/>
    </xf>
    <xf numFmtId="49" fontId="76" fillId="5" borderId="2"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center" vertical="center" wrapText="1"/>
      <protection locked="0"/>
    </xf>
    <xf numFmtId="49" fontId="76" fillId="0" borderId="2" xfId="0" applyNumberFormat="1" applyFont="1" applyBorder="1" applyAlignment="1" applyProtection="1">
      <alignment horizontal="center" vertical="center" wrapText="1"/>
      <protection locked="0"/>
    </xf>
    <xf numFmtId="49" fontId="76" fillId="0" borderId="13" xfId="0" applyNumberFormat="1" applyFont="1" applyBorder="1" applyAlignment="1" applyProtection="1">
      <alignment horizontal="center" vertical="center" wrapText="1"/>
      <protection locked="0"/>
    </xf>
    <xf numFmtId="49" fontId="76"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5" borderId="0" xfId="0" applyFont="1" applyFill="1" applyBorder="1" applyAlignment="1" applyProtection="1">
      <alignment vertical="center" wrapText="1"/>
      <protection locked="0"/>
    </xf>
    <xf numFmtId="0" fontId="76" fillId="12" borderId="0" xfId="0" applyFont="1" applyFill="1" applyAlignment="1" applyProtection="1">
      <alignment vertical="center" wrapText="1"/>
      <protection locked="0"/>
    </xf>
    <xf numFmtId="0" fontId="76" fillId="12" borderId="0" xfId="0" applyFont="1" applyFill="1" applyBorder="1" applyAlignment="1" applyProtection="1">
      <alignment vertical="center" wrapText="1"/>
      <protection locked="0"/>
    </xf>
    <xf numFmtId="0" fontId="76" fillId="12" borderId="0" xfId="0" applyFont="1" applyFill="1" applyAlignment="1" applyProtection="1">
      <alignment horizontal="center" vertical="center" wrapText="1"/>
      <protection locked="0"/>
    </xf>
    <xf numFmtId="0" fontId="76" fillId="12" borderId="112" xfId="0" applyFont="1" applyFill="1" applyBorder="1" applyAlignment="1" applyProtection="1">
      <alignment vertical="center" wrapText="1"/>
      <protection locked="0"/>
    </xf>
    <xf numFmtId="0" fontId="76" fillId="12" borderId="0" xfId="0" applyFont="1" applyFill="1" applyBorder="1" applyAlignment="1" applyProtection="1">
      <alignment horizontal="center" vertical="center" wrapText="1"/>
      <protection locked="0"/>
    </xf>
    <xf numFmtId="0" fontId="76" fillId="12" borderId="111" xfId="0" applyFont="1" applyFill="1" applyBorder="1" applyAlignment="1" applyProtection="1">
      <alignment vertical="center" wrapText="1"/>
      <protection locked="0"/>
    </xf>
    <xf numFmtId="0" fontId="76" fillId="12" borderId="111" xfId="0" applyFont="1" applyFill="1" applyBorder="1" applyAlignment="1" applyProtection="1">
      <alignment horizontal="center" vertical="center" wrapText="1"/>
      <protection locked="0"/>
    </xf>
    <xf numFmtId="0" fontId="76" fillId="12" borderId="65" xfId="0" applyFont="1" applyFill="1" applyBorder="1" applyAlignment="1" applyProtection="1">
      <alignment vertical="center" wrapText="1"/>
      <protection locked="0"/>
    </xf>
    <xf numFmtId="0" fontId="76" fillId="12" borderId="124" xfId="0" applyFont="1" applyFill="1" applyBorder="1" applyAlignment="1" applyProtection="1">
      <alignment vertical="center" wrapText="1"/>
      <protection locked="0"/>
    </xf>
    <xf numFmtId="0" fontId="69" fillId="12" borderId="0" xfId="0" applyFont="1" applyFill="1" applyProtection="1">
      <alignment vertical="center"/>
      <protection locked="0"/>
    </xf>
    <xf numFmtId="0" fontId="69" fillId="12" borderId="0" xfId="0" applyFont="1" applyFill="1" applyBorder="1" applyProtection="1">
      <alignment vertical="center"/>
      <protection locked="0"/>
    </xf>
    <xf numFmtId="0" fontId="74" fillId="0" borderId="9" xfId="0" applyFont="1" applyFill="1" applyBorder="1" applyProtection="1">
      <alignment vertical="center"/>
      <protection locked="0"/>
    </xf>
    <xf numFmtId="0" fontId="74" fillId="0" borderId="12" xfId="0" applyFont="1" applyFill="1" applyBorder="1" applyProtection="1">
      <alignment vertical="center"/>
      <protection locked="0"/>
    </xf>
    <xf numFmtId="0" fontId="69" fillId="0" borderId="32" xfId="0" applyFont="1" applyFill="1" applyBorder="1" applyProtection="1">
      <alignment vertical="center"/>
      <protection locked="0"/>
    </xf>
    <xf numFmtId="0" fontId="69" fillId="0" borderId="25" xfId="0" applyFont="1" applyFill="1" applyBorder="1" applyProtection="1">
      <alignment vertical="center"/>
      <protection locked="0"/>
    </xf>
    <xf numFmtId="0" fontId="79" fillId="5" borderId="0" xfId="0" applyFont="1" applyFill="1" applyAlignment="1" applyProtection="1">
      <alignment vertical="center" wrapText="1"/>
    </xf>
    <xf numFmtId="0" fontId="74" fillId="12" borderId="0" xfId="0" applyFont="1" applyFill="1" applyAlignment="1" applyProtection="1">
      <alignment vertical="center"/>
      <protection locked="0"/>
    </xf>
    <xf numFmtId="180" fontId="74" fillId="12" borderId="0" xfId="0" applyNumberFormat="1" applyFont="1" applyFill="1" applyAlignment="1" applyProtection="1">
      <alignment vertical="center"/>
      <protection locked="0"/>
    </xf>
    <xf numFmtId="0" fontId="74" fillId="12" borderId="0" xfId="0" applyFont="1" applyFill="1" applyAlignment="1" applyProtection="1">
      <alignment horizontal="center" vertical="center"/>
      <protection locked="0"/>
    </xf>
    <xf numFmtId="0" fontId="69" fillId="12" borderId="0" xfId="0" applyFont="1" applyFill="1" applyAlignment="1" applyProtection="1">
      <alignment vertical="center"/>
      <protection locked="0"/>
    </xf>
    <xf numFmtId="180" fontId="69" fillId="12" borderId="0" xfId="0" applyNumberFormat="1" applyFont="1" applyFill="1" applyAlignment="1" applyProtection="1">
      <alignment vertical="center"/>
      <protection locked="0"/>
    </xf>
    <xf numFmtId="0" fontId="69" fillId="12" borderId="61" xfId="0" applyFont="1" applyFill="1" applyBorder="1" applyAlignment="1" applyProtection="1">
      <alignment horizontal="center" vertical="center"/>
      <protection locked="0"/>
    </xf>
    <xf numFmtId="0" fontId="188" fillId="12" borderId="0" xfId="0" applyFont="1" applyFill="1" applyAlignment="1" applyProtection="1">
      <alignment horizontal="left" vertical="center"/>
      <protection locked="0"/>
    </xf>
    <xf numFmtId="180"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0" fontId="188" fillId="12" borderId="0" xfId="0" applyFont="1" applyFill="1" applyAlignment="1" applyProtection="1">
      <alignment horizontal="center" vertical="center"/>
      <protection locked="0"/>
    </xf>
    <xf numFmtId="0" fontId="191" fillId="12" borderId="0" xfId="0" applyFont="1" applyFill="1" applyAlignment="1" applyProtection="1">
      <alignment vertical="center"/>
      <protection locked="0"/>
    </xf>
    <xf numFmtId="0" fontId="15" fillId="12" borderId="0" xfId="0" applyFont="1" applyFill="1" applyAlignment="1" applyProtection="1">
      <alignment horizontal="center" vertical="center"/>
      <protection locked="0"/>
    </xf>
    <xf numFmtId="180" fontId="15" fillId="12" borderId="0" xfId="0" applyNumberFormat="1" applyFont="1" applyFill="1" applyAlignment="1" applyProtection="1">
      <alignment vertical="center"/>
      <protection locked="0"/>
    </xf>
    <xf numFmtId="0" fontId="69" fillId="12" borderId="0" xfId="0" applyFont="1" applyFill="1" applyBorder="1" applyAlignment="1" applyProtection="1">
      <alignment vertical="center"/>
      <protection locked="0"/>
    </xf>
    <xf numFmtId="0" fontId="69" fillId="12" borderId="0" xfId="0" applyFont="1" applyFill="1" applyAlignment="1" applyProtection="1">
      <alignment vertical="center" wrapText="1"/>
      <protection locked="0"/>
    </xf>
    <xf numFmtId="0" fontId="242" fillId="12" borderId="0" xfId="0" applyFont="1" applyFill="1" applyAlignment="1" applyProtection="1">
      <alignment vertical="center"/>
    </xf>
    <xf numFmtId="0" fontId="241" fillId="12" borderId="0" xfId="0" applyFont="1" applyFill="1" applyAlignment="1" applyProtection="1">
      <alignment horizontal="left" vertical="center"/>
    </xf>
    <xf numFmtId="0" fontId="242" fillId="12" borderId="0" xfId="0" applyFont="1" applyFill="1" applyAlignment="1" applyProtection="1">
      <alignment horizontal="left" vertical="center"/>
    </xf>
    <xf numFmtId="0" fontId="197" fillId="12" borderId="0" xfId="0" applyFont="1" applyFill="1" applyAlignment="1" applyProtection="1">
      <alignment vertical="center"/>
    </xf>
    <xf numFmtId="180" fontId="192" fillId="12" borderId="0" xfId="0" applyNumberFormat="1" applyFont="1" applyFill="1" applyAlignment="1" applyProtection="1">
      <alignment vertical="center"/>
    </xf>
    <xf numFmtId="182" fontId="188" fillId="12" borderId="0" xfId="0" applyNumberFormat="1" applyFont="1" applyFill="1" applyAlignment="1" applyProtection="1">
      <alignment horizontal="center" vertical="center"/>
    </xf>
    <xf numFmtId="0" fontId="192" fillId="12" borderId="0" xfId="0" applyFont="1" applyFill="1" applyAlignment="1" applyProtection="1">
      <alignment horizontal="left" vertical="center"/>
    </xf>
    <xf numFmtId="0" fontId="179" fillId="12" borderId="0" xfId="0" applyFont="1" applyFill="1" applyAlignment="1" applyProtection="1">
      <alignment vertical="center"/>
    </xf>
    <xf numFmtId="0" fontId="126" fillId="0" borderId="125" xfId="0" applyFont="1" applyBorder="1" applyAlignment="1" applyProtection="1">
      <alignment horizontal="left" vertical="center" wrapText="1"/>
      <protection locked="0"/>
    </xf>
    <xf numFmtId="0" fontId="126" fillId="0" borderId="125" xfId="0" applyNumberFormat="1" applyFont="1" applyFill="1" applyBorder="1" applyAlignment="1" applyProtection="1">
      <alignment horizontal="left" vertical="center" wrapText="1"/>
      <protection locked="0"/>
    </xf>
    <xf numFmtId="0" fontId="126" fillId="0" borderId="125" xfId="0" applyFont="1" applyFill="1" applyBorder="1" applyAlignment="1" applyProtection="1">
      <alignment horizontal="left" vertical="center" wrapText="1"/>
      <protection locked="0"/>
    </xf>
    <xf numFmtId="0" fontId="126" fillId="0" borderId="126" xfId="0" applyFont="1" applyBorder="1" applyAlignment="1" applyProtection="1">
      <alignment horizontal="left" vertical="center" wrapText="1"/>
      <protection locked="0"/>
    </xf>
    <xf numFmtId="0" fontId="127" fillId="0" borderId="0" xfId="0" applyNumberFormat="1" applyFont="1" applyAlignment="1" applyProtection="1">
      <alignment horizontal="left" vertical="center"/>
      <protection locked="0"/>
    </xf>
    <xf numFmtId="0" fontId="127" fillId="0" borderId="0" xfId="0" applyFont="1" applyAlignment="1" applyProtection="1">
      <alignment horizontal="left" vertical="center"/>
      <protection locked="0"/>
    </xf>
    <xf numFmtId="0" fontId="46" fillId="5" borderId="35" xfId="0" applyFont="1" applyFill="1" applyBorder="1" applyAlignment="1" applyProtection="1">
      <alignment horizontal="left" vertical="center" wrapText="1"/>
    </xf>
    <xf numFmtId="0" fontId="46" fillId="5" borderId="48"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50" fillId="5" borderId="36" xfId="0" applyFont="1" applyFill="1" applyBorder="1" applyAlignment="1" applyProtection="1">
      <alignment horizontal="left" vertical="center"/>
    </xf>
    <xf numFmtId="0" fontId="50" fillId="0" borderId="0" xfId="0" applyFont="1" applyAlignment="1" applyProtection="1">
      <alignment horizontal="left" vertical="center"/>
      <protection locked="0"/>
    </xf>
    <xf numFmtId="0" fontId="46" fillId="5" borderId="52" xfId="0" applyFont="1" applyFill="1" applyBorder="1" applyAlignment="1" applyProtection="1">
      <alignment horizontal="left" vertical="center" wrapText="1"/>
    </xf>
    <xf numFmtId="0" fontId="50" fillId="5" borderId="6" xfId="0" applyFont="1" applyFill="1" applyBorder="1" applyAlignment="1" applyProtection="1">
      <alignment horizontal="left" vertical="center" wrapText="1"/>
    </xf>
    <xf numFmtId="49" fontId="271" fillId="0" borderId="7" xfId="0" applyNumberFormat="1" applyFont="1" applyFill="1" applyBorder="1" applyAlignment="1" applyProtection="1">
      <alignment horizontal="left" vertical="center" wrapText="1"/>
      <protection locked="0"/>
    </xf>
    <xf numFmtId="49" fontId="50"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50" fillId="5" borderId="20" xfId="0" applyFont="1" applyFill="1" applyBorder="1" applyAlignment="1" applyProtection="1">
      <alignment horizontal="left" vertical="center" wrapText="1"/>
    </xf>
    <xf numFmtId="0" fontId="50" fillId="5" borderId="2" xfId="0" applyFont="1" applyFill="1" applyBorder="1" applyAlignment="1" applyProtection="1">
      <alignment horizontal="left" vertical="center" wrapText="1"/>
    </xf>
    <xf numFmtId="49" fontId="271" fillId="0" borderId="12" xfId="0" applyNumberFormat="1" applyFont="1" applyFill="1" applyBorder="1" applyAlignment="1" applyProtection="1">
      <alignment horizontal="left" vertical="center" wrapText="1"/>
      <protection locked="0"/>
    </xf>
    <xf numFmtId="49" fontId="50" fillId="5" borderId="24"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xf>
    <xf numFmtId="0" fontId="271" fillId="0" borderId="12" xfId="0" applyFont="1" applyBorder="1" applyAlignment="1" applyProtection="1">
      <alignment horizontal="left" vertical="center" wrapText="1"/>
      <protection locked="0"/>
    </xf>
    <xf numFmtId="0" fontId="50" fillId="5" borderId="0" xfId="0" applyFont="1" applyFill="1" applyBorder="1" applyAlignment="1" applyProtection="1">
      <alignment horizontal="left" vertical="center" wrapText="1"/>
      <protection locked="0"/>
    </xf>
    <xf numFmtId="49" fontId="50" fillId="5" borderId="23" xfId="0" applyNumberFormat="1" applyFont="1" applyFill="1" applyBorder="1" applyAlignment="1" applyProtection="1">
      <alignment horizontal="left" vertical="center" wrapText="1"/>
    </xf>
    <xf numFmtId="0" fontId="50" fillId="5" borderId="46"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50" fillId="5" borderId="43" xfId="0" applyFont="1" applyFill="1" applyBorder="1" applyAlignment="1" applyProtection="1">
      <alignment horizontal="left" vertical="center" wrapText="1"/>
    </xf>
    <xf numFmtId="0" fontId="50" fillId="0" borderId="0" xfId="0" applyFont="1" applyFill="1" applyBorder="1" applyAlignment="1" applyProtection="1">
      <alignment horizontal="left" vertical="center" wrapText="1"/>
      <protection locked="0"/>
    </xf>
    <xf numFmtId="0" fontId="50" fillId="0" borderId="0" xfId="0" applyNumberFormat="1" applyFont="1" applyFill="1" applyBorder="1" applyAlignment="1" applyProtection="1">
      <alignment horizontal="left" vertical="center" wrapText="1"/>
      <protection locked="0"/>
    </xf>
    <xf numFmtId="49" fontId="50" fillId="0" borderId="0" xfId="0" applyNumberFormat="1" applyFont="1" applyFill="1" applyBorder="1" applyAlignment="1" applyProtection="1">
      <alignment horizontal="left" vertical="center" wrapText="1"/>
      <protection locked="0"/>
    </xf>
    <xf numFmtId="0" fontId="50"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50" fillId="5" borderId="0" xfId="0" applyNumberFormat="1" applyFont="1" applyFill="1" applyBorder="1" applyAlignment="1" applyProtection="1">
      <alignment horizontal="left" vertical="center" wrapText="1"/>
      <protection locked="0"/>
    </xf>
    <xf numFmtId="0" fontId="60" fillId="5" borderId="0" xfId="0" applyFont="1" applyFill="1" applyBorder="1" applyAlignment="1" applyProtection="1">
      <alignment horizontal="left" vertical="center"/>
    </xf>
    <xf numFmtId="0" fontId="126" fillId="0" borderId="0" xfId="0" applyFont="1" applyBorder="1" applyAlignment="1" applyProtection="1">
      <alignment horizontal="left" vertical="center" wrapText="1"/>
      <protection locked="0"/>
    </xf>
    <xf numFmtId="0" fontId="126" fillId="0" borderId="0" xfId="0" applyNumberFormat="1" applyFont="1" applyBorder="1" applyAlignment="1" applyProtection="1">
      <alignment horizontal="left" vertical="center" wrapText="1"/>
      <protection locked="0"/>
    </xf>
    <xf numFmtId="0" fontId="126" fillId="0" borderId="18" xfId="0" applyNumberFormat="1" applyFont="1" applyBorder="1" applyAlignment="1" applyProtection="1">
      <alignment horizontal="left" vertical="center" wrapText="1"/>
      <protection locked="0"/>
    </xf>
    <xf numFmtId="0" fontId="127" fillId="0" borderId="0" xfId="0" applyFont="1" applyAlignment="1" applyProtection="1">
      <alignment horizontal="left" vertical="center" wrapText="1"/>
      <protection locked="0"/>
    </xf>
    <xf numFmtId="0" fontId="127" fillId="0" borderId="0" xfId="0" applyNumberFormat="1" applyFont="1" applyFill="1" applyAlignment="1" applyProtection="1">
      <alignment horizontal="left" vertical="center" wrapText="1"/>
      <protection locked="0"/>
    </xf>
    <xf numFmtId="0" fontId="127" fillId="0" borderId="0" xfId="0" applyFont="1" applyFill="1" applyAlignment="1" applyProtection="1">
      <alignment horizontal="left" vertical="center" wrapText="1"/>
      <protection locked="0"/>
    </xf>
    <xf numFmtId="0" fontId="60" fillId="5" borderId="127" xfId="0" applyFont="1" applyFill="1" applyBorder="1" applyAlignment="1" applyProtection="1">
      <alignment horizontal="left" vertical="center"/>
    </xf>
    <xf numFmtId="0" fontId="50" fillId="0" borderId="0" xfId="0" applyFont="1" applyAlignment="1" applyProtection="1">
      <alignment horizontal="left" vertical="center" wrapText="1"/>
      <protection locked="0"/>
    </xf>
    <xf numFmtId="0" fontId="50" fillId="0" borderId="0" xfId="0" applyNumberFormat="1" applyFont="1" applyFill="1" applyAlignment="1" applyProtection="1">
      <alignment horizontal="left" vertical="center" wrapText="1"/>
      <protection locked="0"/>
    </xf>
    <xf numFmtId="0" fontId="50" fillId="0" borderId="0" xfId="0" applyFont="1" applyFill="1" applyAlignment="1" applyProtection="1">
      <alignment horizontal="left" vertical="center" wrapText="1"/>
      <protection locked="0"/>
    </xf>
    <xf numFmtId="0" fontId="50"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46" fillId="5" borderId="80"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50" fillId="5" borderId="40" xfId="0" applyNumberFormat="1" applyFont="1" applyFill="1" applyBorder="1" applyAlignment="1" applyProtection="1">
      <alignment horizontal="left" vertical="center" wrapText="1"/>
    </xf>
    <xf numFmtId="49" fontId="46" fillId="5" borderId="34" xfId="0" applyNumberFormat="1" applyFont="1" applyFill="1" applyBorder="1" applyAlignment="1" applyProtection="1">
      <alignment horizontal="left" vertical="center" wrapText="1"/>
    </xf>
    <xf numFmtId="0" fontId="50" fillId="5" borderId="7" xfId="0" applyNumberFormat="1"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50" fillId="5" borderId="49" xfId="0" applyFont="1" applyFill="1" applyBorder="1" applyAlignment="1" applyProtection="1">
      <alignment horizontal="left" vertical="center" wrapText="1"/>
    </xf>
    <xf numFmtId="49" fontId="50" fillId="5" borderId="12" xfId="0" applyNumberFormat="1" applyFont="1" applyFill="1" applyBorder="1" applyAlignment="1" applyProtection="1">
      <alignment horizontal="left" vertical="center" wrapText="1"/>
    </xf>
    <xf numFmtId="49" fontId="46" fillId="5" borderId="82"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50" fillId="5" borderId="12" xfId="0" applyNumberFormat="1" applyFont="1" applyFill="1" applyBorder="1" applyAlignment="1" applyProtection="1">
      <alignment horizontal="left" vertical="center" wrapText="1"/>
    </xf>
    <xf numFmtId="0" fontId="69" fillId="0" borderId="12" xfId="0" applyNumberFormat="1" applyFont="1" applyFill="1" applyBorder="1" applyAlignment="1" applyProtection="1">
      <alignment horizontal="left" vertical="center" wrapText="1"/>
      <protection locked="0"/>
    </xf>
    <xf numFmtId="0" fontId="69" fillId="6" borderId="12" xfId="0" applyNumberFormat="1" applyFont="1" applyFill="1" applyBorder="1" applyAlignment="1" applyProtection="1">
      <alignment horizontal="left" vertical="center" wrapText="1"/>
      <protection locked="0"/>
    </xf>
    <xf numFmtId="49" fontId="46" fillId="5" borderId="83" xfId="0" applyNumberFormat="1" applyFont="1" applyFill="1" applyBorder="1" applyAlignment="1" applyProtection="1">
      <alignment horizontal="left" vertical="center" wrapText="1"/>
    </xf>
    <xf numFmtId="0" fontId="50" fillId="5" borderId="42" xfId="0" applyFont="1" applyFill="1" applyBorder="1" applyAlignment="1" applyProtection="1">
      <alignment horizontal="left" vertical="center" wrapText="1"/>
    </xf>
    <xf numFmtId="0" fontId="69" fillId="0" borderId="45" xfId="0" applyNumberFormat="1" applyFont="1" applyFill="1" applyBorder="1" applyAlignment="1" applyProtection="1">
      <alignment horizontal="left" vertical="center" wrapText="1"/>
      <protection locked="0"/>
    </xf>
    <xf numFmtId="0" fontId="46" fillId="5" borderId="83" xfId="0" applyFont="1" applyFill="1" applyBorder="1" applyAlignment="1" applyProtection="1">
      <alignment horizontal="left" vertical="center" wrapText="1"/>
    </xf>
    <xf numFmtId="0" fontId="50" fillId="5" borderId="45" xfId="0" applyNumberFormat="1" applyFont="1" applyFill="1" applyBorder="1" applyAlignment="1" applyProtection="1">
      <alignment horizontal="left" vertical="center" wrapText="1"/>
    </xf>
    <xf numFmtId="0" fontId="50" fillId="5" borderId="0" xfId="0" applyFont="1" applyFill="1" applyAlignment="1" applyProtection="1">
      <alignment horizontal="left" vertical="center" wrapText="1"/>
      <protection locked="0"/>
    </xf>
    <xf numFmtId="0" fontId="50" fillId="5" borderId="0" xfId="0" applyNumberFormat="1" applyFont="1" applyFill="1" applyAlignment="1" applyProtection="1">
      <alignment horizontal="left" vertical="center" wrapText="1"/>
      <protection locked="0"/>
    </xf>
    <xf numFmtId="0" fontId="258" fillId="5" borderId="2" xfId="15"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8" fillId="5" borderId="2" xfId="15" applyNumberFormat="1" applyFont="1" applyFill="1" applyBorder="1" applyAlignment="1" applyProtection="1">
      <alignment horizontal="left" vertical="center" wrapText="1"/>
    </xf>
    <xf numFmtId="0" fontId="186" fillId="5" borderId="2" xfId="15" applyFill="1" applyBorder="1" applyAlignment="1" applyProtection="1">
      <alignment horizontal="left" vertical="center"/>
    </xf>
    <xf numFmtId="0" fontId="258" fillId="5" borderId="10" xfId="15" applyFont="1" applyFill="1" applyBorder="1" applyAlignment="1" applyProtection="1">
      <alignment horizontal="left" vertical="center" wrapText="1"/>
    </xf>
    <xf numFmtId="0" fontId="186" fillId="0" borderId="2" xfId="15" applyFont="1" applyFill="1" applyBorder="1" applyAlignment="1" applyProtection="1">
      <alignment horizontal="left" vertical="center"/>
      <protection locked="0"/>
    </xf>
    <xf numFmtId="0" fontId="258" fillId="0" borderId="10" xfId="15" applyFont="1" applyFill="1" applyBorder="1" applyAlignment="1" applyProtection="1">
      <alignment horizontal="left" vertical="center" wrapText="1"/>
      <protection locked="0"/>
    </xf>
    <xf numFmtId="0" fontId="186" fillId="0" borderId="2" xfId="15" applyBorder="1" applyAlignment="1" applyProtection="1">
      <alignment horizontal="left" vertical="center"/>
      <protection locked="0"/>
    </xf>
    <xf numFmtId="0" fontId="258" fillId="0" borderId="2" xfId="15" applyFont="1" applyFill="1" applyBorder="1" applyAlignment="1" applyProtection="1">
      <alignment horizontal="left" vertical="center" wrapText="1"/>
      <protection locked="0"/>
    </xf>
    <xf numFmtId="0" fontId="258" fillId="12" borderId="0" xfId="15"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4" fillId="5" borderId="0" xfId="0" applyFont="1" applyFill="1" applyAlignment="1" applyProtection="1">
      <alignment horizontal="left" vertical="center"/>
    </xf>
    <xf numFmtId="0" fontId="97" fillId="0" borderId="0" xfId="0" applyFont="1" applyFill="1" applyAlignment="1" applyProtection="1">
      <protection locked="0"/>
    </xf>
    <xf numFmtId="0" fontId="69" fillId="0" borderId="0" xfId="0" applyFont="1" applyFill="1" applyAlignment="1" applyProtection="1">
      <protection locked="0"/>
    </xf>
    <xf numFmtId="0" fontId="78" fillId="0" borderId="0" xfId="0" applyFont="1" applyFill="1" applyAlignment="1" applyProtection="1">
      <protection locked="0"/>
    </xf>
    <xf numFmtId="0" fontId="98" fillId="0" borderId="0" xfId="0" applyFont="1" applyFill="1" applyProtection="1">
      <alignment vertical="center"/>
      <protection locked="0"/>
    </xf>
    <xf numFmtId="0" fontId="77" fillId="0" borderId="0" xfId="0" applyFont="1" applyFill="1" applyAlignment="1" applyProtection="1">
      <protection locked="0"/>
    </xf>
    <xf numFmtId="0" fontId="98" fillId="0" borderId="0" xfId="0" applyFont="1" applyFill="1" applyAlignment="1" applyProtection="1">
      <protection locked="0"/>
    </xf>
    <xf numFmtId="0" fontId="78" fillId="0" borderId="0" xfId="0" applyFont="1" applyFill="1" applyAlignment="1" applyProtection="1">
      <alignment vertical="center" wrapText="1"/>
      <protection locked="0"/>
    </xf>
    <xf numFmtId="0" fontId="77" fillId="0" borderId="0" xfId="0" applyFont="1" applyFill="1" applyAlignment="1" applyProtection="1">
      <alignment vertical="center" wrapText="1"/>
      <protection locked="0"/>
    </xf>
    <xf numFmtId="0" fontId="74" fillId="0" borderId="0" xfId="0" applyFont="1" applyFill="1" applyAlignment="1" applyProtection="1">
      <alignment horizontal="center"/>
      <protection locked="0"/>
    </xf>
    <xf numFmtId="185" fontId="74" fillId="0" borderId="0" xfId="0" applyNumberFormat="1" applyFont="1" applyFill="1" applyAlignment="1" applyProtection="1">
      <alignment horizontal="center"/>
      <protection locked="0"/>
    </xf>
    <xf numFmtId="0" fontId="98" fillId="0" borderId="0" xfId="0" applyFont="1" applyFill="1" applyAlignment="1" applyProtection="1">
      <alignment vertical="center" wrapText="1"/>
      <protection locked="0"/>
    </xf>
    <xf numFmtId="0" fontId="78" fillId="5" borderId="0" xfId="0" applyFont="1" applyFill="1" applyAlignment="1" applyProtection="1"/>
    <xf numFmtId="0" fontId="98" fillId="5" borderId="0" xfId="0" applyFont="1" applyFill="1" applyAlignment="1" applyProtection="1"/>
    <xf numFmtId="182" fontId="99" fillId="5" borderId="14" xfId="0" applyNumberFormat="1" applyFont="1" applyFill="1" applyBorder="1" applyAlignment="1" applyProtection="1">
      <alignment vertical="center"/>
      <protection locked="0"/>
    </xf>
    <xf numFmtId="0" fontId="99" fillId="5" borderId="14" xfId="0" applyFont="1" applyFill="1" applyBorder="1" applyAlignment="1" applyProtection="1">
      <alignment horizontal="center" vertical="center"/>
      <protection locked="0"/>
    </xf>
    <xf numFmtId="0" fontId="96" fillId="5" borderId="0" xfId="0" applyFont="1" applyFill="1" applyBorder="1" applyAlignment="1" applyProtection="1">
      <alignment horizontal="center" vertical="center"/>
      <protection locked="0"/>
    </xf>
    <xf numFmtId="0" fontId="99" fillId="5" borderId="19" xfId="0" applyFont="1" applyFill="1" applyBorder="1" applyAlignment="1" applyProtection="1">
      <alignment horizontal="center" vertical="center"/>
      <protection locked="0"/>
    </xf>
    <xf numFmtId="0" fontId="82" fillId="12" borderId="0" xfId="0"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9" fontId="82" fillId="12" borderId="0" xfId="0" applyNumberFormat="1" applyFont="1" applyFill="1" applyAlignment="1" applyProtection="1">
      <alignment horizontal="center" vertical="center"/>
      <protection locked="0"/>
    </xf>
    <xf numFmtId="188" fontId="82" fillId="12" borderId="0" xfId="0" applyNumberFormat="1" applyFont="1" applyFill="1" applyAlignment="1" applyProtection="1">
      <alignment horizontal="center" vertical="center"/>
      <protection locked="0"/>
    </xf>
    <xf numFmtId="188" fontId="103" fillId="12" borderId="0" xfId="0" applyNumberFormat="1" applyFont="1" applyFill="1" applyAlignment="1" applyProtection="1">
      <alignment horizontal="center" vertical="center"/>
      <protection locked="0"/>
    </xf>
    <xf numFmtId="0" fontId="107" fillId="12" borderId="0" xfId="0" applyFont="1" applyFill="1" applyAlignment="1" applyProtection="1">
      <alignment horizontal="center" vertical="center"/>
      <protection locked="0"/>
    </xf>
    <xf numFmtId="0" fontId="95" fillId="12" borderId="0" xfId="0" applyFont="1" applyFill="1" applyBorder="1" applyAlignment="1" applyProtection="1">
      <alignment vertical="center"/>
      <protection locked="0"/>
    </xf>
    <xf numFmtId="0" fontId="96" fillId="12" borderId="0" xfId="0" applyFont="1" applyFill="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100" fillId="12" borderId="0" xfId="0" applyFont="1" applyFill="1" applyBorder="1" applyAlignment="1" applyProtection="1">
      <alignment vertical="center"/>
      <protection locked="0"/>
    </xf>
    <xf numFmtId="188" fontId="99" fillId="12" borderId="0" xfId="0" applyNumberFormat="1" applyFont="1" applyFill="1" applyBorder="1" applyAlignment="1" applyProtection="1">
      <alignment horizontal="center" vertical="center"/>
      <protection locked="0"/>
    </xf>
    <xf numFmtId="0" fontId="56" fillId="12" borderId="0" xfId="0" applyFont="1" applyFill="1" applyAlignment="1" applyProtection="1">
      <alignment horizontal="center" vertical="center"/>
      <protection locked="0"/>
    </xf>
    <xf numFmtId="14" fontId="82" fillId="12" borderId="0" xfId="0" applyNumberFormat="1" applyFont="1" applyFill="1" applyAlignment="1" applyProtection="1">
      <alignment horizontal="center" vertical="center"/>
      <protection locked="0"/>
    </xf>
    <xf numFmtId="0" fontId="84" fillId="12" borderId="0" xfId="0" applyFont="1" applyFill="1" applyAlignment="1" applyProtection="1">
      <protection locked="0"/>
    </xf>
    <xf numFmtId="0" fontId="69" fillId="12" borderId="0" xfId="0" applyNumberFormat="1" applyFont="1" applyFill="1" applyBorder="1" applyAlignment="1" applyProtection="1">
      <alignment horizontal="center" vertical="center" wrapText="1"/>
      <protection locked="0"/>
    </xf>
    <xf numFmtId="0" fontId="103" fillId="12" borderId="0" xfId="0" applyNumberFormat="1" applyFont="1" applyFill="1" applyBorder="1" applyAlignment="1" applyProtection="1">
      <alignment horizontal="center" vertical="center" wrapText="1"/>
      <protection locked="0"/>
    </xf>
    <xf numFmtId="0" fontId="82" fillId="12" borderId="0" xfId="0" applyNumberFormat="1" applyFont="1" applyFill="1" applyBorder="1" applyAlignment="1" applyProtection="1">
      <alignment horizontal="center" vertical="center" wrapText="1"/>
      <protection locked="0"/>
    </xf>
    <xf numFmtId="0" fontId="78" fillId="12" borderId="0" xfId="0" applyNumberFormat="1" applyFont="1" applyFill="1" applyBorder="1" applyAlignment="1" applyProtection="1">
      <alignment horizontal="center" vertical="center" wrapText="1"/>
      <protection locked="0"/>
    </xf>
    <xf numFmtId="0" fontId="38" fillId="5" borderId="0" xfId="4" applyNumberFormat="1" applyFont="1" applyFill="1" applyAlignment="1" applyProtection="1">
      <alignment vertical="center" wrapText="1"/>
      <protection locked="0"/>
    </xf>
    <xf numFmtId="0" fontId="45" fillId="5" borderId="0" xfId="4" applyFont="1" applyFill="1" applyBorder="1" applyAlignment="1" applyProtection="1">
      <alignment vertical="center" wrapText="1"/>
      <protection locked="0"/>
    </xf>
    <xf numFmtId="0" fontId="56" fillId="5" borderId="0" xfId="4" applyFont="1" applyFill="1" applyBorder="1" applyAlignment="1" applyProtection="1">
      <alignment vertical="center" wrapText="1"/>
      <protection locked="0"/>
    </xf>
    <xf numFmtId="0" fontId="38" fillId="5" borderId="0" xfId="4" applyFont="1" applyFill="1" applyBorder="1" applyAlignment="1" applyProtection="1">
      <alignment vertical="center" wrapText="1"/>
      <protection locked="0"/>
    </xf>
    <xf numFmtId="0" fontId="223" fillId="5" borderId="0" xfId="4" applyFont="1" applyFill="1" applyBorder="1" applyAlignment="1" applyProtection="1">
      <alignment vertical="center"/>
      <protection locked="0"/>
    </xf>
    <xf numFmtId="0" fontId="56" fillId="5" borderId="0" xfId="4" applyFont="1" applyFill="1" applyAlignment="1" applyProtection="1">
      <alignment vertical="center"/>
      <protection locked="0"/>
    </xf>
    <xf numFmtId="0" fontId="38" fillId="5" borderId="0" xfId="4" applyFont="1" applyFill="1" applyAlignment="1" applyProtection="1">
      <alignment vertical="center"/>
      <protection locked="0"/>
    </xf>
    <xf numFmtId="0" fontId="56" fillId="5" borderId="0" xfId="4" applyFont="1" applyFill="1" applyAlignment="1" applyProtection="1">
      <alignment vertical="center" wrapText="1"/>
      <protection locked="0"/>
    </xf>
    <xf numFmtId="0" fontId="82" fillId="5" borderId="0" xfId="4" applyFont="1" applyFill="1" applyBorder="1" applyAlignment="1" applyProtection="1">
      <alignment horizontal="center" vertical="center" wrapText="1"/>
      <protection locked="0"/>
    </xf>
    <xf numFmtId="0" fontId="82" fillId="5" borderId="0" xfId="4" applyFont="1" applyFill="1" applyBorder="1" applyAlignment="1" applyProtection="1">
      <alignment vertical="center" wrapText="1"/>
      <protection locked="0"/>
    </xf>
    <xf numFmtId="0" fontId="205" fillId="5" borderId="0" xfId="4" applyFont="1" applyFill="1" applyBorder="1" applyAlignment="1" applyProtection="1">
      <alignment vertical="center"/>
      <protection locked="0"/>
    </xf>
    <xf numFmtId="0" fontId="38" fillId="5" borderId="0" xfId="4" applyFont="1" applyFill="1" applyBorder="1" applyAlignment="1" applyProtection="1">
      <alignment vertical="center"/>
      <protection locked="0"/>
    </xf>
    <xf numFmtId="0" fontId="242" fillId="8" borderId="0" xfId="0" applyFont="1" applyFill="1" applyProtection="1">
      <alignment vertical="center"/>
    </xf>
    <xf numFmtId="0" fontId="192" fillId="8" borderId="0" xfId="0" applyFont="1" applyFill="1" applyProtection="1">
      <alignment vertical="center"/>
    </xf>
    <xf numFmtId="0" fontId="0" fillId="5" borderId="0" xfId="0" applyFont="1" applyFill="1" applyProtection="1">
      <alignment vertical="center"/>
      <protection locked="0"/>
    </xf>
    <xf numFmtId="0" fontId="0" fillId="0" borderId="0" xfId="0" applyFont="1" applyProtection="1">
      <alignment vertical="center"/>
      <protection locked="0"/>
    </xf>
    <xf numFmtId="0" fontId="0" fillId="0" borderId="0" xfId="0" applyFont="1">
      <alignment vertical="center"/>
    </xf>
    <xf numFmtId="0" fontId="0" fillId="12" borderId="0" xfId="0" applyFont="1" applyFill="1" applyProtection="1">
      <alignment vertical="center"/>
      <protection locked="0"/>
    </xf>
    <xf numFmtId="0" fontId="0" fillId="5" borderId="2" xfId="0" applyFont="1" applyFill="1" applyBorder="1" applyAlignment="1" applyProtection="1">
      <alignment horizontal="center" vertical="center"/>
    </xf>
    <xf numFmtId="49" fontId="272" fillId="5" borderId="58" xfId="0" applyNumberFormat="1" applyFont="1" applyFill="1" applyBorder="1" applyAlignment="1" applyProtection="1"/>
    <xf numFmtId="0" fontId="266" fillId="5" borderId="2" xfId="0" applyFont="1" applyFill="1" applyBorder="1" applyProtection="1">
      <alignment vertical="center"/>
    </xf>
    <xf numFmtId="0" fontId="266" fillId="12" borderId="0" xfId="0" applyFont="1" applyFill="1" applyProtection="1">
      <alignment vertical="center"/>
      <protection locked="0"/>
    </xf>
    <xf numFmtId="0" fontId="266" fillId="5" borderId="2" xfId="0" applyFont="1" applyFill="1" applyBorder="1" applyAlignment="1" applyProtection="1">
      <alignment horizontal="left" vertical="center" wrapText="1"/>
    </xf>
    <xf numFmtId="0" fontId="0" fillId="2" borderId="10" xfId="0" applyFont="1" applyFill="1" applyBorder="1" applyAlignment="1" applyProtection="1">
      <alignment horizontal="left" vertical="center"/>
      <protection locked="0"/>
    </xf>
    <xf numFmtId="0" fontId="0" fillId="2" borderId="2" xfId="0" applyFont="1" applyFill="1" applyBorder="1" applyAlignment="1" applyProtection="1">
      <alignment horizontal="left" vertical="center"/>
      <protection locked="0"/>
    </xf>
    <xf numFmtId="0" fontId="0"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9" fillId="5" borderId="19" xfId="0" applyNumberFormat="1" applyFont="1" applyFill="1" applyBorder="1" applyAlignment="1" applyProtection="1">
      <protection locked="0"/>
    </xf>
    <xf numFmtId="178" fontId="95" fillId="5" borderId="0" xfId="0" applyNumberFormat="1" applyFont="1" applyFill="1" applyBorder="1" applyAlignment="1" applyProtection="1">
      <protection locked="0"/>
    </xf>
    <xf numFmtId="0" fontId="114" fillId="5" borderId="0" xfId="0" applyFont="1" applyFill="1" applyAlignment="1" applyProtection="1">
      <alignment vertical="center"/>
      <protection locked="0"/>
    </xf>
    <xf numFmtId="0" fontId="69" fillId="12" borderId="0" xfId="0" applyFont="1" applyFill="1" applyAlignment="1" applyProtection="1">
      <protection locked="0"/>
    </xf>
    <xf numFmtId="0" fontId="104" fillId="12" borderId="0" xfId="0" applyFont="1" applyFill="1" applyAlignment="1" applyProtection="1">
      <alignment vertical="center"/>
      <protection locked="0"/>
    </xf>
    <xf numFmtId="49" fontId="95" fillId="12" borderId="0" xfId="0" applyNumberFormat="1" applyFont="1" applyFill="1" applyBorder="1" applyAlignment="1" applyProtection="1">
      <alignment horizontal="center"/>
      <protection locked="0"/>
    </xf>
    <xf numFmtId="0" fontId="104" fillId="12" borderId="0" xfId="0" applyFont="1" applyFill="1" applyBorder="1" applyAlignment="1" applyProtection="1">
      <alignment vertical="center"/>
      <protection locked="0"/>
    </xf>
    <xf numFmtId="49" fontId="95" fillId="12" borderId="0" xfId="0" applyNumberFormat="1" applyFont="1" applyFill="1" applyBorder="1" applyAlignment="1" applyProtection="1">
      <protection locked="0"/>
    </xf>
    <xf numFmtId="0" fontId="155" fillId="5" borderId="7" xfId="3" applyFont="1" applyFill="1" applyBorder="1" applyAlignment="1" applyProtection="1">
      <alignment horizontal="left" vertical="center"/>
    </xf>
    <xf numFmtId="0" fontId="95" fillId="12" borderId="0" xfId="3" applyFont="1" applyFill="1" applyBorder="1" applyAlignment="1" applyProtection="1">
      <alignment vertical="center"/>
      <protection locked="0"/>
    </xf>
    <xf numFmtId="0" fontId="84" fillId="0" borderId="0" xfId="0" applyFont="1" applyFill="1" applyAlignment="1" applyProtection="1">
      <alignment horizontal="left" vertical="center"/>
      <protection locked="0"/>
    </xf>
    <xf numFmtId="0" fontId="84" fillId="0" borderId="0" xfId="0" applyFont="1" applyFill="1" applyAlignment="1" applyProtection="1">
      <alignment vertical="center"/>
      <protection locked="0"/>
    </xf>
    <xf numFmtId="178" fontId="84" fillId="0" borderId="2" xfId="3" applyNumberFormat="1" applyFont="1" applyFill="1" applyBorder="1" applyAlignment="1" applyProtection="1">
      <alignment horizontal="center" vertical="center"/>
      <protection locked="0"/>
    </xf>
    <xf numFmtId="0" fontId="84" fillId="0" borderId="2" xfId="3" applyFont="1" applyFill="1" applyBorder="1" applyAlignment="1" applyProtection="1">
      <alignment horizontal="center" vertical="center"/>
      <protection locked="0"/>
    </xf>
    <xf numFmtId="178" fontId="111" fillId="0" borderId="2" xfId="3" applyNumberFormat="1" applyFont="1" applyFill="1" applyBorder="1" applyAlignment="1" applyProtection="1">
      <alignment horizontal="center" vertical="center"/>
      <protection locked="0"/>
    </xf>
    <xf numFmtId="0" fontId="99" fillId="5" borderId="13" xfId="0" applyFont="1" applyFill="1" applyBorder="1" applyAlignment="1" applyProtection="1">
      <alignment horizontal="center" vertical="center"/>
      <protection locked="0"/>
    </xf>
    <xf numFmtId="10" fontId="83" fillId="11" borderId="5" xfId="0" applyNumberFormat="1" applyFont="1" applyFill="1" applyBorder="1" applyAlignment="1" applyProtection="1">
      <alignment horizontal="center" vertical="center" wrapText="1"/>
      <protection locked="0"/>
    </xf>
    <xf numFmtId="10" fontId="73"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96" fillId="5" borderId="2" xfId="0" applyFont="1" applyFill="1" applyBorder="1" applyAlignment="1" applyProtection="1">
      <alignment horizontal="center" vertical="center"/>
    </xf>
    <xf numFmtId="0" fontId="196" fillId="2" borderId="2" xfId="0" applyFont="1" applyFill="1" applyBorder="1" applyAlignment="1" applyProtection="1">
      <alignment horizontal="center" vertical="center"/>
      <protection locked="0"/>
    </xf>
    <xf numFmtId="0" fontId="186" fillId="0" borderId="2" xfId="2" applyFont="1" applyBorder="1">
      <alignment vertical="center"/>
    </xf>
    <xf numFmtId="0" fontId="186" fillId="0" borderId="2" xfId="2" applyBorder="1">
      <alignment vertical="center"/>
    </xf>
    <xf numFmtId="0" fontId="186" fillId="0" borderId="2" xfId="2" applyFont="1" applyBorder="1" applyAlignment="1">
      <alignment horizontal="center" vertical="center"/>
    </xf>
    <xf numFmtId="0" fontId="186" fillId="0" borderId="2" xfId="2" applyBorder="1" applyAlignment="1">
      <alignment horizontal="center" vertical="center"/>
    </xf>
    <xf numFmtId="0" fontId="186" fillId="8" borderId="2" xfId="2" applyFill="1" applyBorder="1">
      <alignment vertical="center"/>
    </xf>
    <xf numFmtId="0" fontId="287" fillId="0" borderId="2" xfId="17" applyNumberFormat="1" applyFont="1" applyFill="1" applyBorder="1" applyAlignment="1">
      <alignment horizontal="center" vertical="center" wrapText="1"/>
    </xf>
    <xf numFmtId="177" fontId="288" fillId="0" borderId="2" xfId="17" applyNumberFormat="1" applyFont="1" applyFill="1" applyBorder="1" applyAlignment="1">
      <alignment horizontal="center" vertical="center" wrapText="1"/>
    </xf>
    <xf numFmtId="177" fontId="80" fillId="0" borderId="2" xfId="17" applyNumberFormat="1" applyFont="1" applyFill="1" applyBorder="1" applyAlignment="1">
      <alignment horizontal="left" vertical="center" wrapText="1"/>
    </xf>
    <xf numFmtId="177" fontId="125" fillId="0" borderId="2" xfId="17" applyNumberFormat="1" applyFont="1" applyFill="1" applyBorder="1" applyAlignment="1">
      <alignment horizontal="center" vertical="center" wrapText="1"/>
    </xf>
    <xf numFmtId="177" fontId="80" fillId="0" borderId="2" xfId="17" applyNumberFormat="1" applyFont="1" applyFill="1" applyBorder="1" applyAlignment="1" applyProtection="1">
      <alignment horizontal="center" vertical="center" wrapText="1"/>
    </xf>
    <xf numFmtId="177" fontId="287" fillId="0" borderId="2" xfId="17" applyNumberFormat="1" applyFont="1" applyFill="1" applyBorder="1" applyAlignment="1">
      <alignment horizontal="center" vertical="center" wrapText="1"/>
    </xf>
    <xf numFmtId="0" fontId="288" fillId="0" borderId="2" xfId="17" applyNumberFormat="1" applyFont="1" applyFill="1" applyBorder="1" applyAlignment="1">
      <alignment horizontal="center" vertical="center" wrapText="1"/>
    </xf>
    <xf numFmtId="177" fontId="80" fillId="0" borderId="2" xfId="17" applyNumberFormat="1" applyFont="1" applyFill="1" applyBorder="1" applyAlignment="1">
      <alignment horizontal="center" vertical="center" wrapText="1"/>
    </xf>
    <xf numFmtId="177" fontId="125" fillId="0" borderId="2" xfId="17" applyNumberFormat="1" applyFont="1" applyFill="1" applyBorder="1" applyAlignment="1" applyProtection="1">
      <alignment horizontal="center" vertical="center" wrapText="1"/>
    </xf>
    <xf numFmtId="0" fontId="288" fillId="6" borderId="2" xfId="17" applyNumberFormat="1" applyFont="1" applyFill="1" applyBorder="1" applyAlignment="1">
      <alignment horizontal="center" vertical="center" wrapText="1"/>
    </xf>
    <xf numFmtId="177" fontId="287" fillId="6" borderId="2" xfId="17" applyNumberFormat="1" applyFont="1" applyFill="1" applyBorder="1" applyAlignment="1">
      <alignment horizontal="center" vertical="center" wrapText="1"/>
    </xf>
    <xf numFmtId="177" fontId="80" fillId="6" borderId="2" xfId="17" applyNumberFormat="1" applyFont="1" applyFill="1" applyBorder="1" applyAlignment="1">
      <alignment horizontal="left" vertical="center" wrapText="1"/>
    </xf>
    <xf numFmtId="177" fontId="288" fillId="6" borderId="2" xfId="17" applyNumberFormat="1" applyFont="1" applyFill="1" applyBorder="1" applyAlignment="1">
      <alignment horizontal="center" vertical="center" wrapText="1"/>
    </xf>
    <xf numFmtId="177" fontId="287" fillId="0" borderId="2" xfId="17" applyNumberFormat="1" applyFont="1" applyBorder="1" applyAlignment="1">
      <alignment horizontal="center" vertical="center" wrapText="1"/>
    </xf>
    <xf numFmtId="177" fontId="288" fillId="0" borderId="2" xfId="17" applyNumberFormat="1" applyFont="1" applyBorder="1" applyAlignment="1">
      <alignment horizontal="center" vertical="center" wrapText="1"/>
    </xf>
    <xf numFmtId="185" fontId="287" fillId="0" borderId="2" xfId="17" applyNumberFormat="1" applyFont="1" applyFill="1" applyBorder="1" applyAlignment="1">
      <alignment horizontal="center" vertical="center" wrapText="1"/>
    </xf>
    <xf numFmtId="0" fontId="286" fillId="0" borderId="2" xfId="17" applyFont="1" applyFill="1" applyBorder="1" applyAlignment="1">
      <alignment horizontal="center" vertical="center" wrapText="1"/>
    </xf>
    <xf numFmtId="177" fontId="203" fillId="8" borderId="2" xfId="17" applyNumberFormat="1" applyFont="1" applyFill="1" applyBorder="1" applyAlignment="1">
      <alignment horizontal="center" vertical="center" wrapText="1"/>
    </xf>
    <xf numFmtId="177" fontId="288" fillId="0" borderId="2" xfId="17" applyNumberFormat="1" applyFont="1" applyBorder="1" applyAlignment="1">
      <alignment horizontal="left" vertical="center" wrapText="1"/>
    </xf>
    <xf numFmtId="185" fontId="203" fillId="0" borderId="2" xfId="17" applyNumberFormat="1" applyFont="1" applyFill="1" applyBorder="1" applyAlignment="1">
      <alignment horizontal="center" vertical="center" wrapText="1"/>
    </xf>
    <xf numFmtId="195" fontId="287" fillId="0" borderId="2" xfId="18" applyNumberFormat="1" applyFont="1" applyFill="1" applyBorder="1" applyAlignment="1">
      <alignment horizontal="center" vertical="center" wrapText="1"/>
    </xf>
    <xf numFmtId="177" fontId="287" fillId="0" borderId="2" xfId="17" applyNumberFormat="1" applyFont="1" applyFill="1" applyBorder="1" applyAlignment="1">
      <alignment horizontal="left" vertical="center" wrapText="1"/>
    </xf>
    <xf numFmtId="0" fontId="287" fillId="0" borderId="2" xfId="18" applyFont="1" applyFill="1" applyBorder="1" applyAlignment="1">
      <alignment horizontal="center" vertical="center" wrapText="1"/>
    </xf>
    <xf numFmtId="0" fontId="125" fillId="0" borderId="2" xfId="17" applyFont="1" applyFill="1" applyBorder="1" applyAlignment="1">
      <alignment horizontal="center" vertical="center" wrapText="1"/>
    </xf>
    <xf numFmtId="177" fontId="80" fillId="0" borderId="2" xfId="17" applyNumberFormat="1" applyFont="1" applyBorder="1" applyAlignment="1">
      <alignment horizontal="center" vertical="center" wrapText="1"/>
    </xf>
    <xf numFmtId="177" fontId="80" fillId="0" borderId="2" xfId="17" applyNumberFormat="1" applyFont="1" applyBorder="1" applyAlignment="1">
      <alignment horizontal="left" vertical="center" wrapText="1"/>
    </xf>
    <xf numFmtId="0" fontId="80" fillId="0" borderId="2" xfId="18" applyFont="1" applyFill="1" applyBorder="1" applyAlignment="1">
      <alignment horizontal="center" vertical="center" wrapText="1"/>
    </xf>
    <xf numFmtId="0" fontId="125" fillId="6" borderId="2" xfId="17" applyFont="1" applyFill="1" applyBorder="1" applyAlignment="1">
      <alignment horizontal="center" vertical="center" wrapText="1"/>
    </xf>
    <xf numFmtId="185" fontId="287" fillId="6" borderId="2" xfId="17" applyNumberFormat="1" applyFont="1" applyFill="1" applyBorder="1" applyAlignment="1">
      <alignment horizontal="center" vertical="center" wrapText="1"/>
    </xf>
    <xf numFmtId="177" fontId="80" fillId="6" borderId="2" xfId="17" applyNumberFormat="1" applyFont="1" applyFill="1" applyBorder="1" applyAlignment="1">
      <alignment horizontal="center" vertical="center" wrapText="1"/>
    </xf>
    <xf numFmtId="0" fontId="80" fillId="6" borderId="2" xfId="18" applyFont="1" applyFill="1" applyBorder="1" applyAlignment="1">
      <alignment horizontal="center" vertical="center" wrapText="1"/>
    </xf>
    <xf numFmtId="185" fontId="125" fillId="0" borderId="2" xfId="17" applyNumberFormat="1" applyFont="1" applyFill="1" applyBorder="1" applyAlignment="1">
      <alignment horizontal="center" vertical="center" wrapText="1"/>
    </xf>
    <xf numFmtId="0" fontId="80" fillId="0" borderId="10" xfId="18" applyFont="1" applyFill="1" applyBorder="1" applyAlignment="1">
      <alignment horizontal="center" vertical="center" wrapText="1"/>
    </xf>
    <xf numFmtId="195" fontId="80" fillId="0" borderId="2" xfId="18" applyNumberFormat="1" applyFont="1" applyFill="1" applyBorder="1" applyAlignment="1">
      <alignment horizontal="center" vertical="center" wrapText="1"/>
    </xf>
    <xf numFmtId="0" fontId="80" fillId="0" borderId="21" xfId="18" applyFont="1" applyFill="1" applyBorder="1" applyAlignment="1">
      <alignment horizontal="center" vertical="center" wrapText="1"/>
    </xf>
    <xf numFmtId="0" fontId="283" fillId="0" borderId="0" xfId="17" applyFont="1" applyFill="1" applyBorder="1" applyAlignment="1">
      <alignment vertical="center" wrapText="1"/>
    </xf>
    <xf numFmtId="0" fontId="285" fillId="0" borderId="2" xfId="17" applyFont="1" applyFill="1" applyBorder="1" applyAlignment="1">
      <alignment horizontal="center" vertical="center" wrapText="1"/>
    </xf>
    <xf numFmtId="0" fontId="289" fillId="0" borderId="21" xfId="17" applyFont="1" applyFill="1" applyBorder="1" applyAlignment="1">
      <alignment horizontal="center" vertical="center" wrapText="1"/>
    </xf>
    <xf numFmtId="0" fontId="289" fillId="0" borderId="0" xfId="17" applyFont="1" applyFill="1" applyBorder="1" applyAlignment="1">
      <alignment vertical="center" wrapText="1"/>
    </xf>
    <xf numFmtId="0" fontId="289" fillId="0" borderId="2" xfId="17" applyFont="1" applyFill="1" applyBorder="1" applyAlignment="1">
      <alignment horizontal="center" vertical="center" wrapText="1"/>
    </xf>
    <xf numFmtId="0" fontId="286" fillId="0" borderId="0" xfId="17" applyFont="1" applyFill="1" applyBorder="1" applyAlignment="1">
      <alignment vertical="center" wrapText="1"/>
    </xf>
    <xf numFmtId="0" fontId="286" fillId="6" borderId="2" xfId="17" applyFont="1" applyFill="1" applyBorder="1" applyAlignment="1">
      <alignment horizontal="center" vertical="center" wrapText="1"/>
    </xf>
    <xf numFmtId="0" fontId="286" fillId="6" borderId="0" xfId="17" applyFont="1" applyFill="1" applyBorder="1" applyAlignment="1">
      <alignment vertical="center" wrapText="1"/>
    </xf>
    <xf numFmtId="0" fontId="289" fillId="6" borderId="10" xfId="17" applyFont="1" applyFill="1" applyBorder="1" applyAlignment="1">
      <alignment horizontal="center" vertical="center" wrapText="1"/>
    </xf>
    <xf numFmtId="177" fontId="287" fillId="0" borderId="0" xfId="17" applyNumberFormat="1" applyFont="1" applyFill="1" applyBorder="1" applyAlignment="1">
      <alignment horizontal="center" vertical="center" wrapText="1"/>
    </xf>
    <xf numFmtId="177" fontId="203" fillId="0" borderId="0" xfId="17" applyNumberFormat="1" applyFont="1" applyFill="1" applyBorder="1" applyAlignment="1">
      <alignment vertical="center" wrapText="1"/>
    </xf>
    <xf numFmtId="0" fontId="203" fillId="0" borderId="0" xfId="17" applyFont="1" applyFill="1" applyBorder="1" applyAlignment="1">
      <alignment horizontal="center" vertical="center" wrapText="1"/>
    </xf>
    <xf numFmtId="0" fontId="203" fillId="0" borderId="2" xfId="17" applyFont="1" applyFill="1" applyBorder="1" applyAlignment="1">
      <alignment horizontal="center" vertical="center" wrapText="1"/>
    </xf>
    <xf numFmtId="177" fontId="290" fillId="0" borderId="2" xfId="17" applyNumberFormat="1" applyFont="1" applyFill="1" applyBorder="1" applyAlignment="1">
      <alignment horizontal="center" vertical="center" wrapText="1"/>
    </xf>
    <xf numFmtId="177" fontId="290" fillId="0" borderId="0" xfId="17" applyNumberFormat="1" applyFont="1" applyFill="1" applyBorder="1" applyAlignment="1">
      <alignment vertical="center" wrapText="1"/>
    </xf>
    <xf numFmtId="177" fontId="290" fillId="6" borderId="2" xfId="17" applyNumberFormat="1" applyFont="1" applyFill="1" applyBorder="1" applyAlignment="1">
      <alignment horizontal="center" vertical="center" wrapText="1"/>
    </xf>
    <xf numFmtId="0" fontId="240" fillId="0" borderId="2" xfId="17" applyFont="1" applyFill="1" applyBorder="1" applyAlignment="1">
      <alignment horizontal="center" vertical="center" wrapText="1"/>
    </xf>
    <xf numFmtId="0" fontId="283" fillId="0" borderId="0" xfId="17" applyFont="1" applyFill="1" applyBorder="1" applyAlignment="1">
      <alignment horizontal="center" vertical="center" wrapText="1"/>
    </xf>
    <xf numFmtId="177" fontId="283" fillId="0" borderId="0" xfId="17" applyNumberFormat="1" applyFont="1" applyFill="1" applyBorder="1" applyAlignment="1">
      <alignment horizontal="left" vertical="center" wrapText="1"/>
    </xf>
    <xf numFmtId="0" fontId="283" fillId="0" borderId="0" xfId="17" applyFont="1" applyFill="1" applyBorder="1" applyAlignment="1">
      <alignment horizontal="left" vertical="center" wrapText="1"/>
    </xf>
    <xf numFmtId="0" fontId="285" fillId="0" borderId="0" xfId="17" applyFont="1" applyFill="1" applyBorder="1" applyAlignment="1">
      <alignment horizontal="center" vertical="center" wrapText="1"/>
    </xf>
    <xf numFmtId="0" fontId="207" fillId="0" borderId="0" xfId="0" applyFont="1" applyAlignment="1">
      <alignment vertical="center" wrapText="1"/>
    </xf>
    <xf numFmtId="0" fontId="211" fillId="0" borderId="0" xfId="17" applyFont="1" applyFill="1" applyBorder="1" applyAlignment="1">
      <alignment vertical="center" wrapText="1"/>
    </xf>
    <xf numFmtId="0" fontId="294" fillId="21" borderId="165" xfId="0" applyFont="1" applyFill="1" applyBorder="1" applyAlignment="1">
      <alignment horizontal="center" vertical="center" wrapText="1" readingOrder="1"/>
    </xf>
    <xf numFmtId="0" fontId="295" fillId="21" borderId="166" xfId="0" applyFont="1" applyFill="1" applyBorder="1" applyAlignment="1">
      <alignment horizontal="center" vertical="center" wrapText="1" readingOrder="1"/>
    </xf>
    <xf numFmtId="0" fontId="294" fillId="21" borderId="166" xfId="0" applyFont="1" applyFill="1" applyBorder="1" applyAlignment="1">
      <alignment horizontal="center" vertical="center" wrapText="1" readingOrder="1"/>
    </xf>
    <xf numFmtId="0" fontId="297" fillId="0" borderId="171" xfId="0" applyFont="1" applyBorder="1" applyAlignment="1">
      <alignment horizontal="center" vertical="center" wrapText="1" readingOrder="1"/>
    </xf>
    <xf numFmtId="0" fontId="297" fillId="0" borderId="172" xfId="0" applyFont="1" applyBorder="1" applyAlignment="1">
      <alignment horizontal="center" vertical="center" wrapText="1" readingOrder="1"/>
    </xf>
    <xf numFmtId="0" fontId="186" fillId="0" borderId="2" xfId="0" applyFont="1" applyBorder="1" applyAlignment="1">
      <alignment horizontal="center" vertical="center"/>
    </xf>
    <xf numFmtId="0" fontId="0" fillId="0" borderId="2" xfId="0" applyBorder="1" applyAlignment="1">
      <alignment horizontal="center" vertical="center"/>
    </xf>
    <xf numFmtId="0" fontId="0" fillId="0" borderId="2" xfId="0" applyFont="1" applyBorder="1" applyAlignment="1">
      <alignment horizontal="center" vertical="center"/>
    </xf>
    <xf numFmtId="0" fontId="299" fillId="0" borderId="0" xfId="17" applyFont="1" applyFill="1" applyBorder="1" applyAlignment="1">
      <alignment vertical="center" wrapText="1"/>
    </xf>
    <xf numFmtId="9" fontId="0" fillId="0" borderId="0" xfId="0" applyNumberFormat="1">
      <alignment vertical="center"/>
    </xf>
    <xf numFmtId="0" fontId="0" fillId="0" borderId="2" xfId="2" applyFont="1" applyBorder="1">
      <alignment vertical="center"/>
    </xf>
    <xf numFmtId="0" fontId="180" fillId="0" borderId="12" xfId="0" applyFont="1" applyBorder="1" applyAlignment="1" applyProtection="1">
      <alignment horizontal="left" vertical="center" wrapText="1"/>
      <protection locked="0"/>
    </xf>
    <xf numFmtId="0" fontId="180" fillId="0" borderId="50" xfId="0" applyNumberFormat="1" applyFont="1" applyFill="1" applyBorder="1" applyAlignment="1" applyProtection="1">
      <alignment horizontal="left" vertical="center" wrapText="1"/>
      <protection locked="0"/>
    </xf>
    <xf numFmtId="49" fontId="180" fillId="0" borderId="12" xfId="0" applyNumberFormat="1" applyFont="1" applyFill="1" applyBorder="1" applyAlignment="1" applyProtection="1">
      <alignment horizontal="left" vertical="center" wrapText="1"/>
      <protection locked="0"/>
    </xf>
    <xf numFmtId="0" fontId="224" fillId="0" borderId="0" xfId="9" applyFont="1" applyAlignment="1" applyProtection="1">
      <alignment horizontal="left" vertical="top" wrapText="1"/>
    </xf>
    <xf numFmtId="0" fontId="274" fillId="0" borderId="2" xfId="0" applyFont="1" applyFill="1" applyBorder="1" applyAlignment="1" applyProtection="1">
      <alignment horizontal="center" vertical="center" wrapText="1"/>
      <protection locked="0"/>
    </xf>
    <xf numFmtId="0" fontId="274" fillId="0" borderId="2" xfId="0" applyFont="1" applyBorder="1" applyAlignment="1" applyProtection="1">
      <alignment horizontal="center" vertical="center" wrapText="1"/>
      <protection locked="0"/>
    </xf>
    <xf numFmtId="0" fontId="275" fillId="0" borderId="5" xfId="0" applyFont="1" applyBorder="1" applyAlignment="1">
      <alignment horizontal="center" vertical="center" wrapText="1"/>
    </xf>
    <xf numFmtId="0" fontId="275" fillId="0" borderId="8" xfId="0" applyFont="1" applyBorder="1" applyAlignment="1">
      <alignment horizontal="center" vertical="center" wrapText="1"/>
    </xf>
    <xf numFmtId="0" fontId="275" fillId="0" borderId="9" xfId="0" applyFont="1" applyBorder="1" applyAlignment="1">
      <alignment horizontal="center" vertical="center" wrapText="1"/>
    </xf>
    <xf numFmtId="0" fontId="229" fillId="0" borderId="0" xfId="0" applyFont="1" applyAlignment="1">
      <alignment horizontal="center" vertical="center"/>
    </xf>
    <xf numFmtId="0" fontId="234" fillId="0" borderId="2" xfId="0" applyFont="1" applyBorder="1" applyAlignment="1" applyProtection="1">
      <alignment horizontal="center" vertical="center" wrapText="1"/>
      <protection locked="0"/>
    </xf>
    <xf numFmtId="0" fontId="234" fillId="0" borderId="2" xfId="0" applyFont="1" applyBorder="1" applyAlignment="1" applyProtection="1">
      <alignment horizontal="center" vertical="center" wrapText="1"/>
    </xf>
    <xf numFmtId="0" fontId="233" fillId="0" borderId="0" xfId="0" applyFont="1" applyAlignment="1">
      <alignment vertical="center" wrapText="1"/>
    </xf>
    <xf numFmtId="0" fontId="233" fillId="0" borderId="0" xfId="0" applyFont="1" applyAlignment="1" applyProtection="1">
      <alignment vertical="center" wrapText="1"/>
      <protection locked="0"/>
    </xf>
    <xf numFmtId="0" fontId="225" fillId="0" borderId="0" xfId="0" applyFont="1" applyAlignment="1" applyProtection="1">
      <alignment vertical="center" wrapText="1"/>
      <protection locked="0"/>
    </xf>
    <xf numFmtId="0" fontId="233" fillId="0" borderId="0" xfId="0" applyFont="1" applyAlignment="1" applyProtection="1">
      <alignment vertical="center" wrapText="1"/>
    </xf>
    <xf numFmtId="49" fontId="225" fillId="0" borderId="0" xfId="0" applyNumberFormat="1" applyFont="1" applyAlignment="1" applyProtection="1">
      <alignment vertical="center" wrapText="1"/>
      <protection locked="0"/>
    </xf>
    <xf numFmtId="0" fontId="208" fillId="0" borderId="10" xfId="0" applyFont="1" applyBorder="1" applyAlignment="1" applyProtection="1">
      <alignment horizontal="left" vertical="center" wrapText="1"/>
    </xf>
    <xf numFmtId="0" fontId="208" fillId="0" borderId="3" xfId="0" applyFont="1" applyBorder="1" applyAlignment="1" applyProtection="1">
      <alignment horizontal="left" vertical="center" wrapText="1"/>
    </xf>
    <xf numFmtId="0" fontId="208" fillId="0" borderId="21" xfId="0" applyFont="1" applyBorder="1" applyAlignment="1" applyProtection="1">
      <alignment horizontal="left" vertical="center" wrapText="1"/>
    </xf>
    <xf numFmtId="0" fontId="188" fillId="0" borderId="5" xfId="0" applyFont="1" applyBorder="1" applyAlignment="1" applyProtection="1">
      <alignment horizontal="left" vertical="center"/>
    </xf>
    <xf numFmtId="0" fontId="188" fillId="0" borderId="9" xfId="0" applyFont="1" applyBorder="1" applyAlignment="1" applyProtection="1">
      <alignment horizontal="left" vertical="center"/>
    </xf>
    <xf numFmtId="0" fontId="188" fillId="0" borderId="2" xfId="0" applyFont="1" applyBorder="1" applyAlignment="1" applyProtection="1">
      <alignment horizontal="left" vertical="center"/>
    </xf>
    <xf numFmtId="0" fontId="188" fillId="19" borderId="2" xfId="0" applyFont="1" applyFill="1" applyBorder="1" applyAlignment="1" applyProtection="1">
      <alignment horizontal="left" vertical="center"/>
    </xf>
    <xf numFmtId="0" fontId="188" fillId="6" borderId="2" xfId="0" applyFont="1" applyFill="1" applyBorder="1" applyAlignment="1" applyProtection="1">
      <alignment horizontal="left" vertical="center"/>
    </xf>
    <xf numFmtId="0" fontId="50" fillId="0" borderId="5" xfId="0" applyFont="1" applyBorder="1" applyAlignment="1" applyProtection="1">
      <alignment horizontal="left" vertical="center"/>
    </xf>
    <xf numFmtId="0" fontId="188" fillId="0" borderId="10" xfId="0" applyFont="1" applyBorder="1" applyAlignment="1" applyProtection="1">
      <alignment horizontal="left" vertical="center"/>
    </xf>
    <xf numFmtId="0" fontId="188" fillId="0" borderId="3" xfId="0" applyFont="1" applyBorder="1" applyAlignment="1" applyProtection="1">
      <alignment horizontal="left" vertical="center"/>
    </xf>
    <xf numFmtId="0" fontId="268" fillId="0" borderId="2" xfId="9" applyFont="1" applyBorder="1" applyAlignment="1">
      <alignment horizontal="left" vertical="center"/>
    </xf>
    <xf numFmtId="0" fontId="268" fillId="0" borderId="5" xfId="9" applyFont="1" applyBorder="1" applyAlignment="1">
      <alignment horizontal="left" vertical="center"/>
    </xf>
    <xf numFmtId="0" fontId="268" fillId="0" borderId="120" xfId="9" applyFont="1" applyBorder="1" applyAlignment="1">
      <alignment horizontal="left" vertical="center"/>
    </xf>
    <xf numFmtId="0" fontId="269" fillId="6" borderId="5" xfId="9" applyFont="1" applyFill="1" applyBorder="1" applyAlignment="1">
      <alignment horizontal="left" vertical="center"/>
    </xf>
    <xf numFmtId="0" fontId="269" fillId="6" borderId="8" xfId="9" applyFont="1" applyFill="1" applyBorder="1" applyAlignment="1">
      <alignment horizontal="left" vertical="center"/>
    </xf>
    <xf numFmtId="0" fontId="205" fillId="5" borderId="0"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xf>
    <xf numFmtId="0" fontId="76" fillId="5" borderId="21" xfId="0" applyFont="1" applyFill="1" applyBorder="1" applyAlignment="1" applyProtection="1">
      <alignment horizontal="left" vertical="center"/>
    </xf>
    <xf numFmtId="0" fontId="76" fillId="0" borderId="5" xfId="0" applyFont="1" applyBorder="1" applyAlignment="1" applyProtection="1">
      <alignment horizontal="left" vertical="center" wrapText="1"/>
      <protection locked="0"/>
    </xf>
    <xf numFmtId="0" fontId="76" fillId="0" borderId="32" xfId="0" applyFont="1" applyBorder="1" applyAlignment="1" applyProtection="1">
      <alignment horizontal="left" vertical="center" wrapText="1"/>
      <protection locked="0"/>
    </xf>
    <xf numFmtId="0" fontId="76" fillId="5" borderId="10" xfId="0" applyFont="1" applyFill="1" applyBorder="1" applyAlignment="1" applyProtection="1">
      <alignment horizontal="left" vertical="center"/>
    </xf>
    <xf numFmtId="49" fontId="76" fillId="5" borderId="2" xfId="0" applyNumberFormat="1" applyFont="1" applyFill="1" applyBorder="1" applyAlignment="1" applyProtection="1">
      <alignment horizontal="center" vertical="center" wrapText="1"/>
    </xf>
    <xf numFmtId="0" fontId="76" fillId="8" borderId="5" xfId="0" applyFont="1" applyFill="1" applyBorder="1" applyAlignment="1" applyProtection="1">
      <alignment horizontal="left" vertical="center" wrapText="1"/>
      <protection locked="0"/>
    </xf>
    <xf numFmtId="0" fontId="76" fillId="8" borderId="8" xfId="0" applyFont="1" applyFill="1" applyBorder="1" applyAlignment="1" applyProtection="1">
      <alignment horizontal="left" vertical="center" wrapText="1"/>
      <protection locked="0"/>
    </xf>
    <xf numFmtId="0" fontId="76" fillId="8" borderId="9" xfId="0" applyFont="1" applyFill="1" applyBorder="1" applyAlignment="1" applyProtection="1">
      <alignment horizontal="left" vertical="center" wrapText="1"/>
      <protection locked="0"/>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6" fillId="8" borderId="2" xfId="0" applyFont="1" applyFill="1" applyBorder="1" applyAlignment="1" applyProtection="1">
      <alignment vertical="center" wrapText="1"/>
      <protection locked="0"/>
    </xf>
    <xf numFmtId="0" fontId="76" fillId="0" borderId="2" xfId="0" applyFont="1" applyBorder="1" applyAlignment="1" applyProtection="1">
      <alignment vertical="center" wrapText="1"/>
      <protection locked="0"/>
    </xf>
    <xf numFmtId="0" fontId="76" fillId="0" borderId="2" xfId="0" applyFont="1" applyBorder="1" applyAlignment="1" applyProtection="1">
      <alignment horizontal="center" vertical="center" wrapText="1"/>
    </xf>
    <xf numFmtId="0" fontId="76" fillId="5" borderId="13" xfId="0" applyFont="1" applyFill="1" applyBorder="1" applyAlignment="1" applyProtection="1">
      <alignment horizontal="center" vertical="center" wrapText="1"/>
    </xf>
    <xf numFmtId="0" fontId="76" fillId="5" borderId="48" xfId="0" applyFont="1" applyFill="1" applyBorder="1" applyAlignment="1" applyProtection="1">
      <alignment vertical="center" wrapText="1"/>
    </xf>
    <xf numFmtId="0" fontId="76" fillId="5" borderId="36" xfId="0" applyFont="1" applyFill="1" applyBorder="1" applyAlignment="1" applyProtection="1">
      <alignment vertical="center" wrapText="1"/>
    </xf>
    <xf numFmtId="0" fontId="76" fillId="5" borderId="37" xfId="0" applyFont="1" applyFill="1" applyBorder="1" applyAlignment="1" applyProtection="1">
      <alignment vertical="center" wrapText="1"/>
    </xf>
    <xf numFmtId="0" fontId="225" fillId="8" borderId="5" xfId="0" applyFont="1" applyFill="1" applyBorder="1" applyAlignment="1" applyProtection="1">
      <alignment vertical="center" wrapText="1"/>
      <protection locked="0"/>
    </xf>
    <xf numFmtId="0" fontId="225" fillId="8" borderId="8" xfId="0" applyFont="1" applyFill="1" applyBorder="1" applyAlignment="1" applyProtection="1">
      <alignment vertical="center" wrapText="1"/>
      <protection locked="0"/>
    </xf>
    <xf numFmtId="0" fontId="225" fillId="8" borderId="9" xfId="0" applyFont="1" applyFill="1" applyBorder="1" applyAlignment="1" applyProtection="1">
      <alignment vertical="center" wrapText="1"/>
      <protection locked="0"/>
    </xf>
    <xf numFmtId="0" fontId="76" fillId="17" borderId="10" xfId="0" applyFont="1" applyFill="1" applyBorder="1" applyAlignment="1" applyProtection="1">
      <alignment horizontal="center" vertical="center" wrapText="1"/>
    </xf>
    <xf numFmtId="0" fontId="76" fillId="17" borderId="128" xfId="0" applyFont="1" applyFill="1" applyBorder="1" applyAlignment="1" applyProtection="1">
      <alignment horizontal="center" vertical="center" wrapText="1"/>
    </xf>
    <xf numFmtId="49" fontId="225" fillId="8" borderId="5" xfId="0" applyNumberFormat="1" applyFont="1" applyFill="1" applyBorder="1" applyAlignment="1" applyProtection="1">
      <alignment horizontal="left" vertical="center"/>
      <protection locked="0"/>
    </xf>
    <xf numFmtId="49" fontId="225" fillId="8" borderId="8" xfId="0" applyNumberFormat="1" applyFont="1" applyFill="1" applyBorder="1" applyAlignment="1" applyProtection="1">
      <alignment horizontal="left" vertical="center"/>
      <protection locked="0"/>
    </xf>
    <xf numFmtId="49" fontId="225" fillId="8" borderId="9" xfId="0" applyNumberFormat="1" applyFont="1" applyFill="1" applyBorder="1" applyAlignment="1" applyProtection="1">
      <alignment horizontal="left" vertical="center"/>
      <protection locked="0"/>
    </xf>
    <xf numFmtId="0" fontId="76" fillId="5" borderId="41" xfId="0" applyFont="1" applyFill="1" applyBorder="1" applyAlignment="1" applyProtection="1">
      <alignment horizontal="center" vertical="center"/>
    </xf>
    <xf numFmtId="0" fontId="76" fillId="5" borderId="7" xfId="0" applyFont="1" applyFill="1" applyBorder="1" applyAlignment="1" applyProtection="1">
      <alignment horizontal="center" vertical="center"/>
    </xf>
    <xf numFmtId="0" fontId="76" fillId="5" borderId="58"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10" xfId="0" applyFont="1" applyFill="1" applyBorder="1" applyAlignment="1" applyProtection="1">
      <alignment horizontal="left" vertical="center" wrapText="1"/>
    </xf>
    <xf numFmtId="0" fontId="76" fillId="5" borderId="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80" fontId="76" fillId="8" borderId="5" xfId="0" applyNumberFormat="1" applyFont="1" applyFill="1" applyBorder="1" applyAlignment="1" applyProtection="1">
      <alignment horizontal="center" vertical="center" wrapText="1"/>
      <protection locked="0"/>
    </xf>
    <xf numFmtId="180" fontId="76" fillId="8" borderId="8" xfId="0" applyNumberFormat="1" applyFont="1" applyFill="1" applyBorder="1" applyAlignment="1" applyProtection="1">
      <alignment horizontal="center" vertical="center" wrapText="1"/>
      <protection locked="0"/>
    </xf>
    <xf numFmtId="180" fontId="76" fillId="8" borderId="9" xfId="0" applyNumberFormat="1" applyFont="1" applyFill="1" applyBorder="1" applyAlignment="1" applyProtection="1">
      <alignment horizontal="center" vertical="center" wrapText="1"/>
      <protection locked="0"/>
    </xf>
    <xf numFmtId="0" fontId="225" fillId="8" borderId="5" xfId="0" applyFont="1" applyFill="1" applyBorder="1" applyAlignment="1" applyProtection="1">
      <alignment vertical="center"/>
      <protection locked="0"/>
    </xf>
    <xf numFmtId="0" fontId="225" fillId="8" borderId="8" xfId="0" applyFont="1" applyFill="1" applyBorder="1" applyAlignment="1" applyProtection="1">
      <alignment vertical="center"/>
      <protection locked="0"/>
    </xf>
    <xf numFmtId="0" fontId="225" fillId="8" borderId="9" xfId="0" applyFont="1" applyFill="1" applyBorder="1" applyAlignment="1" applyProtection="1">
      <alignment vertical="center"/>
      <protection locked="0"/>
    </xf>
    <xf numFmtId="0" fontId="76" fillId="2" borderId="17" xfId="0" applyFont="1" applyFill="1" applyBorder="1" applyAlignment="1" applyProtection="1">
      <alignment horizontal="left" vertical="center" wrapText="1"/>
      <protection locked="0"/>
    </xf>
    <xf numFmtId="0" fontId="76" fillId="2" borderId="20" xfId="0" applyFont="1" applyFill="1" applyBorder="1" applyAlignment="1" applyProtection="1">
      <alignment horizontal="left" vertical="center" wrapText="1"/>
      <protection locked="0"/>
    </xf>
    <xf numFmtId="0" fontId="16" fillId="0" borderId="2" xfId="0" applyFont="1" applyFill="1" applyBorder="1" applyAlignment="1" applyProtection="1">
      <alignment horizontal="center" vertical="center" wrapText="1"/>
    </xf>
    <xf numFmtId="0" fontId="187" fillId="0" borderId="2" xfId="0" applyFont="1" applyBorder="1" applyAlignment="1">
      <alignment horizontal="center" vertical="center" wrapText="1"/>
    </xf>
    <xf numFmtId="0" fontId="17" fillId="5" borderId="52" xfId="0" applyFont="1" applyFill="1" applyBorder="1" applyAlignment="1" applyProtection="1">
      <alignment horizontal="center" vertical="center"/>
    </xf>
    <xf numFmtId="0" fontId="17" fillId="5" borderId="27" xfId="0" applyFont="1" applyFill="1" applyBorder="1" applyAlignment="1" applyProtection="1">
      <alignment horizontal="center" vertical="center"/>
    </xf>
    <xf numFmtId="0" fontId="17" fillId="5" borderId="40" xfId="0" applyFont="1" applyFill="1" applyBorder="1" applyAlignment="1" applyProtection="1">
      <alignment horizontal="center" vertical="center"/>
    </xf>
    <xf numFmtId="0" fontId="15" fillId="5" borderId="1" xfId="0" applyFont="1" applyFill="1" applyBorder="1" applyAlignment="1" applyProtection="1">
      <alignment horizontal="center" vertical="center"/>
    </xf>
    <xf numFmtId="0" fontId="15" fillId="5" borderId="6" xfId="0" applyFont="1" applyFill="1" applyBorder="1" applyAlignment="1" applyProtection="1">
      <alignment horizontal="center" vertical="center"/>
    </xf>
    <xf numFmtId="0" fontId="15" fillId="5" borderId="7"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69" fillId="5" borderId="30" xfId="0" applyFont="1" applyFill="1" applyBorder="1" applyAlignment="1" applyProtection="1">
      <alignment horizontal="center" vertical="center"/>
    </xf>
    <xf numFmtId="0" fontId="69" fillId="5" borderId="41"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58" xfId="0" applyFont="1" applyFill="1" applyBorder="1" applyAlignment="1" applyProtection="1">
      <alignment horizontal="center" vertical="center"/>
    </xf>
    <xf numFmtId="0" fontId="73" fillId="5" borderId="30" xfId="0" applyFont="1" applyFill="1" applyBorder="1" applyAlignment="1" applyProtection="1">
      <alignment horizontal="center" vertical="center"/>
    </xf>
    <xf numFmtId="0" fontId="73" fillId="5" borderId="41" xfId="0" applyFont="1" applyFill="1" applyBorder="1" applyAlignment="1" applyProtection="1">
      <alignment horizontal="center" vertical="center"/>
    </xf>
    <xf numFmtId="0" fontId="69" fillId="5" borderId="2" xfId="0" applyFont="1" applyFill="1" applyBorder="1" applyAlignment="1" applyProtection="1">
      <alignment horizontal="center" vertical="center"/>
    </xf>
    <xf numFmtId="0" fontId="60" fillId="5" borderId="129" xfId="0" applyFont="1" applyFill="1" applyBorder="1" applyAlignment="1" applyProtection="1">
      <alignment horizontal="left" vertical="center"/>
    </xf>
    <xf numFmtId="0" fontId="60" fillId="5" borderId="125" xfId="0" applyFont="1" applyFill="1" applyBorder="1" applyAlignment="1" applyProtection="1">
      <alignment horizontal="left" vertical="center"/>
    </xf>
    <xf numFmtId="0" fontId="214" fillId="5" borderId="34" xfId="0" applyFont="1" applyFill="1" applyBorder="1" applyAlignment="1" applyProtection="1">
      <alignment horizontal="center" vertical="center" wrapText="1"/>
    </xf>
    <xf numFmtId="0" fontId="214" fillId="5" borderId="82" xfId="0" applyFont="1" applyFill="1" applyBorder="1" applyAlignment="1" applyProtection="1">
      <alignment horizontal="center" vertical="center" wrapText="1"/>
    </xf>
    <xf numFmtId="0" fontId="214" fillId="5" borderId="83" xfId="0" applyFont="1" applyFill="1" applyBorder="1" applyAlignment="1" applyProtection="1">
      <alignment horizontal="center" vertical="center" wrapText="1"/>
    </xf>
    <xf numFmtId="0" fontId="69" fillId="0" borderId="10" xfId="0" applyFont="1" applyBorder="1" applyAlignment="1" applyProtection="1">
      <alignment horizontal="center" vertical="center"/>
      <protection locked="0"/>
    </xf>
    <xf numFmtId="0" fontId="69" fillId="0" borderId="21" xfId="0" applyFont="1" applyBorder="1" applyAlignment="1" applyProtection="1">
      <alignment horizontal="center" vertical="center"/>
      <protection locked="0"/>
    </xf>
    <xf numFmtId="0" fontId="69" fillId="5" borderId="2" xfId="0" applyFont="1" applyFill="1" applyBorder="1" applyAlignment="1" applyProtection="1">
      <alignment horizontal="center" vertical="center" wrapText="1"/>
    </xf>
    <xf numFmtId="0" fontId="69" fillId="0" borderId="3"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0" fontId="244" fillId="5" borderId="13" xfId="0" applyFont="1" applyFill="1" applyBorder="1" applyAlignment="1" applyProtection="1">
      <alignment horizontal="left" vertical="center" wrapText="1"/>
    </xf>
    <xf numFmtId="0" fontId="244" fillId="5" borderId="0" xfId="0" applyFont="1" applyFill="1" applyAlignment="1" applyProtection="1">
      <alignment horizontal="left" vertical="center" wrapText="1"/>
    </xf>
    <xf numFmtId="0" fontId="192" fillId="0" borderId="35" xfId="0" applyFont="1" applyBorder="1" applyAlignment="1" applyProtection="1">
      <alignment horizontal="center" vertical="center"/>
      <protection locked="0"/>
    </xf>
    <xf numFmtId="0" fontId="192" fillId="0" borderId="36" xfId="0" applyFont="1" applyBorder="1" applyAlignment="1" applyProtection="1">
      <alignment horizontal="center" vertical="center"/>
      <protection locked="0"/>
    </xf>
    <xf numFmtId="0" fontId="192" fillId="0" borderId="60" xfId="0" applyFont="1" applyBorder="1" applyAlignment="1" applyProtection="1">
      <alignment horizontal="center" vertical="center"/>
      <protection locked="0"/>
    </xf>
    <xf numFmtId="0" fontId="192" fillId="0" borderId="37" xfId="0" applyFont="1" applyBorder="1" applyAlignment="1" applyProtection="1">
      <alignment horizontal="center" vertical="center"/>
      <protection locked="0"/>
    </xf>
    <xf numFmtId="0" fontId="69" fillId="5" borderId="2"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74" fillId="5" borderId="8"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247" fillId="5" borderId="151" xfId="0" applyFont="1" applyFill="1" applyBorder="1" applyAlignment="1" applyProtection="1">
      <alignment horizontal="center" vertical="center"/>
    </xf>
    <xf numFmtId="0" fontId="74" fillId="5" borderId="87" xfId="0" applyFont="1" applyFill="1" applyBorder="1" applyAlignment="1" applyProtection="1">
      <alignment horizontal="center" vertical="center"/>
    </xf>
    <xf numFmtId="0" fontId="74" fillId="5" borderId="19" xfId="0" applyFont="1" applyFill="1" applyBorder="1" applyAlignment="1" applyProtection="1">
      <alignment horizontal="center" vertical="center"/>
    </xf>
    <xf numFmtId="0" fontId="74" fillId="5" borderId="5"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wrapText="1"/>
    </xf>
    <xf numFmtId="0" fontId="74" fillId="5" borderId="9" xfId="0" applyFont="1" applyFill="1" applyBorder="1" applyAlignment="1" applyProtection="1">
      <alignment horizontal="center" vertical="center" wrapText="1"/>
    </xf>
    <xf numFmtId="0" fontId="74" fillId="5" borderId="22" xfId="0" applyFont="1" applyFill="1" applyBorder="1" applyAlignment="1" applyProtection="1">
      <alignment horizontal="left" vertical="center" wrapText="1"/>
    </xf>
    <xf numFmtId="0" fontId="74" fillId="5" borderId="2" xfId="0" applyFont="1" applyFill="1" applyBorder="1" applyAlignment="1" applyProtection="1">
      <alignment horizontal="left" vertical="center" wrapText="1"/>
    </xf>
    <xf numFmtId="10" fontId="47" fillId="5" borderId="5" xfId="0" applyNumberFormat="1" applyFont="1" applyFill="1" applyBorder="1" applyAlignment="1" applyProtection="1">
      <alignment horizontal="left"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10" fontId="74" fillId="5" borderId="5" xfId="0" applyNumberFormat="1" applyFont="1" applyFill="1" applyBorder="1" applyAlignment="1" applyProtection="1">
      <alignment horizontal="left" vertical="center" wrapText="1"/>
    </xf>
    <xf numFmtId="0" fontId="73" fillId="5" borderId="64"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83" fillId="5" borderId="58" xfId="0" applyFont="1" applyFill="1" applyBorder="1" applyAlignment="1" applyProtection="1">
      <alignment horizontal="center" vertical="center" wrapText="1"/>
    </xf>
    <xf numFmtId="0" fontId="83" fillId="5" borderId="30" xfId="0" applyFont="1" applyFill="1" applyBorder="1" applyAlignment="1" applyProtection="1">
      <alignment horizontal="center" vertical="center" wrapText="1"/>
    </xf>
    <xf numFmtId="0" fontId="83" fillId="5" borderId="56" xfId="0" applyFont="1" applyFill="1" applyBorder="1" applyAlignment="1" applyProtection="1">
      <alignment horizontal="center" vertical="center" wrapText="1"/>
    </xf>
    <xf numFmtId="0" fontId="73" fillId="6" borderId="8" xfId="0" applyFont="1" applyFill="1" applyBorder="1" applyAlignment="1" applyProtection="1">
      <alignment vertical="center"/>
    </xf>
    <xf numFmtId="0" fontId="73" fillId="6" borderId="9" xfId="0" applyFont="1" applyFill="1" applyBorder="1" applyAlignment="1" applyProtection="1">
      <alignment vertical="center"/>
    </xf>
    <xf numFmtId="0" fontId="83" fillId="5" borderId="60" xfId="0" applyFont="1" applyFill="1" applyBorder="1" applyAlignment="1" applyProtection="1">
      <alignment horizontal="center" vertical="center"/>
    </xf>
    <xf numFmtId="0" fontId="93" fillId="5" borderId="1" xfId="0" applyFont="1" applyFill="1" applyBorder="1" applyAlignment="1" applyProtection="1">
      <alignment horizontal="center" vertical="center" wrapText="1"/>
    </xf>
    <xf numFmtId="0" fontId="93" fillId="5" borderId="6" xfId="0" applyFont="1" applyFill="1" applyBorder="1" applyAlignment="1" applyProtection="1">
      <alignment horizontal="center" vertical="center" wrapText="1"/>
    </xf>
    <xf numFmtId="0" fontId="83" fillId="5" borderId="4" xfId="0" applyFont="1" applyFill="1" applyBorder="1" applyAlignment="1" applyProtection="1">
      <alignment horizontal="left" vertical="center" wrapText="1"/>
    </xf>
    <xf numFmtId="0" fontId="83" fillId="5" borderId="14" xfId="0" applyFont="1" applyFill="1" applyBorder="1" applyAlignment="1" applyProtection="1">
      <alignment horizontal="left" vertical="center" wrapText="1"/>
    </xf>
    <xf numFmtId="0" fontId="83" fillId="5" borderId="32" xfId="0" applyFont="1" applyFill="1" applyBorder="1" applyAlignment="1" applyProtection="1">
      <alignment horizontal="left" vertical="center" wrapText="1"/>
    </xf>
    <xf numFmtId="0" fontId="74" fillId="5" borderId="25" xfId="0" applyFont="1" applyFill="1" applyBorder="1" applyAlignment="1" applyProtection="1">
      <alignment horizontal="center" vertical="center"/>
    </xf>
    <xf numFmtId="0" fontId="74" fillId="5" borderId="51" xfId="0" applyFont="1" applyFill="1" applyBorder="1" applyAlignment="1" applyProtection="1">
      <alignment horizontal="center" vertical="center"/>
    </xf>
    <xf numFmtId="0" fontId="74" fillId="5" borderId="50" xfId="0" applyFont="1" applyFill="1" applyBorder="1" applyAlignment="1" applyProtection="1">
      <alignment horizontal="center" vertical="center"/>
    </xf>
    <xf numFmtId="10" fontId="80" fillId="5" borderId="2" xfId="0" applyNumberFormat="1" applyFont="1" applyFill="1" applyBorder="1" applyAlignment="1" applyProtection="1">
      <alignment horizontal="left" vertical="center" wrapText="1"/>
    </xf>
    <xf numFmtId="10" fontId="74" fillId="5" borderId="2" xfId="0" applyNumberFormat="1" applyFont="1" applyFill="1" applyBorder="1" applyAlignment="1" applyProtection="1">
      <alignment horizontal="left" vertical="center" wrapText="1"/>
    </xf>
    <xf numFmtId="0" fontId="74" fillId="5" borderId="11" xfId="0" applyFont="1" applyFill="1" applyBorder="1" applyAlignment="1" applyProtection="1">
      <alignment horizontal="left" vertical="center" wrapText="1"/>
    </xf>
    <xf numFmtId="0" fontId="73" fillId="5" borderId="52"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73" fillId="5" borderId="23" xfId="0" applyFont="1" applyFill="1" applyBorder="1" applyAlignment="1" applyProtection="1">
      <alignment horizontal="left" vertical="center" wrapText="1"/>
    </xf>
    <xf numFmtId="0" fontId="74" fillId="5" borderId="42" xfId="0" applyFont="1" applyFill="1" applyBorder="1" applyAlignment="1" applyProtection="1">
      <alignment horizontal="left" vertical="center" wrapText="1"/>
    </xf>
    <xf numFmtId="0" fontId="74" fillId="5" borderId="43"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3" fillId="5" borderId="49" xfId="0" applyFont="1" applyFill="1" applyBorder="1" applyAlignment="1" applyProtection="1">
      <alignment horizontal="left" vertical="center" wrapText="1"/>
    </xf>
    <xf numFmtId="0" fontId="73" fillId="5" borderId="11" xfId="0" applyFont="1" applyFill="1" applyBorder="1" applyAlignment="1" applyProtection="1">
      <alignment horizontal="left" vertical="center"/>
    </xf>
    <xf numFmtId="0" fontId="73" fillId="5" borderId="2" xfId="0" applyFont="1" applyFill="1" applyBorder="1" applyAlignment="1" applyProtection="1">
      <alignment horizontal="left" vertical="center"/>
    </xf>
    <xf numFmtId="0" fontId="73" fillId="5" borderId="42" xfId="0" applyFont="1" applyFill="1" applyBorder="1" applyAlignment="1" applyProtection="1">
      <alignment horizontal="left" vertical="center" wrapText="1"/>
      <protection locked="0"/>
    </xf>
    <xf numFmtId="0" fontId="73" fillId="5" borderId="43" xfId="0" applyFont="1" applyFill="1" applyBorder="1" applyAlignment="1" applyProtection="1">
      <alignment horizontal="left" vertical="center" wrapText="1"/>
      <protection locked="0"/>
    </xf>
    <xf numFmtId="0" fontId="93" fillId="5" borderId="31" xfId="0" applyFont="1" applyFill="1" applyBorder="1" applyAlignment="1" applyProtection="1">
      <alignment horizontal="center" vertical="center" wrapText="1"/>
    </xf>
    <xf numFmtId="0" fontId="93" fillId="5" borderId="0" xfId="0" applyFont="1" applyFill="1" applyBorder="1" applyAlignment="1" applyProtection="1">
      <alignment horizontal="center" vertical="center" wrapText="1"/>
    </xf>
    <xf numFmtId="0" fontId="201"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205" fillId="5" borderId="71" xfId="0" applyFont="1" applyFill="1" applyBorder="1" applyAlignment="1" applyProtection="1">
      <alignment horizontal="center" vertical="center" wrapText="1"/>
    </xf>
    <xf numFmtId="0" fontId="205" fillId="5" borderId="84" xfId="0" applyFont="1" applyFill="1" applyBorder="1" applyAlignment="1" applyProtection="1">
      <alignment horizontal="center" vertical="center" wrapText="1"/>
    </xf>
    <xf numFmtId="0" fontId="191" fillId="5" borderId="2" xfId="0" applyFont="1" applyFill="1" applyBorder="1" applyAlignment="1" applyProtection="1">
      <alignment horizontal="center" vertical="center" wrapText="1"/>
    </xf>
    <xf numFmtId="0" fontId="205" fillId="5" borderId="2" xfId="0" applyFont="1" applyFill="1" applyBorder="1" applyAlignment="1" applyProtection="1">
      <alignment horizontal="center" vertical="center" wrapText="1"/>
    </xf>
    <xf numFmtId="0" fontId="276" fillId="5" borderId="35" xfId="0" applyFont="1" applyFill="1" applyBorder="1" applyAlignment="1" applyProtection="1">
      <alignment horizontal="center" vertical="center" wrapText="1"/>
    </xf>
    <xf numFmtId="0" fontId="276" fillId="5" borderId="36" xfId="0" applyFont="1" applyFill="1" applyBorder="1" applyAlignment="1" applyProtection="1">
      <alignment horizontal="center" vertical="center" wrapText="1"/>
    </xf>
    <xf numFmtId="0" fontId="276" fillId="5" borderId="37" xfId="0" applyFont="1" applyFill="1" applyBorder="1" applyAlignment="1" applyProtection="1">
      <alignment horizontal="center" vertical="center" wrapText="1"/>
    </xf>
    <xf numFmtId="0" fontId="196" fillId="5" borderId="2" xfId="0" applyFont="1" applyFill="1" applyBorder="1" applyAlignment="1" applyProtection="1">
      <alignment horizontal="center" vertical="center" wrapText="1"/>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96" fillId="5" borderId="21" xfId="0" applyFont="1" applyFill="1" applyBorder="1" applyAlignment="1" applyProtection="1">
      <alignment horizontal="center" vertical="center" wrapText="1"/>
    </xf>
    <xf numFmtId="0" fontId="196" fillId="5" borderId="17" xfId="0" applyFont="1" applyFill="1" applyBorder="1" applyAlignment="1" applyProtection="1">
      <alignment horizontal="center" vertical="center" wrapText="1"/>
    </xf>
    <xf numFmtId="0" fontId="191" fillId="5" borderId="10" xfId="0" applyFont="1" applyFill="1" applyBorder="1" applyAlignment="1" applyProtection="1">
      <alignment horizontal="center" vertical="center" wrapText="1"/>
    </xf>
    <xf numFmtId="0" fontId="191"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96" fillId="5" borderId="10" xfId="0" applyFont="1" applyFill="1" applyBorder="1" applyAlignment="1" applyProtection="1">
      <alignment horizontal="center" vertical="center" wrapText="1"/>
    </xf>
    <xf numFmtId="0" fontId="206" fillId="5" borderId="21" xfId="0" applyFont="1" applyFill="1" applyBorder="1" applyAlignment="1" applyProtection="1">
      <alignment horizontal="center" vertical="center" wrapText="1"/>
    </xf>
    <xf numFmtId="0" fontId="82" fillId="5" borderId="10"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82" fillId="5" borderId="21" xfId="0" applyFont="1" applyFill="1" applyBorder="1" applyAlignment="1" applyProtection="1">
      <alignment horizontal="center" vertical="center"/>
    </xf>
    <xf numFmtId="0" fontId="82" fillId="5" borderId="1" xfId="0" applyFont="1" applyFill="1" applyBorder="1" applyAlignment="1" applyProtection="1">
      <alignment horizontal="center" vertical="center" wrapText="1"/>
    </xf>
    <xf numFmtId="0" fontId="82" fillId="5" borderId="7" xfId="0" applyFont="1" applyFill="1" applyBorder="1" applyAlignment="1" applyProtection="1">
      <alignment horizontal="center" vertical="center" wrapText="1"/>
    </xf>
    <xf numFmtId="0" fontId="82" fillId="5" borderId="41" xfId="0" applyFont="1" applyFill="1" applyBorder="1" applyAlignment="1" applyProtection="1">
      <alignment horizontal="center" vertical="center" wrapText="1"/>
    </xf>
    <xf numFmtId="0" fontId="82" fillId="5" borderId="29" xfId="0" applyFont="1" applyFill="1" applyBorder="1" applyAlignment="1" applyProtection="1">
      <alignment horizontal="center" vertical="center" wrapText="1"/>
    </xf>
    <xf numFmtId="0" fontId="82" fillId="5" borderId="4" xfId="0" applyFont="1" applyFill="1" applyBorder="1" applyAlignment="1" applyProtection="1">
      <alignment horizontal="center" vertical="center" wrapText="1"/>
    </xf>
    <xf numFmtId="0" fontId="82" fillId="5" borderId="32" xfId="0" applyFont="1" applyFill="1" applyBorder="1" applyAlignment="1" applyProtection="1">
      <alignment horizontal="center" vertical="center" wrapText="1"/>
    </xf>
    <xf numFmtId="0" fontId="82" fillId="5" borderId="13" xfId="0" applyFont="1" applyFill="1" applyBorder="1" applyAlignment="1" applyProtection="1">
      <alignment horizontal="center" vertical="center" wrapText="1"/>
    </xf>
    <xf numFmtId="0" fontId="82" fillId="5" borderId="18"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wrapText="1"/>
    </xf>
    <xf numFmtId="0" fontId="82" fillId="5" borderId="20" xfId="0" applyFont="1" applyFill="1" applyBorder="1" applyAlignment="1" applyProtection="1">
      <alignment horizontal="center" vertical="center" wrapText="1"/>
    </xf>
    <xf numFmtId="0" fontId="82" fillId="5" borderId="4" xfId="0" applyFont="1" applyFill="1" applyBorder="1" applyAlignment="1" applyProtection="1">
      <alignment horizontal="center" vertical="center"/>
    </xf>
    <xf numFmtId="0" fontId="82" fillId="5" borderId="32" xfId="0" applyFont="1" applyFill="1" applyBorder="1" applyAlignment="1" applyProtection="1">
      <alignment horizontal="center" vertical="center"/>
    </xf>
    <xf numFmtId="0" fontId="82" fillId="5" borderId="13"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17" xfId="0" applyFont="1" applyFill="1" applyBorder="1" applyAlignment="1" applyProtection="1">
      <alignment horizontal="center" vertical="center"/>
    </xf>
    <xf numFmtId="0" fontId="82" fillId="5" borderId="20" xfId="0"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271" fillId="0" borderId="9" xfId="0" applyFont="1" applyFill="1" applyBorder="1" applyAlignment="1" applyProtection="1">
      <alignment horizontal="center" vertical="center" wrapText="1"/>
      <protection locked="0"/>
    </xf>
    <xf numFmtId="0" fontId="271" fillId="0" borderId="5" xfId="0" applyFont="1" applyFill="1" applyBorder="1" applyAlignment="1" applyProtection="1">
      <alignment horizontal="center" vertical="center" wrapText="1"/>
      <protection locked="0"/>
    </xf>
    <xf numFmtId="0" fontId="271" fillId="0" borderId="11" xfId="0" applyFont="1" applyFill="1" applyBorder="1" applyAlignment="1" applyProtection="1">
      <alignment horizontal="center" vertical="center" wrapText="1"/>
      <protection locked="0"/>
    </xf>
    <xf numFmtId="0" fontId="271" fillId="0" borderId="12" xfId="0" applyFont="1" applyFill="1" applyBorder="1" applyAlignment="1" applyProtection="1">
      <alignment horizontal="center" vertical="center" wrapText="1"/>
      <protection locked="0"/>
    </xf>
    <xf numFmtId="0" fontId="271" fillId="0" borderId="22" xfId="0" applyFont="1" applyFill="1" applyBorder="1" applyAlignment="1" applyProtection="1">
      <alignment horizontal="center" vertical="center" wrapText="1"/>
      <protection locked="0"/>
    </xf>
    <xf numFmtId="0" fontId="271" fillId="0" borderId="25" xfId="0" applyFont="1" applyFill="1" applyBorder="1" applyAlignment="1" applyProtection="1">
      <alignment horizontal="center" vertical="center" wrapText="1"/>
      <protection locked="0"/>
    </xf>
    <xf numFmtId="0" fontId="271" fillId="0" borderId="32" xfId="0" applyFont="1" applyFill="1" applyBorder="1" applyAlignment="1" applyProtection="1">
      <alignment horizontal="center" vertical="center" wrapText="1"/>
      <protection locked="0"/>
    </xf>
    <xf numFmtId="0" fontId="271" fillId="0" borderId="4" xfId="0" applyFont="1" applyFill="1" applyBorder="1" applyAlignment="1" applyProtection="1">
      <alignment horizontal="center" vertical="center" wrapText="1"/>
      <protection locked="0"/>
    </xf>
    <xf numFmtId="0" fontId="82" fillId="5" borderId="10" xfId="0" applyFont="1" applyFill="1" applyBorder="1" applyAlignment="1" applyProtection="1">
      <alignment horizontal="center" vertical="center" wrapText="1"/>
    </xf>
    <xf numFmtId="0" fontId="82" fillId="5" borderId="3" xfId="0" applyFont="1" applyFill="1" applyBorder="1" applyAlignment="1" applyProtection="1">
      <alignment horizontal="center" vertical="center" wrapText="1"/>
    </xf>
    <xf numFmtId="0" fontId="69" fillId="5" borderId="5" xfId="0" applyFont="1" applyFill="1" applyBorder="1" applyAlignment="1" applyProtection="1">
      <alignment horizontal="center" vertical="center"/>
    </xf>
    <xf numFmtId="0" fontId="69" fillId="5" borderId="9" xfId="0" applyFont="1" applyFill="1" applyBorder="1" applyAlignment="1" applyProtection="1">
      <alignment horizontal="center" vertical="center"/>
    </xf>
    <xf numFmtId="0" fontId="69" fillId="5" borderId="8" xfId="0" applyFont="1" applyFill="1" applyBorder="1" applyAlignment="1" applyProtection="1">
      <alignment horizontal="center" vertical="center"/>
    </xf>
    <xf numFmtId="0" fontId="82" fillId="5" borderId="3" xfId="0" applyFont="1" applyFill="1" applyBorder="1" applyAlignment="1" applyProtection="1">
      <alignment horizontal="center" vertical="center" textRotation="255" wrapText="1"/>
    </xf>
    <xf numFmtId="0" fontId="82" fillId="5" borderId="2" xfId="0" applyFont="1" applyFill="1" applyBorder="1" applyAlignment="1" applyProtection="1">
      <alignment horizontal="center" vertical="center" wrapText="1"/>
    </xf>
    <xf numFmtId="0" fontId="82" fillId="5" borderId="10" xfId="0" applyFont="1" applyFill="1" applyBorder="1" applyAlignment="1" applyProtection="1">
      <alignment horizontal="center" vertical="center" textRotation="255" wrapText="1"/>
    </xf>
    <xf numFmtId="0" fontId="191" fillId="5" borderId="11" xfId="0" applyFont="1" applyFill="1" applyBorder="1" applyAlignment="1" applyProtection="1">
      <alignment horizontal="center" vertical="center"/>
    </xf>
    <xf numFmtId="0" fontId="82" fillId="5" borderId="5" xfId="0" applyFont="1" applyFill="1" applyBorder="1" applyAlignment="1" applyProtection="1">
      <alignment horizontal="center" vertical="center" wrapText="1"/>
    </xf>
    <xf numFmtId="0" fontId="82" fillId="5" borderId="9" xfId="0" applyFont="1" applyFill="1" applyBorder="1" applyAlignment="1" applyProtection="1">
      <alignment horizontal="center" vertical="center" wrapText="1"/>
    </xf>
    <xf numFmtId="185" fontId="81" fillId="5" borderId="2" xfId="0" applyNumberFormat="1" applyFont="1" applyFill="1" applyBorder="1" applyAlignment="1" applyProtection="1">
      <alignment horizontal="center" vertical="center"/>
    </xf>
    <xf numFmtId="185" fontId="82" fillId="5" borderId="2" xfId="0" applyNumberFormat="1" applyFont="1" applyFill="1" applyBorder="1" applyAlignment="1" applyProtection="1">
      <alignment horizontal="center" vertical="center"/>
    </xf>
    <xf numFmtId="0" fontId="188" fillId="5" borderId="26" xfId="0" applyFont="1" applyFill="1" applyBorder="1" applyAlignment="1" applyProtection="1">
      <alignment horizontal="center" vertical="center" wrapText="1"/>
    </xf>
    <xf numFmtId="0" fontId="188" fillId="5" borderId="38" xfId="0" applyFont="1" applyFill="1" applyBorder="1" applyAlignment="1" applyProtection="1">
      <alignment horizontal="center" vertical="center" wrapText="1"/>
    </xf>
    <xf numFmtId="0" fontId="188" fillId="5" borderId="87" xfId="0" applyFont="1" applyFill="1" applyBorder="1" applyAlignment="1" applyProtection="1">
      <alignment horizontal="center" vertical="center" wrapText="1"/>
    </xf>
    <xf numFmtId="0" fontId="188" fillId="5" borderId="63" xfId="0" applyFont="1" applyFill="1" applyBorder="1" applyAlignment="1" applyProtection="1">
      <alignment horizontal="center" vertical="center" wrapText="1"/>
    </xf>
    <xf numFmtId="0" fontId="271" fillId="0" borderId="42" xfId="0" applyFont="1" applyFill="1" applyBorder="1" applyAlignment="1" applyProtection="1">
      <alignment horizontal="center" vertical="center" wrapText="1"/>
      <protection locked="0"/>
    </xf>
    <xf numFmtId="0" fontId="271" fillId="0" borderId="45" xfId="0" applyFont="1" applyFill="1" applyBorder="1" applyAlignment="1" applyProtection="1">
      <alignment horizontal="center" vertical="center" wrapText="1"/>
      <protection locked="0"/>
    </xf>
    <xf numFmtId="0" fontId="142" fillId="5" borderId="1" xfId="0" applyFont="1" applyFill="1" applyBorder="1" applyAlignment="1" applyProtection="1">
      <alignment horizontal="center" vertical="center" wrapText="1"/>
    </xf>
    <xf numFmtId="0" fontId="142" fillId="5" borderId="6" xfId="0" applyFont="1" applyFill="1" applyBorder="1" applyAlignment="1" applyProtection="1">
      <alignment horizontal="center" vertical="center" wrapText="1"/>
    </xf>
    <xf numFmtId="0" fontId="142" fillId="5" borderId="11" xfId="0" applyFont="1" applyFill="1" applyBorder="1" applyAlignment="1" applyProtection="1">
      <alignment horizontal="center" vertical="center" wrapText="1"/>
    </xf>
    <xf numFmtId="0" fontId="142" fillId="5" borderId="2" xfId="0" applyFont="1" applyFill="1" applyBorder="1" applyAlignment="1" applyProtection="1">
      <alignment horizontal="center" vertical="center" wrapText="1"/>
    </xf>
    <xf numFmtId="0" fontId="240" fillId="5" borderId="11" xfId="0" applyFont="1" applyFill="1" applyBorder="1" applyAlignment="1" applyProtection="1">
      <alignment horizontal="center" vertical="center"/>
    </xf>
    <xf numFmtId="185" fontId="81" fillId="11" borderId="2" xfId="0" applyNumberFormat="1" applyFont="1" applyFill="1" applyBorder="1" applyAlignment="1" applyProtection="1">
      <alignment horizontal="center" vertical="center"/>
    </xf>
    <xf numFmtId="0" fontId="197" fillId="5" borderId="48" xfId="0" applyFont="1" applyFill="1" applyBorder="1" applyAlignment="1" applyProtection="1">
      <alignment horizontal="left" vertical="center" wrapText="1"/>
    </xf>
    <xf numFmtId="0" fontId="197" fillId="5" borderId="37" xfId="0" applyFont="1" applyFill="1" applyBorder="1" applyAlignment="1" applyProtection="1">
      <alignment horizontal="left" vertical="center" wrapText="1"/>
    </xf>
    <xf numFmtId="0" fontId="158" fillId="5" borderId="10" xfId="0" applyFont="1" applyFill="1" applyBorder="1" applyAlignment="1" applyProtection="1">
      <alignment vertical="top" wrapText="1"/>
    </xf>
    <xf numFmtId="0" fontId="158" fillId="5" borderId="18" xfId="0" applyFont="1" applyFill="1" applyBorder="1" applyAlignment="1" applyProtection="1">
      <alignment vertical="top" wrapText="1"/>
    </xf>
    <xf numFmtId="0" fontId="158" fillId="5" borderId="3" xfId="0" applyFont="1" applyFill="1" applyBorder="1" applyAlignment="1" applyProtection="1">
      <alignment vertical="top" wrapText="1"/>
    </xf>
    <xf numFmtId="0" fontId="158" fillId="5" borderId="21" xfId="0" applyFont="1" applyFill="1" applyBorder="1" applyAlignment="1" applyProtection="1">
      <alignment vertical="top" wrapText="1"/>
    </xf>
    <xf numFmtId="0" fontId="84" fillId="5" borderId="9" xfId="4" applyFont="1" applyFill="1" applyBorder="1" applyAlignment="1" applyProtection="1">
      <alignment horizontal="center" vertical="center" wrapText="1"/>
      <protection locked="0"/>
    </xf>
    <xf numFmtId="0" fontId="38" fillId="5" borderId="8" xfId="4" applyFont="1" applyFill="1" applyBorder="1" applyAlignment="1" applyProtection="1">
      <alignment horizontal="right" vertical="center" wrapText="1"/>
      <protection locked="0"/>
    </xf>
    <xf numFmtId="0" fontId="84" fillId="5" borderId="9" xfId="4" applyFont="1" applyFill="1" applyBorder="1" applyAlignment="1" applyProtection="1">
      <alignment horizontal="right" vertical="center" wrapText="1"/>
      <protection locked="0"/>
    </xf>
    <xf numFmtId="0" fontId="203" fillId="5" borderId="10" xfId="4" applyFont="1" applyFill="1" applyBorder="1" applyAlignment="1" applyProtection="1">
      <alignment horizontal="center" vertical="center"/>
    </xf>
    <xf numFmtId="0" fontId="203" fillId="5" borderId="3" xfId="4" applyFont="1" applyFill="1" applyBorder="1" applyAlignment="1" applyProtection="1">
      <alignment horizontal="center" vertical="center"/>
    </xf>
    <xf numFmtId="0" fontId="203" fillId="5" borderId="21" xfId="4" applyFont="1" applyFill="1" applyBorder="1" applyAlignment="1" applyProtection="1">
      <alignment horizontal="center" vertical="center"/>
    </xf>
    <xf numFmtId="0" fontId="203" fillId="5" borderId="10" xfId="4" applyFont="1" applyFill="1" applyBorder="1" applyAlignment="1" applyProtection="1">
      <alignment horizontal="center" vertical="center" wrapText="1"/>
    </xf>
    <xf numFmtId="0" fontId="203" fillId="5" borderId="21" xfId="4" applyFont="1" applyFill="1" applyBorder="1" applyAlignment="1" applyProtection="1">
      <alignment horizontal="center" vertical="center" wrapText="1"/>
    </xf>
    <xf numFmtId="0" fontId="38" fillId="5" borderId="39" xfId="4" applyFont="1" applyFill="1" applyBorder="1" applyAlignment="1" applyProtection="1">
      <alignment horizontal="center" vertical="center" wrapText="1"/>
    </xf>
    <xf numFmtId="0" fontId="38" fillId="5" borderId="57" xfId="4" applyFont="1" applyFill="1" applyBorder="1" applyAlignment="1" applyProtection="1">
      <alignment horizontal="center" vertical="center" wrapText="1"/>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3" fillId="5" borderId="0" xfId="4" applyFont="1" applyFill="1" applyAlignment="1" applyProtection="1">
      <alignment horizontal="left" vertical="center"/>
    </xf>
    <xf numFmtId="49" fontId="124" fillId="5" borderId="52" xfId="0" applyNumberFormat="1" applyFont="1" applyFill="1" applyBorder="1" applyAlignment="1" applyProtection="1">
      <alignment horizontal="center" vertical="center" wrapText="1"/>
    </xf>
    <xf numFmtId="49" fontId="124" fillId="5" borderId="24" xfId="0" applyNumberFormat="1" applyFont="1" applyFill="1" applyBorder="1" applyAlignment="1" applyProtection="1">
      <alignment horizontal="center" vertical="center" wrapText="1"/>
    </xf>
    <xf numFmtId="49" fontId="198" fillId="5" borderId="31" xfId="0" applyNumberFormat="1" applyFont="1" applyFill="1" applyBorder="1" applyAlignment="1" applyProtection="1">
      <alignment horizontal="center" vertical="center" wrapText="1"/>
    </xf>
    <xf numFmtId="49" fontId="198" fillId="5" borderId="24" xfId="0" applyNumberFormat="1" applyFont="1" applyFill="1" applyBorder="1" applyAlignment="1" applyProtection="1">
      <alignment horizontal="center" vertical="center" wrapText="1"/>
    </xf>
    <xf numFmtId="49" fontId="124" fillId="5" borderId="23" xfId="0" applyNumberFormat="1" applyFont="1" applyFill="1" applyBorder="1" applyAlignment="1" applyProtection="1">
      <alignment horizontal="center" vertical="center" wrapText="1"/>
    </xf>
    <xf numFmtId="0" fontId="210" fillId="5" borderId="0" xfId="4" applyFont="1" applyFill="1" applyAlignment="1" applyProtection="1">
      <alignment horizontal="center" vertical="center"/>
    </xf>
    <xf numFmtId="0" fontId="203" fillId="5" borderId="2" xfId="4" applyFont="1" applyFill="1" applyBorder="1" applyAlignment="1" applyProtection="1">
      <alignment horizontal="center" vertical="center"/>
    </xf>
    <xf numFmtId="0" fontId="238" fillId="5" borderId="0" xfId="4" applyFont="1" applyFill="1" applyAlignment="1" applyProtection="1">
      <alignment horizontal="center" vertical="center"/>
    </xf>
    <xf numFmtId="0" fontId="199" fillId="5" borderId="0" xfId="4" applyFont="1" applyFill="1" applyBorder="1" applyAlignment="1" applyProtection="1">
      <alignment horizontal="left" vertical="center"/>
    </xf>
    <xf numFmtId="0" fontId="206" fillId="5" borderId="1" xfId="4" applyFont="1" applyFill="1" applyBorder="1" applyAlignment="1" applyProtection="1">
      <alignment horizontal="center" vertical="center" wrapText="1"/>
    </xf>
    <xf numFmtId="0" fontId="206" fillId="5" borderId="42" xfId="4" applyFont="1" applyFill="1" applyBorder="1" applyAlignment="1" applyProtection="1">
      <alignment horizontal="center" vertical="center" wrapText="1"/>
    </xf>
    <xf numFmtId="0" fontId="238" fillId="5" borderId="0" xfId="0" applyFont="1" applyFill="1" applyAlignment="1" applyProtection="1">
      <alignment horizontal="center" vertical="center"/>
    </xf>
    <xf numFmtId="0" fontId="253" fillId="0" borderId="0" xfId="11" applyFont="1" applyAlignment="1">
      <alignment horizontal="left" vertical="center"/>
    </xf>
    <xf numFmtId="0" fontId="196" fillId="0" borderId="0" xfId="11" applyFont="1" applyAlignment="1">
      <alignment horizontal="left" vertical="center"/>
    </xf>
    <xf numFmtId="0" fontId="278" fillId="0" borderId="0" xfId="11" applyFont="1" applyAlignment="1">
      <alignment horizontal="left" vertical="center"/>
    </xf>
    <xf numFmtId="0" fontId="264" fillId="15" borderId="152" xfId="11" applyFont="1" applyFill="1" applyBorder="1" applyAlignment="1" applyProtection="1">
      <alignment horizontal="left" vertical="center" wrapText="1"/>
    </xf>
    <xf numFmtId="0" fontId="264" fillId="15" borderId="153" xfId="11" applyFont="1" applyFill="1" applyBorder="1" applyAlignment="1" applyProtection="1">
      <alignment horizontal="left" vertical="center" wrapText="1"/>
    </xf>
    <xf numFmtId="0" fontId="264" fillId="15" borderId="154" xfId="11" applyFont="1" applyFill="1" applyBorder="1" applyAlignment="1" applyProtection="1">
      <alignment horizontal="left" vertical="center" wrapText="1"/>
    </xf>
    <xf numFmtId="0" fontId="264" fillId="15" borderId="155" xfId="11" applyFont="1" applyFill="1" applyBorder="1" applyAlignment="1" applyProtection="1">
      <alignment horizontal="left" vertical="center" wrapText="1"/>
    </xf>
    <xf numFmtId="0" fontId="264" fillId="15" borderId="156" xfId="11" applyFont="1" applyFill="1" applyBorder="1" applyAlignment="1" applyProtection="1">
      <alignment horizontal="left" vertical="center" wrapText="1"/>
    </xf>
    <xf numFmtId="0" fontId="191" fillId="15" borderId="152" xfId="11" applyFont="1" applyFill="1" applyBorder="1" applyAlignment="1" applyProtection="1">
      <alignment horizontal="left" vertical="center" wrapText="1"/>
    </xf>
    <xf numFmtId="0" fontId="191" fillId="15" borderId="153" xfId="11" applyFont="1" applyFill="1" applyBorder="1" applyAlignment="1" applyProtection="1">
      <alignment horizontal="left" vertical="center" wrapText="1"/>
    </xf>
    <xf numFmtId="0" fontId="191" fillId="15" borderId="154" xfId="11" applyFont="1" applyFill="1" applyBorder="1" applyAlignment="1" applyProtection="1">
      <alignment horizontal="left" vertical="center" wrapText="1"/>
    </xf>
    <xf numFmtId="0" fontId="120" fillId="5" borderId="0" xfId="0" applyFont="1" applyFill="1" applyAlignment="1" applyProtection="1">
      <alignment horizontal="left" vertical="center"/>
      <protection locked="0"/>
    </xf>
    <xf numFmtId="0" fontId="200" fillId="5" borderId="48" xfId="0" applyFont="1" applyFill="1" applyBorder="1" applyAlignment="1" applyProtection="1">
      <alignment horizontal="left" vertical="center" wrapText="1"/>
    </xf>
    <xf numFmtId="0" fontId="200" fillId="5" borderId="37" xfId="0" applyFont="1" applyFill="1" applyBorder="1" applyAlignment="1" applyProtection="1">
      <alignment horizontal="left" vertical="center" wrapText="1"/>
    </xf>
    <xf numFmtId="0" fontId="162" fillId="5" borderId="2" xfId="0" applyFont="1" applyFill="1" applyBorder="1" applyAlignment="1">
      <alignment horizontal="center" vertical="center"/>
    </xf>
    <xf numFmtId="0" fontId="162" fillId="5" borderId="12" xfId="0" applyFont="1" applyFill="1" applyBorder="1" applyAlignment="1">
      <alignment horizontal="center" vertical="center"/>
    </xf>
    <xf numFmtId="0" fontId="155" fillId="5" borderId="11" xfId="0" applyFont="1" applyFill="1" applyBorder="1" applyAlignment="1">
      <alignment horizontal="left" vertical="center" wrapText="1"/>
    </xf>
    <xf numFmtId="0" fontId="125" fillId="0" borderId="2" xfId="0" applyFont="1" applyFill="1" applyBorder="1" applyAlignment="1">
      <alignment horizontal="center" vertical="center"/>
    </xf>
    <xf numFmtId="0" fontId="279" fillId="5" borderId="64" xfId="0" applyFont="1" applyFill="1" applyBorder="1" applyAlignment="1">
      <alignment horizontal="left" vertical="center"/>
    </xf>
    <xf numFmtId="0" fontId="279" fillId="5" borderId="8" xfId="0" applyFont="1" applyFill="1" applyBorder="1" applyAlignment="1">
      <alignment horizontal="left" vertical="center"/>
    </xf>
    <xf numFmtId="0" fontId="279" fillId="5" borderId="9" xfId="0" applyFont="1" applyFill="1" applyBorder="1" applyAlignment="1">
      <alignment horizontal="left" vertical="center"/>
    </xf>
    <xf numFmtId="0" fontId="155" fillId="0" borderId="2" xfId="0" applyFont="1" applyFill="1" applyBorder="1" applyAlignment="1">
      <alignment horizontal="center" vertical="center"/>
    </xf>
    <xf numFmtId="0" fontId="125" fillId="0" borderId="2" xfId="0" applyFont="1" applyBorder="1" applyAlignment="1">
      <alignment horizontal="center"/>
    </xf>
    <xf numFmtId="0" fontId="253" fillId="10" borderId="5" xfId="0" applyFont="1" applyFill="1" applyBorder="1" applyAlignment="1">
      <alignment horizontal="left" vertical="center"/>
    </xf>
    <xf numFmtId="0" fontId="253" fillId="10" borderId="8" xfId="0" applyFont="1" applyFill="1" applyBorder="1" applyAlignment="1">
      <alignment horizontal="left" vertical="center"/>
    </xf>
    <xf numFmtId="0" fontId="253" fillId="10" borderId="9" xfId="0" applyFont="1" applyFill="1" applyBorder="1" applyAlignment="1">
      <alignment horizontal="left" vertical="center"/>
    </xf>
    <xf numFmtId="0" fontId="155" fillId="10" borderId="2" xfId="0" applyFont="1" applyFill="1" applyBorder="1" applyAlignment="1">
      <alignment horizontal="center" vertical="center"/>
    </xf>
    <xf numFmtId="0" fontId="125" fillId="0" borderId="2" xfId="0" applyFont="1" applyBorder="1" applyAlignment="1"/>
    <xf numFmtId="0" fontId="155" fillId="5" borderId="2" xfId="0" applyFont="1" applyFill="1" applyBorder="1" applyAlignment="1">
      <alignment horizontal="left" vertical="center" wrapText="1"/>
    </xf>
    <xf numFmtId="0" fontId="253" fillId="5" borderId="79" xfId="0" applyFont="1" applyFill="1" applyBorder="1" applyAlignment="1">
      <alignment vertical="center"/>
    </xf>
    <xf numFmtId="0" fontId="253" fillId="5" borderId="14" xfId="0" applyFont="1" applyFill="1" applyBorder="1" applyAlignment="1">
      <alignment vertical="center"/>
    </xf>
    <xf numFmtId="0" fontId="253" fillId="5" borderId="32" xfId="0" applyFont="1" applyFill="1" applyBorder="1" applyAlignment="1">
      <alignment vertical="center"/>
    </xf>
    <xf numFmtId="0" fontId="253" fillId="5" borderId="53" xfId="0" applyFont="1" applyFill="1" applyBorder="1" applyAlignment="1">
      <alignment vertical="center"/>
    </xf>
    <xf numFmtId="0" fontId="253" fillId="5" borderId="60" xfId="0" applyFont="1" applyFill="1" applyBorder="1" applyAlignment="1">
      <alignment vertical="center"/>
    </xf>
    <xf numFmtId="0" fontId="253" fillId="5" borderId="67" xfId="0" applyFont="1" applyFill="1" applyBorder="1" applyAlignment="1">
      <alignment vertical="center"/>
    </xf>
    <xf numFmtId="0" fontId="82" fillId="5" borderId="2" xfId="0" applyNumberFormat="1" applyFont="1" applyFill="1" applyBorder="1" applyAlignment="1" applyProtection="1">
      <alignment horizontal="center" vertical="center"/>
    </xf>
    <xf numFmtId="0" fontId="81" fillId="11" borderId="2" xfId="0" applyNumberFormat="1" applyFont="1" applyFill="1" applyBorder="1" applyAlignment="1" applyProtection="1">
      <alignment horizontal="center" vertical="center"/>
    </xf>
    <xf numFmtId="0" fontId="82" fillId="5" borderId="21" xfId="0" applyFont="1" applyFill="1" applyBorder="1" applyAlignment="1" applyProtection="1">
      <alignment horizontal="center" vertical="center" textRotation="255" wrapText="1"/>
    </xf>
    <xf numFmtId="0" fontId="82" fillId="5" borderId="8" xfId="0" applyFont="1" applyFill="1" applyBorder="1" applyAlignment="1" applyProtection="1">
      <alignment horizontal="center" vertical="center" wrapText="1"/>
    </xf>
    <xf numFmtId="0" fontId="82" fillId="5" borderId="14" xfId="0" applyFont="1" applyFill="1" applyBorder="1" applyAlignment="1" applyProtection="1">
      <alignment horizontal="center" vertical="center" wrapText="1"/>
    </xf>
    <xf numFmtId="0" fontId="82" fillId="5" borderId="0" xfId="0" applyFont="1" applyFill="1" applyBorder="1" applyAlignment="1" applyProtection="1">
      <alignment horizontal="center" vertical="center" wrapText="1"/>
    </xf>
    <xf numFmtId="0" fontId="82" fillId="5" borderId="19" xfId="0" applyFont="1" applyFill="1" applyBorder="1" applyAlignment="1" applyProtection="1">
      <alignment horizontal="center" vertical="center" wrapText="1"/>
    </xf>
    <xf numFmtId="0" fontId="74" fillId="5" borderId="5" xfId="0" applyFont="1" applyFill="1" applyBorder="1" applyAlignment="1" applyProtection="1">
      <alignment horizontal="center" vertical="center"/>
    </xf>
    <xf numFmtId="0" fontId="74" fillId="5" borderId="8"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74" fillId="5" borderId="68" xfId="0" applyFont="1" applyFill="1" applyBorder="1" applyAlignment="1" applyProtection="1">
      <alignment horizontal="center" vertical="center"/>
      <protection locked="0"/>
    </xf>
    <xf numFmtId="0" fontId="74" fillId="5" borderId="60" xfId="0" applyFont="1" applyFill="1" applyBorder="1" applyAlignment="1" applyProtection="1">
      <alignment horizontal="center" vertical="center"/>
      <protection locked="0"/>
    </xf>
    <xf numFmtId="0" fontId="74" fillId="5" borderId="67" xfId="0" applyFont="1" applyFill="1" applyBorder="1" applyAlignment="1" applyProtection="1">
      <alignment horizontal="center" vertical="center"/>
      <protection locked="0"/>
    </xf>
    <xf numFmtId="0" fontId="204" fillId="22" borderId="2" xfId="0" applyFont="1" applyFill="1" applyBorder="1" applyAlignment="1">
      <alignment horizontal="center" vertical="center"/>
    </xf>
    <xf numFmtId="0" fontId="186" fillId="0" borderId="2" xfId="0" applyFont="1" applyBorder="1" applyAlignment="1">
      <alignment horizontal="center" vertical="center"/>
    </xf>
    <xf numFmtId="0" fontId="0" fillId="0" borderId="2" xfId="0" applyFont="1" applyBorder="1" applyAlignment="1">
      <alignment horizontal="center" vertical="center"/>
    </xf>
    <xf numFmtId="0" fontId="281" fillId="0" borderId="17" xfId="16" applyFont="1" applyFill="1" applyBorder="1" applyAlignment="1">
      <alignment horizontal="center" vertical="center" wrapText="1"/>
    </xf>
    <xf numFmtId="0" fontId="281" fillId="0" borderId="19" xfId="16" applyFont="1" applyFill="1" applyBorder="1" applyAlignment="1">
      <alignment horizontal="center" vertical="center" wrapText="1"/>
    </xf>
    <xf numFmtId="0" fontId="284" fillId="0" borderId="2" xfId="18" applyFont="1" applyFill="1" applyBorder="1" applyAlignment="1">
      <alignment horizontal="center" vertical="center" wrapText="1"/>
    </xf>
    <xf numFmtId="195" fontId="284" fillId="0" borderId="2" xfId="18" applyNumberFormat="1" applyFont="1" applyFill="1" applyBorder="1" applyAlignment="1">
      <alignment horizontal="center" vertical="center" wrapText="1"/>
    </xf>
    <xf numFmtId="0" fontId="293" fillId="21" borderId="165" xfId="0" applyFont="1" applyFill="1" applyBorder="1" applyAlignment="1">
      <alignment horizontal="center" vertical="center" wrapText="1" readingOrder="1"/>
    </xf>
    <xf numFmtId="0" fontId="293" fillId="21" borderId="166" xfId="0" applyFont="1" applyFill="1" applyBorder="1" applyAlignment="1">
      <alignment horizontal="center" vertical="center" wrapText="1" readingOrder="1"/>
    </xf>
    <xf numFmtId="0" fontId="294" fillId="21" borderId="167" xfId="0" applyFont="1" applyFill="1" applyBorder="1" applyAlignment="1">
      <alignment horizontal="center" vertical="center" wrapText="1" readingOrder="1"/>
    </xf>
    <xf numFmtId="0" fontId="294" fillId="21" borderId="168" xfId="0" applyFont="1" applyFill="1" applyBorder="1" applyAlignment="1">
      <alignment horizontal="center" vertical="center" wrapText="1" readingOrder="1"/>
    </xf>
    <xf numFmtId="0" fontId="285" fillId="0" borderId="2" xfId="17" applyFont="1" applyFill="1" applyBorder="1" applyAlignment="1">
      <alignment horizontal="center" vertical="center" wrapText="1"/>
    </xf>
    <xf numFmtId="0" fontId="294" fillId="21" borderId="165" xfId="0" applyFont="1" applyFill="1" applyBorder="1" applyAlignment="1">
      <alignment horizontal="center" vertical="center" wrapText="1" readingOrder="1"/>
    </xf>
    <xf numFmtId="0" fontId="294" fillId="21" borderId="166" xfId="0" applyFont="1" applyFill="1" applyBorder="1" applyAlignment="1">
      <alignment horizontal="center" vertical="center" wrapText="1" readingOrder="1"/>
    </xf>
    <xf numFmtId="0" fontId="295" fillId="21" borderId="165" xfId="0" applyFont="1" applyFill="1" applyBorder="1" applyAlignment="1">
      <alignment horizontal="center" vertical="center" wrapText="1" readingOrder="1"/>
    </xf>
    <xf numFmtId="0" fontId="295" fillId="21" borderId="166" xfId="0" applyFont="1" applyFill="1" applyBorder="1" applyAlignment="1">
      <alignment horizontal="center" vertical="center" wrapText="1" readingOrder="1"/>
    </xf>
    <xf numFmtId="0" fontId="294" fillId="21" borderId="163" xfId="0" applyFont="1" applyFill="1" applyBorder="1" applyAlignment="1">
      <alignment horizontal="center" vertical="center" wrapText="1" readingOrder="1"/>
    </xf>
    <xf numFmtId="0" fontId="294" fillId="21" borderId="164" xfId="0" applyFont="1" applyFill="1" applyBorder="1" applyAlignment="1">
      <alignment horizontal="center" vertical="center" wrapText="1" readingOrder="1"/>
    </xf>
    <xf numFmtId="0" fontId="297" fillId="0" borderId="169" xfId="0" applyFont="1" applyBorder="1" applyAlignment="1">
      <alignment horizontal="center" vertical="center" wrapText="1" readingOrder="1"/>
    </xf>
    <xf numFmtId="0" fontId="297" fillId="0" borderId="170" xfId="0" applyFont="1" applyBorder="1" applyAlignment="1">
      <alignment horizontal="center" vertical="center" wrapText="1" readingOrder="1"/>
    </xf>
    <xf numFmtId="0" fontId="297" fillId="0" borderId="171" xfId="0" applyFont="1" applyBorder="1" applyAlignment="1">
      <alignment horizontal="center" vertical="center" wrapText="1" readingOrder="1"/>
    </xf>
    <xf numFmtId="0" fontId="297" fillId="0" borderId="172" xfId="0" applyFont="1" applyBorder="1" applyAlignment="1">
      <alignment horizontal="center" vertical="center" wrapText="1" readingOrder="1"/>
    </xf>
    <xf numFmtId="0" fontId="297" fillId="0" borderId="173" xfId="0" applyFont="1" applyBorder="1" applyAlignment="1">
      <alignment horizontal="center" vertical="center" wrapText="1" readingOrder="1"/>
    </xf>
    <xf numFmtId="0" fontId="297" fillId="0" borderId="174" xfId="0" applyFont="1" applyBorder="1" applyAlignment="1">
      <alignment horizontal="center" vertical="center" wrapText="1" readingOrder="1"/>
    </xf>
    <xf numFmtId="0" fontId="297" fillId="0" borderId="175" xfId="0" applyFont="1" applyBorder="1" applyAlignment="1">
      <alignment horizontal="center" vertical="center" wrapText="1" readingOrder="1"/>
    </xf>
    <xf numFmtId="0" fontId="297" fillId="0" borderId="176" xfId="0" applyFont="1" applyBorder="1" applyAlignment="1">
      <alignment horizontal="center" vertical="center" wrapText="1" readingOrder="1"/>
    </xf>
    <xf numFmtId="0" fontId="297" fillId="0" borderId="177" xfId="0" applyFont="1" applyBorder="1" applyAlignment="1">
      <alignment horizontal="center" vertical="center" wrapText="1" readingOrder="1"/>
    </xf>
    <xf numFmtId="0" fontId="297" fillId="0" borderId="178" xfId="0" applyFont="1" applyBorder="1" applyAlignment="1">
      <alignment horizontal="center" vertical="center" wrapText="1" readingOrder="1"/>
    </xf>
    <xf numFmtId="0" fontId="289" fillId="8" borderId="0" xfId="17" applyFont="1" applyFill="1" applyBorder="1" applyAlignment="1">
      <alignment vertical="center" wrapText="1"/>
    </xf>
    <xf numFmtId="0" fontId="299" fillId="8" borderId="0" xfId="17" applyFont="1" applyFill="1" applyBorder="1" applyAlignment="1">
      <alignment vertical="center" wrapText="1"/>
    </xf>
    <xf numFmtId="0" fontId="0" fillId="8" borderId="0" xfId="0" applyFill="1" applyAlignment="1">
      <alignment vertical="center" wrapText="1"/>
    </xf>
    <xf numFmtId="0" fontId="286" fillId="8" borderId="0" xfId="17" applyFont="1" applyFill="1" applyBorder="1" applyAlignment="1">
      <alignment vertical="center" wrapText="1"/>
    </xf>
    <xf numFmtId="177" fontId="290" fillId="8" borderId="0" xfId="17" applyNumberFormat="1" applyFont="1" applyFill="1" applyBorder="1" applyAlignment="1">
      <alignment vertical="center" wrapText="1"/>
    </xf>
    <xf numFmtId="0" fontId="284" fillId="0" borderId="2" xfId="18" applyNumberFormat="1" applyFont="1" applyFill="1" applyBorder="1" applyAlignment="1">
      <alignment horizontal="center" vertical="center" wrapText="1"/>
    </xf>
    <xf numFmtId="0" fontId="285" fillId="0" borderId="2" xfId="17" applyNumberFormat="1" applyFont="1" applyFill="1" applyBorder="1" applyAlignment="1">
      <alignment horizontal="center" vertical="center" wrapText="1"/>
    </xf>
    <xf numFmtId="0" fontId="285" fillId="0" borderId="2" xfId="17" applyNumberFormat="1" applyFont="1" applyFill="1" applyBorder="1" applyAlignment="1">
      <alignment horizontal="center" vertical="center" wrapText="1"/>
    </xf>
    <xf numFmtId="0" fontId="203" fillId="8" borderId="2" xfId="17" applyNumberFormat="1" applyFont="1" applyFill="1" applyBorder="1" applyAlignment="1">
      <alignment horizontal="center" vertical="center" wrapText="1"/>
    </xf>
    <xf numFmtId="0" fontId="287" fillId="8" borderId="2" xfId="17" applyNumberFormat="1" applyFont="1" applyFill="1" applyBorder="1" applyAlignment="1">
      <alignment horizontal="center" vertical="center" wrapText="1"/>
    </xf>
    <xf numFmtId="0" fontId="125" fillId="8" borderId="2" xfId="17" applyNumberFormat="1" applyFont="1" applyFill="1" applyBorder="1" applyAlignment="1">
      <alignment horizontal="center" vertical="center" wrapText="1"/>
    </xf>
    <xf numFmtId="0" fontId="80" fillId="8" borderId="2" xfId="17" applyNumberFormat="1" applyFont="1" applyFill="1" applyBorder="1" applyAlignment="1">
      <alignment horizontal="center" vertical="center" wrapText="1"/>
    </xf>
    <xf numFmtId="0" fontId="80" fillId="8" borderId="2" xfId="17" applyNumberFormat="1" applyFont="1" applyFill="1" applyBorder="1" applyAlignment="1">
      <alignment horizontal="left" vertical="center" wrapText="1"/>
    </xf>
    <xf numFmtId="0" fontId="288" fillId="8" borderId="2" xfId="17" applyNumberFormat="1" applyFont="1" applyFill="1" applyBorder="1" applyAlignment="1">
      <alignment horizontal="center" vertical="center" wrapText="1"/>
    </xf>
    <xf numFmtId="0" fontId="290" fillId="8" borderId="2" xfId="17" applyNumberFormat="1" applyFont="1" applyFill="1" applyBorder="1" applyAlignment="1">
      <alignment horizontal="center" vertical="center" wrapText="1"/>
    </xf>
    <xf numFmtId="0" fontId="80" fillId="8" borderId="2" xfId="18" applyNumberFormat="1" applyFont="1" applyFill="1" applyBorder="1" applyAlignment="1">
      <alignment horizontal="center" vertical="center" wrapText="1"/>
    </xf>
    <xf numFmtId="0" fontId="180" fillId="0" borderId="45" xfId="0" applyNumberFormat="1" applyFont="1" applyFill="1" applyBorder="1" applyAlignment="1" applyProtection="1">
      <alignment horizontal="left" vertical="center" wrapText="1"/>
      <protection locked="0"/>
    </xf>
    <xf numFmtId="0" fontId="300" fillId="0" borderId="45" xfId="0" applyFont="1" applyBorder="1" applyAlignment="1" applyProtection="1">
      <alignment horizontal="left" vertical="center"/>
      <protection locked="0"/>
    </xf>
    <xf numFmtId="0" fontId="79" fillId="0" borderId="12" xfId="0" applyNumberFormat="1" applyFont="1" applyFill="1" applyBorder="1" applyAlignment="1" applyProtection="1">
      <alignment horizontal="left" vertical="center" wrapText="1"/>
      <protection locked="0"/>
    </xf>
    <xf numFmtId="0" fontId="124" fillId="8" borderId="10" xfId="0" applyFont="1" applyFill="1" applyBorder="1" applyAlignment="1" applyProtection="1">
      <alignment vertical="center"/>
    </xf>
    <xf numFmtId="49" fontId="84" fillId="8" borderId="1" xfId="0" applyNumberFormat="1" applyFont="1" applyFill="1" applyBorder="1" applyAlignment="1" applyProtection="1">
      <alignment horizontal="center" vertical="center"/>
    </xf>
    <xf numFmtId="0" fontId="84" fillId="8" borderId="6" xfId="0" applyFont="1" applyFill="1" applyBorder="1" applyAlignment="1" applyProtection="1">
      <alignment horizontal="center" vertical="center"/>
    </xf>
    <xf numFmtId="0" fontId="84" fillId="8" borderId="29" xfId="0" applyFont="1" applyFill="1" applyBorder="1" applyAlignment="1" applyProtection="1">
      <alignment horizontal="right" vertical="center"/>
    </xf>
    <xf numFmtId="0" fontId="84" fillId="8" borderId="56" xfId="0" applyFont="1" applyFill="1" applyBorder="1" applyAlignment="1" applyProtection="1">
      <alignment horizontal="center" vertical="center"/>
    </xf>
    <xf numFmtId="49" fontId="93" fillId="8" borderId="22" xfId="0" applyNumberFormat="1" applyFont="1" applyFill="1" applyBorder="1" applyAlignment="1" applyProtection="1">
      <alignment vertical="center"/>
    </xf>
    <xf numFmtId="0" fontId="93" fillId="8" borderId="10" xfId="0" applyFont="1" applyFill="1" applyBorder="1" applyAlignment="1" applyProtection="1">
      <alignment vertical="center" wrapText="1"/>
    </xf>
    <xf numFmtId="0" fontId="84" fillId="8" borderId="3" xfId="0" applyFont="1" applyFill="1" applyBorder="1" applyAlignment="1" applyProtection="1">
      <alignment horizontal="center" vertical="center"/>
    </xf>
    <xf numFmtId="0" fontId="84" fillId="8" borderId="17" xfId="0" applyFont="1" applyFill="1" applyBorder="1" applyAlignment="1" applyProtection="1">
      <alignment horizontal="right" vertical="center"/>
    </xf>
    <xf numFmtId="0" fontId="84" fillId="8" borderId="63" xfId="0" applyFont="1" applyFill="1" applyBorder="1" applyAlignment="1" applyProtection="1">
      <alignment horizontal="center" vertical="center"/>
    </xf>
    <xf numFmtId="49" fontId="84" fillId="8" borderId="22" xfId="0" applyNumberFormat="1" applyFont="1" applyFill="1" applyBorder="1" applyAlignment="1" applyProtection="1">
      <alignment horizontal="left" vertical="center"/>
    </xf>
    <xf numFmtId="0" fontId="134" fillId="8" borderId="10" xfId="0" applyFont="1" applyFill="1" applyBorder="1" applyAlignment="1" applyProtection="1">
      <alignment vertical="top" wrapText="1"/>
    </xf>
    <xf numFmtId="0" fontId="93" fillId="8" borderId="10" xfId="0" applyFont="1" applyFill="1" applyBorder="1" applyAlignment="1" applyProtection="1">
      <alignment horizontal="center" vertical="center"/>
    </xf>
    <xf numFmtId="0" fontId="84" fillId="8" borderId="2" xfId="0" applyFont="1" applyFill="1" applyBorder="1" applyAlignment="1" applyProtection="1">
      <alignment horizontal="left" vertical="center"/>
    </xf>
    <xf numFmtId="0" fontId="93" fillId="8" borderId="12" xfId="0" applyFont="1" applyFill="1" applyBorder="1" applyAlignment="1" applyProtection="1">
      <alignment horizontal="center" vertical="center"/>
    </xf>
    <xf numFmtId="49" fontId="84" fillId="8" borderId="3" xfId="0" applyNumberFormat="1" applyFont="1" applyFill="1" applyBorder="1" applyAlignment="1" applyProtection="1">
      <alignment horizontal="left" vertical="center"/>
    </xf>
    <xf numFmtId="0" fontId="134" fillId="8" borderId="18" xfId="0" applyFont="1" applyFill="1" applyBorder="1" applyAlignment="1" applyProtection="1">
      <alignment vertical="top" wrapText="1"/>
    </xf>
    <xf numFmtId="0" fontId="93" fillId="8" borderId="3" xfId="0" applyFont="1" applyFill="1" applyBorder="1" applyAlignment="1" applyProtection="1">
      <alignment horizontal="center" vertical="center"/>
    </xf>
    <xf numFmtId="0" fontId="84" fillId="8" borderId="3" xfId="0" applyFont="1" applyFill="1" applyBorder="1" applyAlignment="1" applyProtection="1">
      <alignment vertical="center"/>
    </xf>
    <xf numFmtId="49" fontId="84" fillId="8" borderId="18" xfId="0" applyNumberFormat="1" applyFont="1" applyFill="1" applyBorder="1" applyAlignment="1" applyProtection="1">
      <alignment horizontal="left" vertical="center"/>
    </xf>
    <xf numFmtId="0" fontId="134" fillId="8" borderId="3" xfId="0" applyFont="1" applyFill="1" applyBorder="1" applyAlignment="1" applyProtection="1">
      <alignment vertical="top" wrapText="1"/>
    </xf>
    <xf numFmtId="49" fontId="93" fillId="8" borderId="24" xfId="0" applyNumberFormat="1" applyFont="1" applyFill="1" applyBorder="1" applyAlignment="1" applyProtection="1">
      <alignment vertical="center"/>
    </xf>
    <xf numFmtId="0" fontId="134" fillId="8" borderId="21" xfId="0" applyFont="1" applyFill="1" applyBorder="1" applyAlignment="1" applyProtection="1">
      <alignment vertical="top" wrapText="1"/>
    </xf>
    <xf numFmtId="182" fontId="93" fillId="8" borderId="12" xfId="0" applyNumberFormat="1" applyFont="1" applyFill="1" applyBorder="1" applyAlignment="1" applyProtection="1">
      <alignment horizontal="center" vertical="center"/>
    </xf>
    <xf numFmtId="0" fontId="124" fillId="8" borderId="32" xfId="0" applyFont="1" applyFill="1" applyBorder="1" applyAlignment="1" applyProtection="1">
      <alignment vertical="center" wrapText="1"/>
    </xf>
    <xf numFmtId="0" fontId="93" fillId="8" borderId="2" xfId="0" applyFont="1" applyFill="1" applyBorder="1" applyAlignment="1" applyProtection="1">
      <alignment horizontal="center" vertical="center"/>
    </xf>
    <xf numFmtId="0" fontId="124" fillId="8" borderId="32" xfId="0" applyFont="1" applyFill="1" applyBorder="1" applyAlignment="1" applyProtection="1">
      <alignment vertical="center"/>
    </xf>
    <xf numFmtId="0" fontId="124" fillId="8" borderId="10" xfId="0" applyFont="1" applyFill="1" applyBorder="1" applyAlignment="1" applyProtection="1">
      <alignment horizontal="left" vertical="center"/>
    </xf>
    <xf numFmtId="182" fontId="93" fillId="8" borderId="25" xfId="0" applyNumberFormat="1" applyFont="1" applyFill="1" applyBorder="1" applyAlignment="1" applyProtection="1">
      <alignment horizontal="center" vertical="center"/>
      <protection locked="0"/>
    </xf>
    <xf numFmtId="49" fontId="93" fillId="8" borderId="49" xfId="0" applyNumberFormat="1" applyFont="1" applyFill="1" applyBorder="1" applyAlignment="1" applyProtection="1">
      <alignment vertical="center"/>
    </xf>
    <xf numFmtId="0" fontId="156" fillId="8" borderId="2" xfId="0" applyFont="1" applyFill="1" applyBorder="1" applyAlignment="1" applyProtection="1">
      <alignment horizontal="right" vertical="center" wrapText="1"/>
    </xf>
    <xf numFmtId="0" fontId="93" fillId="8" borderId="2" xfId="0" applyFont="1" applyFill="1" applyBorder="1" applyAlignment="1" applyProtection="1">
      <alignment horizontal="center" vertical="center"/>
      <protection locked="0"/>
    </xf>
    <xf numFmtId="182" fontId="93" fillId="8" borderId="25" xfId="0" applyNumberFormat="1" applyFont="1" applyFill="1" applyBorder="1" applyAlignment="1" applyProtection="1">
      <alignment horizontal="center" vertical="center"/>
    </xf>
    <xf numFmtId="49" fontId="84" fillId="8" borderId="109" xfId="0" applyNumberFormat="1" applyFont="1" applyFill="1" applyBorder="1" applyAlignment="1" applyProtection="1">
      <alignment vertical="center"/>
    </xf>
    <xf numFmtId="0" fontId="124" fillId="8" borderId="86" xfId="0" applyFont="1" applyFill="1" applyBorder="1" applyAlignment="1" applyProtection="1">
      <alignment vertical="center" wrapText="1"/>
    </xf>
    <xf numFmtId="0" fontId="93" fillId="8" borderId="71" xfId="0" applyFont="1" applyFill="1" applyBorder="1" applyAlignment="1" applyProtection="1">
      <alignment horizontal="center" vertical="center"/>
      <protection locked="0"/>
    </xf>
    <xf numFmtId="0" fontId="84" fillId="8" borderId="71" xfId="0" applyFont="1" applyFill="1" applyBorder="1" applyAlignment="1" applyProtection="1">
      <alignment vertical="center"/>
    </xf>
    <xf numFmtId="0" fontId="38" fillId="8" borderId="71" xfId="0" applyFont="1" applyFill="1" applyBorder="1" applyAlignment="1" applyProtection="1">
      <alignment horizontal="left" vertical="center"/>
    </xf>
    <xf numFmtId="182" fontId="93" fillId="8" borderId="72" xfId="0" applyNumberFormat="1" applyFont="1" applyFill="1" applyBorder="1" applyAlignment="1" applyProtection="1">
      <alignment horizontal="center" vertical="center"/>
    </xf>
    <xf numFmtId="49" fontId="93" fillId="8" borderId="49" xfId="0" applyNumberFormat="1" applyFont="1" applyFill="1" applyBorder="1" applyAlignment="1" applyProtection="1">
      <alignment horizontal="left" vertical="center"/>
    </xf>
    <xf numFmtId="0" fontId="93" fillId="8" borderId="21" xfId="0" applyFont="1" applyFill="1" applyBorder="1" applyAlignment="1" applyProtection="1">
      <alignment horizontal="left" vertical="center"/>
    </xf>
    <xf numFmtId="0" fontId="93" fillId="8" borderId="21" xfId="0" applyFont="1" applyFill="1" applyBorder="1" applyAlignment="1" applyProtection="1">
      <alignment horizontal="center" vertical="center"/>
    </xf>
    <xf numFmtId="0" fontId="84" fillId="8" borderId="3" xfId="0" applyFont="1" applyFill="1" applyBorder="1" applyAlignment="1" applyProtection="1">
      <alignment horizontal="left" vertical="center"/>
    </xf>
    <xf numFmtId="182" fontId="84" fillId="8" borderId="51" xfId="0" applyNumberFormat="1" applyFont="1" applyFill="1" applyBorder="1" applyAlignment="1" applyProtection="1">
      <alignment horizontal="center" vertical="center"/>
    </xf>
    <xf numFmtId="49" fontId="84" fillId="8" borderId="11" xfId="0" applyNumberFormat="1" applyFont="1" applyFill="1" applyBorder="1" applyAlignment="1" applyProtection="1">
      <alignment horizontal="right" vertical="center"/>
    </xf>
    <xf numFmtId="0" fontId="84" fillId="8" borderId="5" xfId="0" applyFont="1" applyFill="1" applyBorder="1" applyAlignment="1" applyProtection="1">
      <alignment horizontal="center" vertical="center"/>
    </xf>
    <xf numFmtId="0" fontId="84" fillId="8" borderId="5" xfId="0" applyFont="1" applyFill="1" applyBorder="1" applyAlignment="1" applyProtection="1">
      <alignment horizontal="left" vertical="center" wrapText="1"/>
    </xf>
    <xf numFmtId="0" fontId="84" fillId="8" borderId="8" xfId="0" applyFont="1" applyFill="1" applyBorder="1" applyAlignment="1" applyProtection="1">
      <alignment horizontal="left" vertical="center" wrapText="1"/>
    </xf>
    <xf numFmtId="180" fontId="93" fillId="8" borderId="16" xfId="0" applyNumberFormat="1" applyFont="1" applyFill="1" applyBorder="1" applyAlignment="1" applyProtection="1">
      <alignment horizontal="center" vertical="center"/>
    </xf>
    <xf numFmtId="0" fontId="84" fillId="8" borderId="2" xfId="0" applyFont="1" applyFill="1" applyBorder="1" applyAlignment="1" applyProtection="1">
      <alignment horizontal="center" vertical="center"/>
    </xf>
    <xf numFmtId="0" fontId="84" fillId="8" borderId="21" xfId="0" applyFont="1" applyFill="1" applyBorder="1" applyAlignment="1" applyProtection="1">
      <alignment horizontal="left" vertical="center"/>
    </xf>
    <xf numFmtId="182" fontId="84" fillId="8" borderId="50" xfId="0" applyNumberFormat="1" applyFont="1" applyFill="1" applyBorder="1" applyAlignment="1" applyProtection="1">
      <alignment horizontal="center" vertical="center"/>
    </xf>
    <xf numFmtId="182" fontId="84" fillId="8" borderId="12" xfId="0" applyNumberFormat="1" applyFont="1" applyFill="1" applyBorder="1" applyAlignment="1" applyProtection="1">
      <alignment horizontal="center" vertical="center"/>
    </xf>
    <xf numFmtId="0" fontId="84" fillId="8" borderId="16" xfId="0" applyFont="1" applyFill="1" applyBorder="1" applyAlignment="1" applyProtection="1">
      <alignment horizontal="center" vertical="center"/>
    </xf>
    <xf numFmtId="49" fontId="84" fillId="8" borderId="11" xfId="0" applyNumberFormat="1" applyFont="1" applyFill="1" applyBorder="1" applyAlignment="1" applyProtection="1">
      <alignment horizontal="center" vertical="center"/>
    </xf>
    <xf numFmtId="0" fontId="84" fillId="8" borderId="5" xfId="0" applyFont="1" applyFill="1" applyBorder="1" applyAlignment="1" applyProtection="1">
      <alignment vertical="center"/>
    </xf>
    <xf numFmtId="0" fontId="84" fillId="8" borderId="8" xfId="0" applyFont="1" applyFill="1" applyBorder="1" applyAlignment="1" applyProtection="1">
      <alignment horizontal="center" vertical="center"/>
    </xf>
    <xf numFmtId="0" fontId="84" fillId="8" borderId="2" xfId="0" applyFont="1" applyFill="1" applyBorder="1" applyAlignment="1" applyProtection="1">
      <alignment vertical="center" wrapText="1"/>
    </xf>
    <xf numFmtId="0" fontId="38" fillId="8" borderId="5" xfId="0" applyFont="1" applyFill="1" applyBorder="1" applyAlignment="1" applyProtection="1">
      <alignment vertical="center"/>
    </xf>
    <xf numFmtId="0" fontId="38" fillId="8" borderId="2" xfId="0" applyFont="1" applyFill="1" applyBorder="1" applyAlignment="1" applyProtection="1">
      <alignment vertical="center"/>
    </xf>
    <xf numFmtId="0" fontId="84" fillId="8" borderId="12" xfId="0" applyFont="1" applyFill="1" applyBorder="1" applyAlignment="1" applyProtection="1">
      <alignment horizontal="center" vertical="center"/>
    </xf>
    <xf numFmtId="10" fontId="84" fillId="8" borderId="12" xfId="0" applyNumberFormat="1" applyFont="1" applyFill="1" applyBorder="1" applyAlignment="1" applyProtection="1">
      <alignment horizontal="center" vertical="center"/>
    </xf>
    <xf numFmtId="49" fontId="125" fillId="8" borderId="11" xfId="0" applyNumberFormat="1" applyFont="1" applyFill="1" applyBorder="1" applyAlignment="1" applyProtection="1">
      <alignment horizontal="center" vertical="center"/>
    </xf>
    <xf numFmtId="0" fontId="84" fillId="8" borderId="10" xfId="0" applyFont="1" applyFill="1" applyBorder="1" applyAlignment="1" applyProtection="1">
      <alignment horizontal="left" vertical="center"/>
    </xf>
    <xf numFmtId="49" fontId="125" fillId="8" borderId="109" xfId="0" applyNumberFormat="1" applyFont="1" applyFill="1" applyBorder="1" applyAlignment="1" applyProtection="1">
      <alignment horizontal="center" vertical="center"/>
    </xf>
    <xf numFmtId="0" fontId="84" fillId="8" borderId="71" xfId="0" applyFont="1" applyFill="1" applyBorder="1" applyAlignment="1" applyProtection="1">
      <alignment horizontal="center" vertical="center"/>
    </xf>
    <xf numFmtId="0" fontId="84" fillId="8" borderId="71" xfId="0" applyFont="1" applyFill="1" applyBorder="1" applyAlignment="1" applyProtection="1">
      <alignment horizontal="left" vertical="center" wrapText="1"/>
    </xf>
    <xf numFmtId="0" fontId="84" fillId="8" borderId="71" xfId="0" applyFont="1" applyFill="1" applyBorder="1" applyAlignment="1" applyProtection="1">
      <alignment horizontal="left" vertical="center"/>
    </xf>
    <xf numFmtId="182" fontId="84" fillId="8" borderId="72" xfId="0" applyNumberFormat="1" applyFont="1" applyFill="1" applyBorder="1" applyAlignment="1" applyProtection="1">
      <alignment horizontal="center" vertical="center"/>
    </xf>
    <xf numFmtId="0" fontId="84" fillId="8" borderId="17" xfId="0" applyFont="1" applyFill="1" applyBorder="1" applyAlignment="1" applyProtection="1">
      <alignment horizontal="left" vertical="center"/>
    </xf>
    <xf numFmtId="0" fontId="84" fillId="8" borderId="19" xfId="0" applyFont="1" applyFill="1" applyBorder="1" applyAlignment="1" applyProtection="1">
      <alignment horizontal="center" vertical="center"/>
    </xf>
    <xf numFmtId="0" fontId="84" fillId="8" borderId="2" xfId="0" applyFont="1" applyFill="1" applyBorder="1" applyAlignment="1" applyProtection="1">
      <alignment horizontal="left" vertical="center" wrapText="1"/>
    </xf>
    <xf numFmtId="182" fontId="84" fillId="8" borderId="16" xfId="0" applyNumberFormat="1" applyFont="1" applyFill="1" applyBorder="1" applyAlignment="1" applyProtection="1">
      <alignment horizontal="center" vertical="center" wrapText="1"/>
    </xf>
    <xf numFmtId="0" fontId="84" fillId="8" borderId="2" xfId="0" applyFont="1" applyFill="1" applyBorder="1" applyAlignment="1" applyProtection="1">
      <alignment horizontal="left" vertical="center" wrapText="1"/>
      <protection locked="0"/>
    </xf>
    <xf numFmtId="49" fontId="84" fillId="8" borderId="22" xfId="0" applyNumberFormat="1" applyFont="1" applyFill="1" applyBorder="1" applyAlignment="1" applyProtection="1">
      <alignment horizontal="right" vertical="center"/>
    </xf>
    <xf numFmtId="0" fontId="84" fillId="8" borderId="10" xfId="0" applyFont="1" applyFill="1" applyBorder="1" applyAlignment="1" applyProtection="1">
      <alignment vertical="center"/>
    </xf>
    <xf numFmtId="0" fontId="84" fillId="8" borderId="10" xfId="0" applyFont="1" applyFill="1" applyBorder="1" applyAlignment="1" applyProtection="1">
      <alignment horizontal="center" vertical="center"/>
    </xf>
    <xf numFmtId="0" fontId="84" fillId="8" borderId="10" xfId="0" applyFont="1" applyFill="1" applyBorder="1" applyAlignment="1" applyProtection="1">
      <alignment horizontal="left" vertical="center" wrapText="1"/>
    </xf>
    <xf numFmtId="49" fontId="84" fillId="8" borderId="49" xfId="0" applyNumberFormat="1" applyFont="1" applyFill="1" applyBorder="1" applyAlignment="1" applyProtection="1">
      <alignment vertical="center"/>
    </xf>
    <xf numFmtId="0" fontId="84" fillId="8" borderId="21" xfId="0" applyFont="1" applyFill="1" applyBorder="1" applyAlignment="1" applyProtection="1">
      <alignment vertical="center"/>
    </xf>
    <xf numFmtId="0" fontId="84" fillId="8" borderId="21" xfId="0" applyFont="1" applyFill="1" applyBorder="1" applyAlignment="1" applyProtection="1">
      <alignment horizontal="center" vertical="center"/>
    </xf>
    <xf numFmtId="0" fontId="84" fillId="8" borderId="21" xfId="0" applyFont="1" applyFill="1" applyBorder="1" applyAlignment="1" applyProtection="1">
      <alignment horizontal="left" vertical="center" wrapText="1"/>
    </xf>
    <xf numFmtId="10" fontId="93" fillId="8" borderId="12" xfId="0" applyNumberFormat="1" applyFont="1" applyFill="1" applyBorder="1" applyAlignment="1" applyProtection="1">
      <alignment horizontal="center" vertical="center"/>
    </xf>
    <xf numFmtId="183" fontId="93" fillId="8" borderId="12" xfId="0" applyNumberFormat="1" applyFont="1" applyFill="1" applyBorder="1" applyAlignment="1" applyProtection="1">
      <alignment horizontal="center" vertical="center"/>
    </xf>
    <xf numFmtId="49" fontId="84" fillId="8" borderId="109" xfId="0" applyNumberFormat="1" applyFont="1" applyFill="1" applyBorder="1" applyAlignment="1" applyProtection="1">
      <alignment horizontal="center" vertical="center"/>
    </xf>
    <xf numFmtId="0" fontId="40" fillId="8" borderId="21" xfId="0" applyFont="1" applyFill="1" applyBorder="1" applyAlignment="1" applyProtection="1">
      <alignment horizontal="left" vertical="center" wrapText="1"/>
    </xf>
    <xf numFmtId="0" fontId="84" fillId="8" borderId="17" xfId="0" applyFont="1" applyFill="1" applyBorder="1" applyAlignment="1" applyProtection="1">
      <alignment horizontal="left" vertical="center" wrapText="1"/>
    </xf>
    <xf numFmtId="0" fontId="84" fillId="8" borderId="19" xfId="0" applyFont="1" applyFill="1" applyBorder="1" applyAlignment="1" applyProtection="1">
      <alignment horizontal="center" vertical="center" wrapText="1"/>
    </xf>
    <xf numFmtId="0" fontId="84" fillId="8" borderId="63" xfId="0" applyFont="1" applyFill="1" applyBorder="1" applyAlignment="1" applyProtection="1">
      <alignment horizontal="center" vertical="center" wrapText="1"/>
    </xf>
    <xf numFmtId="0" fontId="40" fillId="8" borderId="10" xfId="0" applyFont="1" applyFill="1" applyBorder="1" applyAlignment="1" applyProtection="1">
      <alignment vertical="center" wrapText="1"/>
    </xf>
    <xf numFmtId="0" fontId="93" fillId="8" borderId="3" xfId="0" applyFont="1" applyFill="1" applyBorder="1" applyAlignment="1" applyProtection="1">
      <alignment vertical="center" wrapText="1"/>
    </xf>
    <xf numFmtId="0" fontId="84" fillId="8" borderId="3" xfId="0" applyFont="1" applyFill="1" applyBorder="1" applyAlignment="1" applyProtection="1">
      <alignment horizontal="left" vertical="center" wrapText="1"/>
    </xf>
    <xf numFmtId="180" fontId="93" fillId="8" borderId="12" xfId="0" applyNumberFormat="1" applyFont="1" applyFill="1" applyBorder="1" applyAlignment="1" applyProtection="1">
      <alignment horizontal="center" vertical="center"/>
    </xf>
    <xf numFmtId="0" fontId="93" fillId="8" borderId="21" xfId="0" applyFont="1" applyFill="1" applyBorder="1" applyAlignment="1" applyProtection="1">
      <alignment vertical="center" wrapText="1"/>
    </xf>
    <xf numFmtId="49" fontId="93" fillId="8" borderId="42" xfId="0" applyNumberFormat="1" applyFont="1" applyFill="1" applyBorder="1" applyAlignment="1" applyProtection="1">
      <alignment horizontal="left" vertical="center"/>
    </xf>
    <xf numFmtId="0" fontId="93" fillId="8" borderId="43" xfId="0" applyFont="1" applyFill="1" applyBorder="1" applyAlignment="1" applyProtection="1">
      <alignment horizontal="left" vertical="center"/>
    </xf>
    <xf numFmtId="0" fontId="93" fillId="8" borderId="43" xfId="0" applyFont="1" applyFill="1" applyBorder="1" applyAlignment="1" applyProtection="1">
      <alignment horizontal="center" vertical="center"/>
    </xf>
    <xf numFmtId="0" fontId="84" fillId="8" borderId="43" xfId="0" applyFont="1" applyFill="1" applyBorder="1" applyAlignment="1" applyProtection="1">
      <alignment vertical="center"/>
    </xf>
    <xf numFmtId="0" fontId="84" fillId="8" borderId="43" xfId="0" applyFont="1" applyFill="1" applyBorder="1" applyAlignment="1" applyProtection="1">
      <alignment horizontal="left" vertical="center"/>
    </xf>
    <xf numFmtId="180" fontId="93" fillId="8" borderId="45" xfId="0" applyNumberFormat="1" applyFont="1" applyFill="1" applyBorder="1" applyAlignment="1" applyProtection="1">
      <alignment horizontal="center" vertical="center"/>
    </xf>
    <xf numFmtId="0" fontId="303" fillId="20" borderId="157" xfId="0" applyFont="1" applyFill="1" applyBorder="1" applyAlignment="1">
      <alignment horizontal="center" vertical="center" wrapText="1" readingOrder="1"/>
    </xf>
    <xf numFmtId="0" fontId="304" fillId="20" borderId="158" xfId="0" applyFont="1" applyFill="1" applyBorder="1" applyAlignment="1">
      <alignment horizontal="center" vertical="center" wrapText="1" readingOrder="1"/>
    </xf>
    <xf numFmtId="0" fontId="303" fillId="20" borderId="158" xfId="0" applyFont="1" applyFill="1" applyBorder="1" applyAlignment="1">
      <alignment horizontal="center" vertical="center" wrapText="1" readingOrder="1"/>
    </xf>
    <xf numFmtId="31" fontId="303" fillId="20" borderId="158" xfId="0" applyNumberFormat="1" applyFont="1" applyFill="1" applyBorder="1" applyAlignment="1">
      <alignment horizontal="center" vertical="center" wrapText="1" readingOrder="1"/>
    </xf>
    <xf numFmtId="0" fontId="273" fillId="20" borderId="158" xfId="0" applyFont="1" applyFill="1" applyBorder="1" applyAlignment="1">
      <alignment horizontal="center" vertical="center" wrapText="1" readingOrder="1"/>
    </xf>
    <xf numFmtId="9" fontId="303" fillId="20" borderId="159" xfId="0" applyNumberFormat="1" applyFont="1" applyFill="1" applyBorder="1" applyAlignment="1">
      <alignment horizontal="center" vertical="center" wrapText="1" readingOrder="1"/>
    </xf>
    <xf numFmtId="0" fontId="303" fillId="0" borderId="160" xfId="0" applyFont="1" applyBorder="1" applyAlignment="1">
      <alignment horizontal="center" vertical="center" wrapText="1" readingOrder="1"/>
    </xf>
    <xf numFmtId="0" fontId="304" fillId="0" borderId="161" xfId="0" applyFont="1" applyBorder="1" applyAlignment="1">
      <alignment horizontal="center" vertical="center" wrapText="1" readingOrder="1"/>
    </xf>
    <xf numFmtId="0" fontId="303" fillId="0" borderId="161" xfId="0" applyFont="1" applyBorder="1" applyAlignment="1">
      <alignment horizontal="center" vertical="center" wrapText="1" readingOrder="1"/>
    </xf>
    <xf numFmtId="31" fontId="303" fillId="0" borderId="161" xfId="0" applyNumberFormat="1" applyFont="1" applyBorder="1" applyAlignment="1">
      <alignment horizontal="center" vertical="center" wrapText="1" readingOrder="1"/>
    </xf>
    <xf numFmtId="0" fontId="197" fillId="0" borderId="161" xfId="0" applyFont="1" applyBorder="1" applyAlignment="1">
      <alignment horizontal="center" vertical="center" wrapText="1" readingOrder="1"/>
    </xf>
    <xf numFmtId="9" fontId="303" fillId="0" borderId="162" xfId="0" applyNumberFormat="1" applyFont="1" applyBorder="1" applyAlignment="1">
      <alignment horizontal="center" vertical="center" wrapText="1" readingOrder="1"/>
    </xf>
    <xf numFmtId="0" fontId="303" fillId="20" borderId="160" xfId="0" applyFont="1" applyFill="1" applyBorder="1" applyAlignment="1">
      <alignment horizontal="center" vertical="center" wrapText="1" readingOrder="1"/>
    </xf>
    <xf numFmtId="0" fontId="304" fillId="20" borderId="161" xfId="0" applyFont="1" applyFill="1" applyBorder="1" applyAlignment="1">
      <alignment horizontal="center" vertical="center" wrapText="1" readingOrder="1"/>
    </xf>
    <xf numFmtId="0" fontId="303" fillId="20" borderId="161" xfId="0" applyFont="1" applyFill="1" applyBorder="1" applyAlignment="1">
      <alignment horizontal="center" vertical="center" wrapText="1" readingOrder="1"/>
    </xf>
    <xf numFmtId="31" fontId="303" fillId="20" borderId="161" xfId="0" applyNumberFormat="1" applyFont="1" applyFill="1" applyBorder="1" applyAlignment="1">
      <alignment horizontal="center" vertical="center" wrapText="1" readingOrder="1"/>
    </xf>
    <xf numFmtId="0" fontId="197" fillId="20" borderId="161" xfId="0" applyFont="1" applyFill="1" applyBorder="1" applyAlignment="1">
      <alignment horizontal="center" vertical="center" wrapText="1" readingOrder="1"/>
    </xf>
    <xf numFmtId="9" fontId="303" fillId="20" borderId="162" xfId="0" applyNumberFormat="1" applyFont="1" applyFill="1" applyBorder="1" applyAlignment="1">
      <alignment horizontal="center" vertical="center" wrapText="1" readingOrder="1"/>
    </xf>
    <xf numFmtId="0" fontId="84" fillId="20" borderId="160" xfId="0" applyFont="1" applyFill="1" applyBorder="1" applyAlignment="1">
      <alignment horizontal="center" vertical="center" wrapText="1"/>
    </xf>
    <xf numFmtId="0" fontId="84" fillId="20" borderId="161" xfId="0" applyFont="1" applyFill="1" applyBorder="1" applyAlignment="1">
      <alignment horizontal="center" vertical="center" wrapText="1"/>
    </xf>
    <xf numFmtId="0" fontId="305" fillId="20" borderId="161" xfId="0" applyFont="1" applyFill="1" applyBorder="1" applyAlignment="1">
      <alignment horizontal="center" vertical="center" wrapText="1" readingOrder="1"/>
    </xf>
    <xf numFmtId="0" fontId="84" fillId="20" borderId="162" xfId="0" applyFont="1" applyFill="1" applyBorder="1" applyAlignment="1">
      <alignment horizontal="center" vertical="center" wrapText="1"/>
    </xf>
    <xf numFmtId="0" fontId="303" fillId="20" borderId="179" xfId="0" applyFont="1" applyFill="1" applyBorder="1" applyAlignment="1">
      <alignment horizontal="center" vertical="center" wrapText="1" readingOrder="1"/>
    </xf>
    <xf numFmtId="0" fontId="303" fillId="20" borderId="180" xfId="0" applyFont="1" applyFill="1" applyBorder="1" applyAlignment="1">
      <alignment horizontal="center" vertical="center" wrapText="1" readingOrder="1"/>
    </xf>
    <xf numFmtId="0" fontId="303" fillId="20" borderId="181" xfId="0" applyFont="1" applyFill="1" applyBorder="1" applyAlignment="1">
      <alignment horizontal="center" vertical="center" wrapText="1" readingOrder="1"/>
    </xf>
    <xf numFmtId="196" fontId="0" fillId="0" borderId="2" xfId="0" applyNumberFormat="1" applyBorder="1" applyAlignment="1">
      <alignment horizontal="center" vertical="center"/>
    </xf>
    <xf numFmtId="198" fontId="0" fillId="0" borderId="2" xfId="0" applyNumberFormat="1" applyBorder="1" applyAlignment="1">
      <alignment horizontal="center" vertical="center"/>
    </xf>
  </cellXfs>
  <cellStyles count="19">
    <cellStyle name="百分比 2" xfId="1"/>
    <cellStyle name="常规" xfId="0" builtinId="0"/>
    <cellStyle name="常规 10" xfId="17"/>
    <cellStyle name="常规 16" xfId="2"/>
    <cellStyle name="常规 2" xfId="3"/>
    <cellStyle name="常规 2 2" xfId="4"/>
    <cellStyle name="常规 2 2 2" xfId="18"/>
    <cellStyle name="常规 2 2 2 2 3" xfId="5"/>
    <cellStyle name="常规 2 3" xfId="16"/>
    <cellStyle name="常规 3" xfId="6"/>
    <cellStyle name="常规 3 2" xfId="7"/>
    <cellStyle name="常规 4" xfId="8"/>
    <cellStyle name="常规 5" xfId="9"/>
    <cellStyle name="常规 6" xfId="10"/>
    <cellStyle name="常规 6 2" xfId="11"/>
    <cellStyle name="常规 6 2 2" xfId="12"/>
    <cellStyle name="常规 7" xfId="13"/>
    <cellStyle name="常规 8" xfId="14"/>
    <cellStyle name="常规 9" xfId="15"/>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indexed="65"/>
        </patternFill>
      </fill>
    </dxf>
    <dxf>
      <fill>
        <patternFill patternType="none">
          <bgColor indexed="65"/>
        </patternFill>
      </fill>
    </dxf>
    <dxf>
      <font>
        <color rgb="FFFF0000"/>
      </font>
    </dxf>
    <dxf>
      <font>
        <b/>
        <i val="0"/>
        <color rgb="FFFF0000"/>
      </font>
    </dxf>
    <dxf>
      <font>
        <b/>
        <i val="0"/>
        <color rgb="FFFF0000"/>
      </font>
    </dxf>
    <dxf>
      <font>
        <b/>
        <i val="0"/>
        <color rgb="FFFF0000"/>
      </font>
    </dxf>
    <dxf>
      <font>
        <b/>
        <i val="0"/>
        <color rgb="FFFF0000"/>
      </font>
    </dxf>
    <dxf>
      <fill>
        <patternFill patternType="none">
          <bgColor indexed="65"/>
        </patternFill>
      </fill>
    </dxf>
    <dxf>
      <fill>
        <patternFill patternType="none">
          <bgColor indexed="65"/>
        </patternFill>
      </fill>
    </dxf>
    <dxf>
      <fill>
        <patternFill patternType="none">
          <bgColor indexed="65"/>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34</xdr:row>
      <xdr:rowOff>0</xdr:rowOff>
    </xdr:from>
    <xdr:to>
      <xdr:col>11</xdr:col>
      <xdr:colOff>836226</xdr:colOff>
      <xdr:row>58</xdr:row>
      <xdr:rowOff>9010</xdr:rowOff>
    </xdr:to>
    <xdr:pic>
      <xdr:nvPicPr>
        <xdr:cNvPr id="2" name="图片 1">
          <a:extLst>
            <a:ext uri="{FF2B5EF4-FFF2-40B4-BE49-F238E27FC236}">
              <a16:creationId xmlns:a16="http://schemas.microsoft.com/office/drawing/2014/main" xmlns="" id="{00000000-0008-0000-2900-000002000000}"/>
            </a:ext>
          </a:extLst>
        </xdr:cNvPr>
        <xdr:cNvPicPr>
          <a:picLocks noChangeAspect="1"/>
        </xdr:cNvPicPr>
      </xdr:nvPicPr>
      <xdr:blipFill>
        <a:blip xmlns:r="http://schemas.openxmlformats.org/officeDocument/2006/relationships" r:embed="rId1"/>
        <a:stretch>
          <a:fillRect/>
        </a:stretch>
      </xdr:blipFill>
      <xdr:spPr>
        <a:xfrm>
          <a:off x="0" y="46129575"/>
          <a:ext cx="8952382" cy="4123810"/>
        </a:xfrm>
        <a:prstGeom prst="rect">
          <a:avLst/>
        </a:prstGeom>
      </xdr:spPr>
    </xdr:pic>
    <xdr:clientData/>
  </xdr:twoCellAnchor>
  <xdr:twoCellAnchor editAs="oneCell">
    <xdr:from>
      <xdr:col>0</xdr:col>
      <xdr:colOff>28575</xdr:colOff>
      <xdr:row>56</xdr:row>
      <xdr:rowOff>76200</xdr:rowOff>
    </xdr:from>
    <xdr:to>
      <xdr:col>11</xdr:col>
      <xdr:colOff>65657</xdr:colOff>
      <xdr:row>82</xdr:row>
      <xdr:rowOff>161357</xdr:rowOff>
    </xdr:to>
    <xdr:pic>
      <xdr:nvPicPr>
        <xdr:cNvPr id="3" name="图片 2">
          <a:extLst>
            <a:ext uri="{FF2B5EF4-FFF2-40B4-BE49-F238E27FC236}">
              <a16:creationId xmlns:a16="http://schemas.microsoft.com/office/drawing/2014/main" xmlns="" id="{00000000-0008-0000-2900-000003000000}"/>
            </a:ext>
          </a:extLst>
        </xdr:cNvPr>
        <xdr:cNvPicPr>
          <a:picLocks noChangeAspect="1"/>
        </xdr:cNvPicPr>
      </xdr:nvPicPr>
      <xdr:blipFill>
        <a:blip xmlns:r="http://schemas.openxmlformats.org/officeDocument/2006/relationships" r:embed="rId2"/>
        <a:stretch>
          <a:fillRect/>
        </a:stretch>
      </xdr:blipFill>
      <xdr:spPr>
        <a:xfrm>
          <a:off x="28575" y="49977675"/>
          <a:ext cx="8152382" cy="45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25151;&#23627;&#21450;&#38468;&#23646;&#29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442;&#32771;/&#27979;&#31639;&#65288;12-6&#65289;-&#36947;&#363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2456;&#26495;&#27979;&#31639;-&#39034;&#20041;&#21306;&#21335;&#27861;&#20449;&#39034;&#20313;&#19996;&#36335;1&#2149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21335;&#27861;&#20449;&#26641;&#264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南法信"/>
      <sheetName val="系统读取表"/>
      <sheetName val="分值"/>
      <sheetName val="附属物"/>
      <sheetName val="无证房屋汇总表"/>
      <sheetName val="Sheet1"/>
    </sheetNames>
    <sheetDataSet>
      <sheetData sheetId="0"/>
      <sheetData sheetId="1">
        <row r="30">
          <cell r="B30">
            <v>5809839</v>
          </cell>
        </row>
        <row r="68">
          <cell r="B68">
            <v>437420</v>
          </cell>
        </row>
      </sheetData>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Sheet2"/>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附属物-树木"/>
      <sheetName val="存贷款利率"/>
      <sheetName val="附属物-墙地泉"/>
      <sheetName val="附属物列表"/>
      <sheetName val="搬迁费"/>
      <sheetName val="建筑物价格"/>
      <sheetName val="停产停业损失补偿"/>
      <sheetName val="租金案例"/>
      <sheetName val="土地案例（昌平未来城）"/>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成本逼近法"/>
      <sheetName val="基础数据"/>
      <sheetName val="比较法-工业"/>
      <sheetName val="修正"/>
      <sheetName val="区片价"/>
      <sheetName val="容积率修正"/>
      <sheetName val="因素修正幅度"/>
      <sheetName val="基准地价（汇总）"/>
      <sheetName val="收益还原法"/>
      <sheetName val="不动产收益法"/>
      <sheetName val="地价"/>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22121.8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树木（院外）"/>
      <sheetName val="树木（北院）"/>
      <sheetName val="树木（南院）"/>
      <sheetName val="汇总"/>
      <sheetName val="测算表"/>
      <sheetName val="补偿标准"/>
      <sheetName val="补偿标准1"/>
      <sheetName val="下拉菜单"/>
      <sheetName val="Sheet1"/>
    </sheetNames>
    <sheetDataSet>
      <sheetData sheetId="0"/>
      <sheetData sheetId="1"/>
      <sheetData sheetId="2"/>
      <sheetData sheetId="3"/>
      <sheetData sheetId="4"/>
      <sheetData sheetId="5"/>
      <sheetData sheetId="6"/>
      <sheetData sheetId="7"/>
      <sheetData sheetId="8">
        <row r="26">
          <cell r="J26">
            <v>232736</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0" customWidth="1"/>
    <col min="2" max="2" width="78.125" style="2601" customWidth="1"/>
    <col min="3" max="18" width="9" style="2595"/>
    <col min="19" max="19" width="17.875" style="2595" customWidth="1"/>
    <col min="20" max="51" width="9" style="2595"/>
    <col min="52" max="52" width="13.125" style="2595" customWidth="1"/>
    <col min="53" max="53" width="13.5" style="2595" bestFit="1" customWidth="1"/>
    <col min="54" max="54" width="11.625" style="2595" bestFit="1" customWidth="1"/>
    <col min="55" max="55" width="13.5" style="2595" bestFit="1" customWidth="1"/>
    <col min="56" max="16384" width="9" style="2595"/>
  </cols>
  <sheetData>
    <row r="1" spans="1:55" s="2606" customFormat="1" ht="16.5" thickBot="1">
      <c r="A1" s="2604" t="s">
        <v>2589</v>
      </c>
      <c r="B1" s="2605" t="s">
        <v>2686</v>
      </c>
    </row>
    <row r="2" spans="1:55" s="2609" customFormat="1" ht="15" thickTop="1">
      <c r="A2" s="2607" t="s">
        <v>2593</v>
      </c>
      <c r="B2" s="2608" t="str">
        <f>'预评函-封皮'!B37</f>
        <v>北京市划拨国有建设用地使用权市场价格预评估</v>
      </c>
      <c r="AX2" s="2610"/>
      <c r="AZ2" s="2610"/>
      <c r="BA2" s="2611"/>
      <c r="BC2" s="2611"/>
    </row>
    <row r="3" spans="1:55" s="2612" customFormat="1">
      <c r="A3" s="2591" t="s">
        <v>2594</v>
      </c>
      <c r="B3" s="2594">
        <f>'预评函-封皮'!B40</f>
        <v>0</v>
      </c>
    </row>
    <row r="4" spans="1:55" s="2593" customFormat="1">
      <c r="A4" s="2591" t="s">
        <v>2595</v>
      </c>
      <c r="B4" s="2592" t="str">
        <f>'预评函-封皮'!B46</f>
        <v>土地估价师、土地估价师</v>
      </c>
      <c r="N4" s="2593" t="str">
        <f>'预评函-1'!A28</f>
        <v>——</v>
      </c>
    </row>
    <row r="5" spans="1:55" s="2606" customFormat="1" ht="15" thickBot="1">
      <c r="A5" s="2613" t="s">
        <v>2596</v>
      </c>
      <c r="B5" s="2614" t="str">
        <f>'预评函-封皮'!B49</f>
        <v>康正预评字号</v>
      </c>
    </row>
    <row r="6" spans="1:55" s="2615" customFormat="1" ht="15" thickTop="1">
      <c r="A6" s="2607" t="s">
        <v>2638</v>
      </c>
      <c r="B6" s="2608" t="str">
        <f>'预评函-1'!A4</f>
        <v>受贵公司委托，我公司对北京市划拨国有建设用地使用权市场价格进行了预评估。</v>
      </c>
      <c r="AM6" s="2616"/>
    </row>
    <row r="7" spans="1:55" s="2590" customFormat="1">
      <c r="A7" s="2591" t="s">
        <v>2590</v>
      </c>
      <c r="B7" s="2592" t="str">
        <f>'预评函-1'!A6</f>
        <v>估价对象为使用的、位于北京市划拨国有建设用地使用权。根据《国有土地使用证》[]，估价对象（分摊）划拨国有建设用地使用权面积为22121.8平方米。根据《建设工程规划许可证》[]、《出让合同》[]，估价对象规划建筑面积为6546.1平方米。</v>
      </c>
    </row>
    <row r="8" spans="1:55" s="2590" customFormat="1">
      <c r="A8" s="2591" t="s">
        <v>2591</v>
      </c>
      <c r="B8" s="2592" t="str">
        <f>'预评函-1'!A7</f>
        <v xml:space="preserve">简述项目推广名，项目类型（用途），估价对象分布，各用途面积明细情况：XX用途建筑面积XX平方米，XX用途建筑面积XX平方米，……。复杂面积清单需设‘附表’列示：抵押物清单详见附表。        </v>
      </c>
    </row>
    <row r="9" spans="1:55" s="2590" customFormat="1">
      <c r="A9" s="2591" t="s">
        <v>2641</v>
      </c>
      <c r="B9" s="2592" t="str">
        <f>'预评函-1'!A9</f>
        <v>本次评估为委托估价方了解标的物之市场价格提供参考依据而评估划拨国有建设用地使用权市场价格。</v>
      </c>
    </row>
    <row r="10" spans="1:55" s="2590" customFormat="1">
      <c r="A10" s="2591" t="s">
        <v>2592</v>
      </c>
      <c r="B10" s="2592" t="str">
        <f>'预评函-1'!A11</f>
        <v>2020年9月23日（评估专业人员勘察现场之日）</v>
      </c>
    </row>
    <row r="11" spans="1:55" s="2590" customFormat="1">
      <c r="A11" s="2591" t="s">
        <v>2598</v>
      </c>
      <c r="B11" s="2592" t="str">
        <f>'预评函-1'!A14</f>
        <v>根据《国有土地使用证》[]，本次评估估价对象证载（地类）用途为。</v>
      </c>
    </row>
    <row r="12" spans="1:55" s="2590" customFormat="1">
      <c r="A12" s="2591" t="s">
        <v>2599</v>
      </c>
      <c r="B12" s="2592" t="str">
        <f>'预评函-1'!A15</f>
        <v>本次评估设定用途即为证载用途。</v>
      </c>
    </row>
    <row r="13" spans="1:55" s="2590" customFormat="1">
      <c r="A13" s="2591" t="s">
        <v>2600</v>
      </c>
      <c r="B13" s="2592" t="str">
        <f>'预评函-1'!A17</f>
        <v>根据委托估价方介绍及评估专业人员现场勘查，本次评估估价对象实际土地开发程度为红线外市政基础设施达“七通”（即、、、、、、）、宗地红线内场地平整。</v>
      </c>
    </row>
    <row r="14" spans="1:55" s="2590" customFormat="1">
      <c r="A14" s="2591" t="s">
        <v>2601</v>
      </c>
      <c r="B14" s="2592" t="str">
        <f>'预评函-1'!A18</f>
        <v>。本次评估设定土地开发程度为红线外市政基础设施达“七通”、宗地红线内场地平整。</v>
      </c>
    </row>
    <row r="15" spans="1:55" s="2590" customFormat="1">
      <c r="A15" s="2591" t="s">
        <v>2597</v>
      </c>
      <c r="B15" s="2592" t="str">
        <f>'预评函-1'!A20</f>
        <v>根据《国有土地使用证》[]，估价对象（分摊）出让国有建设用地使用权面积为22121.8平方米。根据《建设工程规划许可证》[]、《出让合同》[]，估价对象规划建筑面积为6546.1平方米。</v>
      </c>
    </row>
    <row r="16" spans="1:55" s="2590" customFormat="1">
      <c r="A16" s="2591" t="s">
        <v>2602</v>
      </c>
      <c r="B16" s="2592" t="str">
        <f>'预评函-1'!A22</f>
        <v>本次估价对象国有建设用地使用权类型为划拨，无土地使用年限限制。</v>
      </c>
    </row>
    <row r="17" spans="1:48" s="2590" customFormat="1">
      <c r="A17" s="2591" t="s">
        <v>2603</v>
      </c>
      <c r="B17" s="2592" t="str">
        <f>'预评函-1'!A23</f>
        <v/>
      </c>
    </row>
    <row r="18" spans="1:48" s="2590" customFormat="1">
      <c r="A18" s="2591" t="s">
        <v>2604</v>
      </c>
      <c r="B18" s="2592" t="str">
        <f>'预评函-1'!A25</f>
        <v>本次估价的“划拨国有建设用地使用权价格”是指在估价对象土地所有权为国家所有，使用权性质为划拨，在公开市场条件下，于估价期日2020年9月23日在规划利用条件下、设定土地开发程度为红线外“七通”、宗地内场地，设定用途为的划拨国有建设用地使用权价格。</v>
      </c>
    </row>
    <row r="19" spans="1:48" s="2590" customFormat="1">
      <c r="A19" s="2591" t="s">
        <v>2605</v>
      </c>
      <c r="B19" s="2592" t="str">
        <f>'预评函-1'!A26</f>
        <v>——</v>
      </c>
    </row>
    <row r="20" spans="1:48" s="2590" customFormat="1">
      <c r="A20" s="2591" t="s">
        <v>2606</v>
      </c>
      <c r="B20" s="2592" t="str">
        <f>'预评函-1'!A27</f>
        <v>——</v>
      </c>
    </row>
    <row r="21" spans="1:48" s="2606" customFormat="1" ht="15" thickBot="1">
      <c r="A21" s="2613" t="s">
        <v>2607</v>
      </c>
      <c r="B21" s="2614" t="str">
        <f>'预评函-1'!A28</f>
        <v>——</v>
      </c>
    </row>
    <row r="22" spans="1:48" ht="15" thickTop="1">
      <c r="A22" s="2602" t="s">
        <v>2608</v>
      </c>
      <c r="B22" s="2603"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591" t="s">
        <v>2609</v>
      </c>
      <c r="B23" s="2592" t="str">
        <f>'预评函-2'!K2</f>
        <v>估价期日：2020年9月23日</v>
      </c>
    </row>
    <row r="24" spans="1:48">
      <c r="A24" s="2591" t="s">
        <v>2610</v>
      </c>
      <c r="B24" s="2592" t="str">
        <f>'预评函-2'!R2</f>
        <v>估价期日的国有建设用地使用权性质：划拨</v>
      </c>
    </row>
    <row r="25" spans="1:48">
      <c r="A25" s="2591" t="s">
        <v>2666</v>
      </c>
      <c r="B25" s="2592" t="str">
        <f>'预评函-2'!A3</f>
        <v>估价期日土地使用者</v>
      </c>
    </row>
    <row r="26" spans="1:48">
      <c r="A26" s="2591" t="s">
        <v>2642</v>
      </c>
      <c r="B26" s="2592" t="str">
        <f>'预评函-2'!A5</f>
        <v>中信开发</v>
      </c>
    </row>
    <row r="27" spans="1:48">
      <c r="A27" s="2591" t="s">
        <v>2667</v>
      </c>
      <c r="B27" s="2592" t="str">
        <f>'预评函-2'!B3</f>
        <v>宗地编号/不动产单元号</v>
      </c>
    </row>
    <row r="28" spans="1:48">
      <c r="A28" s="2591" t="s">
        <v>2643</v>
      </c>
      <c r="B28" s="2592" t="str">
        <f>'预评函-2'!B5</f>
        <v>11111111111</v>
      </c>
    </row>
    <row r="29" spans="1:48">
      <c r="A29" s="2591" t="s">
        <v>2669</v>
      </c>
      <c r="B29" s="2592">
        <f>'预评函-2'!C5</f>
        <v>22</v>
      </c>
    </row>
    <row r="30" spans="1:48">
      <c r="A30" s="2591" t="s">
        <v>2670</v>
      </c>
      <c r="B30" s="2592" t="str">
        <f>'预评函-2'!D3</f>
        <v>土地使用证编号/不动产权证书编号</v>
      </c>
    </row>
    <row r="31" spans="1:48">
      <c r="A31" s="2591" t="s">
        <v>2644</v>
      </c>
      <c r="B31" s="2592" t="str">
        <f>'预评函-2'!D5</f>
        <v>京国土字第111号</v>
      </c>
    </row>
    <row r="32" spans="1:48">
      <c r="A32" s="2591" t="s">
        <v>2645</v>
      </c>
      <c r="B32" s="2592">
        <f>'预评函-2'!E5</f>
        <v>0</v>
      </c>
      <c r="AV32" s="2596"/>
    </row>
    <row r="33" spans="1:2">
      <c r="A33" s="2591" t="s">
        <v>2646</v>
      </c>
      <c r="B33" s="2592">
        <f>'预评函-2'!F5</f>
        <v>258</v>
      </c>
    </row>
    <row r="34" spans="1:2">
      <c r="A34" s="2591" t="s">
        <v>2647</v>
      </c>
      <c r="B34" s="2592">
        <f>'预评函-2'!G5</f>
        <v>0</v>
      </c>
    </row>
    <row r="35" spans="1:2">
      <c r="A35" s="2591" t="s">
        <v>2648</v>
      </c>
      <c r="B35" s="2592">
        <f>'预评函-2'!H5</f>
        <v>1.5</v>
      </c>
    </row>
    <row r="36" spans="1:2">
      <c r="A36" s="2591" t="s">
        <v>2649</v>
      </c>
      <c r="B36" s="2592">
        <f>'预评函-2'!I5</f>
        <v>1.5</v>
      </c>
    </row>
    <row r="37" spans="1:2">
      <c r="A37" s="2591" t="s">
        <v>2650</v>
      </c>
      <c r="B37" s="2592">
        <f>'预评函-2'!J5</f>
        <v>1.5</v>
      </c>
    </row>
    <row r="38" spans="1:2">
      <c r="A38" s="2591" t="s">
        <v>2651</v>
      </c>
      <c r="B38" s="2592" t="str">
        <f>'预评函-2'!K5</f>
        <v>红线外七通、宗地红线内</v>
      </c>
    </row>
    <row r="39" spans="1:2">
      <c r="A39" s="2591" t="s">
        <v>2652</v>
      </c>
      <c r="B39" s="2592" t="str">
        <f>'预评函-2'!L5</f>
        <v>红线外七通、宗地红线内场地</v>
      </c>
    </row>
    <row r="40" spans="1:2">
      <c r="A40" s="2591" t="s">
        <v>2671</v>
      </c>
      <c r="B40" s="2592" t="str">
        <f>'预评函-2'!M3</f>
        <v>（剩余）土地使用年限/年</v>
      </c>
    </row>
    <row r="41" spans="1:2">
      <c r="A41" s="2591" t="s">
        <v>2653</v>
      </c>
      <c r="B41" s="2592" t="str">
        <f>'预评函-2'!M5</f>
        <v>——</v>
      </c>
    </row>
    <row r="42" spans="1:2">
      <c r="A42" s="2591" t="s">
        <v>2672</v>
      </c>
      <c r="B42" s="2592" t="str">
        <f>'预评函-2'!N3</f>
        <v>（分摊）划拨国有建设用地使用权面积/㎡</v>
      </c>
    </row>
    <row r="43" spans="1:2">
      <c r="A43" s="2591" t="s">
        <v>2654</v>
      </c>
      <c r="B43" s="2592">
        <f>'预评函-2'!N5</f>
        <v>22121.8</v>
      </c>
    </row>
    <row r="44" spans="1:2">
      <c r="A44" s="2591" t="s">
        <v>2673</v>
      </c>
      <c r="B44" s="2592" t="str">
        <f>'预评函-2'!O3</f>
        <v>规划建筑面积/㎡</v>
      </c>
    </row>
    <row r="45" spans="1:2">
      <c r="A45" s="2591" t="s">
        <v>2655</v>
      </c>
      <c r="B45" s="2592">
        <f>'预评函-2'!O5</f>
        <v>6546.1</v>
      </c>
    </row>
    <row r="46" spans="1:2">
      <c r="A46" s="2591" t="s">
        <v>2656</v>
      </c>
      <c r="B46" s="2592">
        <f ca="1">'预评函-2'!P5</f>
        <v>2815</v>
      </c>
    </row>
    <row r="47" spans="1:2">
      <c r="A47" s="2591" t="s">
        <v>2657</v>
      </c>
      <c r="B47" s="2592">
        <f ca="1">'预评函-2'!Q5</f>
        <v>9513</v>
      </c>
    </row>
    <row r="48" spans="1:2">
      <c r="A48" s="2591" t="s">
        <v>2658</v>
      </c>
      <c r="B48" s="2592">
        <f ca="1">'预评函-2'!R5</f>
        <v>6227</v>
      </c>
    </row>
    <row r="49" spans="1:2">
      <c r="A49" s="2591" t="s">
        <v>2674</v>
      </c>
      <c r="B49" s="2592" t="str">
        <f>'预评函-2'!A6</f>
        <v>——</v>
      </c>
    </row>
    <row r="50" spans="1:2">
      <c r="A50" s="2591" t="s">
        <v>2659</v>
      </c>
      <c r="B50" s="2592" t="str">
        <f>'预评函-2'!R6</f>
        <v>——</v>
      </c>
    </row>
    <row r="51" spans="1:2">
      <c r="A51" s="2591" t="s">
        <v>2675</v>
      </c>
      <c r="B51" s="2592" t="str">
        <f>'预评函-2'!A7</f>
        <v>——</v>
      </c>
    </row>
    <row r="52" spans="1:2">
      <c r="A52" s="2591" t="s">
        <v>2660</v>
      </c>
      <c r="B52" s="2592">
        <f ca="1">'预评函-2'!R7</f>
        <v>6227</v>
      </c>
    </row>
    <row r="53" spans="1:2">
      <c r="A53" s="2591" t="s">
        <v>2676</v>
      </c>
      <c r="B53" s="2592" t="str">
        <f>'预评函-2'!A8</f>
        <v>——</v>
      </c>
    </row>
    <row r="54" spans="1:2" s="2606" customFormat="1" ht="15" thickBot="1">
      <c r="A54" s="2613" t="s">
        <v>2661</v>
      </c>
      <c r="B54" s="2614" t="str">
        <f>'预评函-2'!R8</f>
        <v>——</v>
      </c>
    </row>
    <row r="55" spans="1:2" ht="15" thickTop="1">
      <c r="A55" s="2602" t="s">
        <v>2611</v>
      </c>
      <c r="B55" s="2603" t="str">
        <f>'预评函-3'!A2</f>
        <v>1.权利限制：根据估价对象《不动产权证书》原件、《国有土地使用权》复印件，截至估价期日，估价对象抵押权未见登记。未设定租赁等其他他项权利。</v>
      </c>
    </row>
    <row r="56" spans="1:2">
      <c r="A56" s="2591" t="s">
        <v>2612</v>
      </c>
      <c r="B56" s="2592" t="str">
        <f>'预评函-3'!A3</f>
        <v>2.基础设施条件：估价对象实际开发程度为红线外七通、宗地红线内；本次评估设定开发程度为红线外七通、宗地红线内场地。</v>
      </c>
    </row>
    <row r="57" spans="1:2">
      <c r="A57" s="2591" t="s">
        <v>2613</v>
      </c>
      <c r="B57" s="2592" t="str">
        <f>'预评函-3'!A4</f>
        <v>3.估价规划限制条件：详见《建设工程规划许可证》[]、《出让合同》[]。</v>
      </c>
    </row>
    <row r="58" spans="1:2" s="2606" customFormat="1" ht="15" thickBot="1">
      <c r="A58" s="2613" t="s">
        <v>2662</v>
      </c>
      <c r="B58" s="2614" t="str">
        <f>'预评函-3'!A5</f>
        <v>4.影响价格的其他限定条件：无。</v>
      </c>
    </row>
    <row r="59" spans="1:2" ht="15" thickTop="1">
      <c r="A59" s="2602" t="s">
        <v>2614</v>
      </c>
      <c r="B59" s="2603" t="str">
        <f>'预评函-3'!A8</f>
        <v>2.本次评估设定估价对象宗地权属无争议，未被查封或者以其他形式限制其房地产权利，未设定抵押权等他项权利，不涉及第三方权利义务。</v>
      </c>
    </row>
    <row r="60" spans="1:2">
      <c r="A60" s="2591" t="s">
        <v>2615</v>
      </c>
      <c r="B60" s="2592" t="str">
        <f>'预评函-3'!A9</f>
        <v>——</v>
      </c>
    </row>
    <row r="61" spans="1:2">
      <c r="A61" s="2591" t="s">
        <v>2617</v>
      </c>
      <c r="B61" s="2592" t="str">
        <f>'预评函-3'!A10</f>
        <v>——</v>
      </c>
    </row>
    <row r="62" spans="1:2">
      <c r="A62" s="2591" t="s">
        <v>2616</v>
      </c>
      <c r="B62" s="2592" t="str">
        <f>'预评函-3'!A11</f>
        <v>——</v>
      </c>
    </row>
    <row r="63" spans="1:2">
      <c r="A63" s="2591" t="s">
        <v>2618</v>
      </c>
      <c r="B63" s="259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1" t="s">
        <v>2619</v>
      </c>
      <c r="B64" s="2597" t="str">
        <f>'预评函-3'!A13</f>
        <v>（3）。</v>
      </c>
    </row>
    <row r="65" spans="1:2">
      <c r="A65" s="2591" t="s">
        <v>2620</v>
      </c>
      <c r="B65" s="2598" t="str">
        <f>'预评函-3'!A14</f>
        <v>——</v>
      </c>
    </row>
    <row r="66" spans="1:2">
      <c r="A66" s="2591" t="s">
        <v>2621</v>
      </c>
      <c r="B66" s="259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1" t="s">
        <v>2622</v>
      </c>
      <c r="B67" s="259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6" customFormat="1" ht="15" thickBot="1">
      <c r="A68" s="2613" t="s">
        <v>2625</v>
      </c>
      <c r="B68" s="2617">
        <f>'预评函-3'!D30</f>
        <v>42558</v>
      </c>
    </row>
    <row r="69" spans="1:2" ht="15" thickTop="1">
      <c r="A69" s="2602" t="s">
        <v>2623</v>
      </c>
      <c r="B69" s="2603" t="str">
        <f>'预评函-3'!A20</f>
        <v>土地估价师</v>
      </c>
    </row>
    <row r="70" spans="1:2">
      <c r="A70" s="2591" t="s">
        <v>2623</v>
      </c>
      <c r="B70" s="2598">
        <f>'预评函-3'!B20</f>
        <v>0</v>
      </c>
    </row>
    <row r="71" spans="1:2">
      <c r="A71" s="2591" t="s">
        <v>2624</v>
      </c>
      <c r="B71" s="2592" t="str">
        <f>'预评函-3'!A21</f>
        <v>土地估价师</v>
      </c>
    </row>
    <row r="72" spans="1:2" s="2606" customFormat="1" ht="15" thickBot="1">
      <c r="A72" s="2613" t="s">
        <v>2624</v>
      </c>
      <c r="B72" s="2619">
        <f>'预评函-3'!B21</f>
        <v>0</v>
      </c>
    </row>
    <row r="73" spans="1:2" ht="15" thickTop="1">
      <c r="A73" s="2602" t="s">
        <v>2683</v>
      </c>
      <c r="B73" s="261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1" t="s">
        <v>2684</v>
      </c>
      <c r="B74" s="2599" t="str">
        <f>'预评函-1 (储备)'!A18</f>
        <v>由于本次评估估价目的是评估储备国有建设用地使用权的“抵押价格”，因此本次评估设定土地开发程度为红线外市政基础设施达“七通”、宗地红线内场地平整。</v>
      </c>
    </row>
    <row r="75" spans="1:2" s="2606" customFormat="1" ht="15" thickBot="1">
      <c r="A75" s="2613" t="s">
        <v>2685</v>
      </c>
      <c r="B75" s="262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0" t="s">
        <v>2719</v>
      </c>
      <c r="B76" s="2601" t="str">
        <f>'预评函-3'!A25</f>
        <v>XX</v>
      </c>
    </row>
  </sheetData>
  <sheetProtection sheet="1" objects="1" scenarios="1"/>
  <phoneticPr fontId="16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F46" sqref="F46"/>
    </sheetView>
  </sheetViews>
  <sheetFormatPr defaultColWidth="10" defaultRowHeight="14.25"/>
  <cols>
    <col min="1" max="1" width="15.375" style="1613" customWidth="1"/>
    <col min="2" max="2" width="11.375" style="1613" customWidth="1"/>
    <col min="3" max="3" width="12.625" style="1613" customWidth="1"/>
    <col min="4" max="4" width="11.87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2" customWidth="1"/>
    <col min="12" max="13" width="10" style="3063" customWidth="1"/>
    <col min="14" max="14" width="10" style="3048" customWidth="1"/>
    <col min="15" max="15" width="10" style="3064" customWidth="1"/>
    <col min="16" max="17" width="10" style="3048"/>
    <col min="18" max="18" width="10" style="3048" customWidth="1"/>
    <col min="19" max="28" width="10" style="3048"/>
    <col min="29" max="16384" width="10" style="1613"/>
  </cols>
  <sheetData>
    <row r="1" spans="1:21" ht="15" thickBot="1">
      <c r="A1" s="1586" t="s">
        <v>1884</v>
      </c>
      <c r="B1" s="3393" t="str">
        <f>IF(B10="北京市","北京市",C10)&amp;F10&amp;B16&amp;"国有建设用地使用权"&amp;B9&amp;"预评估"</f>
        <v>北京市划拨国有建设用地使用权市场价格预评估</v>
      </c>
      <c r="C1" s="3394"/>
      <c r="D1" s="3394"/>
      <c r="E1" s="3394"/>
      <c r="F1" s="3394"/>
      <c r="G1" s="3394"/>
      <c r="H1" s="3394"/>
      <c r="I1" s="3395"/>
      <c r="J1" s="3066"/>
      <c r="K1" s="2309" t="str">
        <f>IF(B10="北京市","北京市",C10)&amp;F10&amp;B16&amp;"国有建设用地使用权"&amp;B9</f>
        <v>北京市划拨国有建设用地使用权市场价格</v>
      </c>
      <c r="L1" s="3045"/>
      <c r="M1" s="3045"/>
      <c r="N1" s="3046"/>
      <c r="O1" s="3047"/>
      <c r="P1" s="3046"/>
      <c r="Q1" s="3046"/>
      <c r="R1" s="3046"/>
      <c r="S1" s="3046"/>
      <c r="T1" s="3046"/>
      <c r="U1" s="3046"/>
    </row>
    <row r="2" spans="1:21">
      <c r="A2" s="1587" t="s">
        <v>1885</v>
      </c>
      <c r="B2" s="1754"/>
      <c r="D2" s="3066"/>
      <c r="E2" s="3066"/>
      <c r="F2" s="3066"/>
      <c r="G2" s="3066"/>
      <c r="H2" s="3067"/>
      <c r="I2" s="3068"/>
      <c r="J2" s="3066"/>
      <c r="K2" s="2309" t="str">
        <f>IF(B10="北京市","北京市",C10)&amp;F10&amp;B16&amp;"国有建设用地使用权"</f>
        <v>北京市划拨国有建设用地使用权</v>
      </c>
      <c r="L2" s="3045"/>
      <c r="M2" s="3045"/>
      <c r="N2" s="3046"/>
      <c r="O2" s="3047"/>
      <c r="P2" s="3046"/>
      <c r="Q2" s="3046"/>
      <c r="R2" s="3046"/>
      <c r="S2" s="3046"/>
      <c r="T2" s="3046"/>
      <c r="U2" s="3046"/>
    </row>
    <row r="3" spans="1:21">
      <c r="A3" s="1588" t="s">
        <v>1886</v>
      </c>
      <c r="B3" s="1589">
        <f>D3</f>
        <v>44097</v>
      </c>
      <c r="C3" s="2990" t="s">
        <v>1942</v>
      </c>
      <c r="D3" s="1589">
        <v>44097</v>
      </c>
      <c r="E3" s="3066"/>
      <c r="F3" s="3066"/>
      <c r="G3" s="3066"/>
      <c r="H3" s="3067"/>
      <c r="I3" s="3068"/>
      <c r="J3" s="3066"/>
      <c r="K3" s="3049"/>
      <c r="L3" s="3045"/>
      <c r="M3" s="3045"/>
      <c r="N3" s="3046"/>
      <c r="O3" s="3047"/>
      <c r="P3" s="3046"/>
      <c r="Q3" s="3046"/>
      <c r="R3" s="3046"/>
      <c r="S3" s="3046"/>
      <c r="T3" s="3046"/>
      <c r="U3" s="3046"/>
    </row>
    <row r="4" spans="1:21" ht="15" thickBot="1">
      <c r="A4" s="1591" t="s">
        <v>1887</v>
      </c>
      <c r="B4" s="1755" t="s">
        <v>2819</v>
      </c>
      <c r="C4" s="1758">
        <f>SUMIF(土地估价师,B4,估价师及机构信息!E3:E16)</f>
        <v>0</v>
      </c>
      <c r="D4" s="1755" t="s">
        <v>2819</v>
      </c>
      <c r="E4" s="1758">
        <f>SUMIF(土地估价师,D4,估价师及机构信息!E3:E16)</f>
        <v>0</v>
      </c>
      <c r="F4" s="1755" t="s">
        <v>943</v>
      </c>
      <c r="G4" s="1758">
        <f>SUMIF(土地估价师,F4,估价师及机构信息!E3:E16)</f>
        <v>0</v>
      </c>
      <c r="H4" s="1755" t="s">
        <v>943</v>
      </c>
      <c r="I4" s="1758">
        <f>SUMIF(土地估价师,H4,估价师及机构信息!E3:E16)</f>
        <v>0</v>
      </c>
      <c r="J4" s="3066"/>
      <c r="K4" s="2309" t="str">
        <f>IF(AND(F4="——",H4="——"),B4&amp;"、"&amp;D4,IF(AND(F4&lt;&gt;"——",H4="——"),B4&amp;"、"&amp;D4&amp;"、"&amp;F4,B4&amp;"、"&amp;D4&amp;"、"&amp;F4&amp;"、"&amp;H4))</f>
        <v>土地估价师、土地估价师</v>
      </c>
      <c r="L4" s="3045"/>
      <c r="M4" s="3045"/>
      <c r="N4" s="3046"/>
      <c r="O4" s="3047"/>
      <c r="P4" s="3046"/>
      <c r="Q4" s="3046"/>
      <c r="R4" s="3046"/>
      <c r="S4" s="3046"/>
      <c r="T4" s="3046"/>
      <c r="U4" s="3046"/>
    </row>
    <row r="5" spans="1:21" ht="15" thickTop="1">
      <c r="A5" s="1592" t="s">
        <v>1888</v>
      </c>
      <c r="B5" s="1702"/>
      <c r="C5" s="1593"/>
      <c r="D5" s="1594"/>
      <c r="E5" s="3066"/>
      <c r="F5" s="3066"/>
      <c r="G5" s="3066"/>
      <c r="H5" s="3067"/>
      <c r="I5" s="3068"/>
      <c r="J5" s="3066"/>
      <c r="K5" s="3049"/>
      <c r="L5" s="3045"/>
      <c r="M5" s="3045"/>
      <c r="N5" s="3046"/>
      <c r="O5" s="3047"/>
      <c r="P5" s="3046"/>
      <c r="Q5" s="3046"/>
      <c r="R5" s="3046"/>
      <c r="S5" s="3046"/>
      <c r="T5" s="3046"/>
      <c r="U5" s="3046"/>
    </row>
    <row r="6" spans="1:21" ht="26.25">
      <c r="A6" s="1590" t="s">
        <v>2639</v>
      </c>
      <c r="B6" s="1702"/>
      <c r="C6" s="1677"/>
      <c r="D6" s="1595"/>
      <c r="E6" s="3066"/>
      <c r="F6" s="3066"/>
      <c r="G6" s="3066"/>
      <c r="H6" s="3067"/>
      <c r="I6" s="3068"/>
      <c r="J6" s="3066"/>
      <c r="K6" s="3050" t="str">
        <f>IF(COUNTIF(B6,"*上海银行*"),"上海银行","")</f>
        <v/>
      </c>
      <c r="L6" s="3045"/>
      <c r="M6" s="3045"/>
      <c r="N6" s="3046"/>
      <c r="O6" s="3047"/>
      <c r="P6" s="3046"/>
      <c r="Q6" s="3046"/>
      <c r="R6" s="3046"/>
      <c r="S6" s="3046"/>
      <c r="T6" s="3046"/>
      <c r="U6" s="3046"/>
    </row>
    <row r="7" spans="1:21">
      <c r="A7" s="1596" t="s">
        <v>2640</v>
      </c>
      <c r="B7" s="1702"/>
      <c r="C7" s="1677"/>
      <c r="D7" s="1595"/>
      <c r="E7" s="3066"/>
      <c r="F7" s="3066"/>
      <c r="G7" s="3066"/>
      <c r="H7" s="3067"/>
      <c r="I7" s="3068"/>
      <c r="J7" s="3066"/>
      <c r="K7" s="3049"/>
      <c r="L7" s="3045"/>
      <c r="M7" s="3045"/>
      <c r="N7" s="3046"/>
      <c r="O7" s="3047"/>
      <c r="P7" s="3046"/>
      <c r="Q7" s="3046"/>
      <c r="R7" s="3046"/>
      <c r="S7" s="3046"/>
      <c r="T7" s="3046"/>
      <c r="U7" s="3046"/>
    </row>
    <row r="8" spans="1:21">
      <c r="A8" s="2991" t="s">
        <v>1889</v>
      </c>
      <c r="B8" s="1597" t="s">
        <v>2949</v>
      </c>
      <c r="C8" s="1598"/>
      <c r="D8" s="3399" t="s">
        <v>1891</v>
      </c>
      <c r="E8" s="1756" t="s">
        <v>2952</v>
      </c>
      <c r="F8" s="1599"/>
      <c r="G8" s="3067"/>
      <c r="H8" s="3067"/>
      <c r="I8" s="3070"/>
      <c r="J8" s="3066"/>
      <c r="K8" s="3049"/>
      <c r="L8" s="3045"/>
      <c r="M8" s="3045"/>
      <c r="N8" s="3046"/>
      <c r="O8" s="3047"/>
      <c r="P8" s="3046"/>
      <c r="Q8" s="3046"/>
      <c r="R8" s="3046"/>
      <c r="S8" s="3046"/>
      <c r="T8" s="3046"/>
      <c r="U8" s="3046"/>
    </row>
    <row r="9" spans="1:21" ht="15" thickBot="1">
      <c r="A9" s="2992" t="s">
        <v>1890</v>
      </c>
      <c r="B9" s="1600" t="s">
        <v>2950</v>
      </c>
      <c r="C9" s="1601"/>
      <c r="D9" s="3400"/>
      <c r="E9" s="1600"/>
      <c r="F9" s="1663"/>
      <c r="G9" s="3071"/>
      <c r="H9" s="3071"/>
      <c r="I9" s="3072"/>
      <c r="J9" s="3066"/>
      <c r="K9" s="3049"/>
      <c r="L9" s="3045"/>
      <c r="M9" s="3045"/>
      <c r="N9" s="3046"/>
      <c r="O9" s="3047"/>
      <c r="P9" s="3046"/>
      <c r="Q9" s="3046"/>
      <c r="R9" s="3046"/>
      <c r="S9" s="3046"/>
      <c r="T9" s="3046"/>
      <c r="U9" s="3046"/>
    </row>
    <row r="10" spans="1:21" ht="15" thickTop="1">
      <c r="A10" s="2993" t="s">
        <v>1946</v>
      </c>
      <c r="B10" s="1639" t="s">
        <v>1892</v>
      </c>
      <c r="C10" s="1602"/>
      <c r="D10" s="1594"/>
      <c r="E10" s="1603" t="s">
        <v>1893</v>
      </c>
      <c r="F10" s="1604"/>
      <c r="G10" s="1661"/>
      <c r="H10" s="1662"/>
      <c r="I10" s="1594"/>
      <c r="J10" s="3066"/>
      <c r="K10" s="3049"/>
      <c r="L10" s="3045"/>
      <c r="M10" s="3045"/>
      <c r="N10" s="3046"/>
      <c r="O10" s="3047"/>
      <c r="P10" s="3046"/>
      <c r="Q10" s="3046"/>
      <c r="R10" s="3046"/>
      <c r="S10" s="3046"/>
      <c r="T10" s="3046"/>
      <c r="U10" s="3046"/>
    </row>
    <row r="11" spans="1:21">
      <c r="A11" s="2994" t="s">
        <v>1947</v>
      </c>
      <c r="B11" s="1619" t="s">
        <v>2951</v>
      </c>
      <c r="C11" s="1605"/>
      <c r="D11" s="1678"/>
      <c r="E11" s="3065"/>
      <c r="F11" s="3065"/>
      <c r="G11" s="3065"/>
      <c r="H11" s="3065"/>
      <c r="I11" s="3065"/>
      <c r="J11" s="3066"/>
      <c r="K11" s="3049"/>
      <c r="L11" s="3045"/>
      <c r="M11" s="3045"/>
      <c r="N11" s="3046"/>
      <c r="O11" s="3047"/>
      <c r="P11" s="3046"/>
      <c r="Q11" s="3046"/>
      <c r="R11" s="3046"/>
      <c r="S11" s="3046"/>
      <c r="T11" s="3046"/>
      <c r="U11" s="3046"/>
    </row>
    <row r="12" spans="1:21">
      <c r="A12" s="1698" t="s">
        <v>2005</v>
      </c>
      <c r="B12" s="3396"/>
      <c r="C12" s="3397"/>
      <c r="D12" s="3398"/>
      <c r="E12" s="1620" t="s">
        <v>2008</v>
      </c>
      <c r="F12" s="3414" t="s">
        <v>2820</v>
      </c>
      <c r="G12" s="3415"/>
      <c r="H12" s="3415"/>
      <c r="I12" s="3416"/>
      <c r="J12" s="3066"/>
      <c r="K12" s="3049"/>
      <c r="L12" s="3045"/>
      <c r="M12" s="3045"/>
      <c r="N12" s="3046"/>
      <c r="O12" s="3047"/>
      <c r="P12" s="3046"/>
      <c r="Q12" s="3046"/>
      <c r="R12" s="3046"/>
      <c r="S12" s="3046"/>
      <c r="T12" s="3046"/>
      <c r="U12" s="3046"/>
    </row>
    <row r="13" spans="1:21">
      <c r="A13" s="1611" t="s">
        <v>2006</v>
      </c>
      <c r="B13" s="3396"/>
      <c r="C13" s="3397"/>
      <c r="D13" s="3398"/>
      <c r="E13" s="1620" t="s">
        <v>2008</v>
      </c>
      <c r="F13" s="3414" t="s">
        <v>2821</v>
      </c>
      <c r="G13" s="3415"/>
      <c r="H13" s="3415"/>
      <c r="I13" s="3416"/>
      <c r="J13" s="3066"/>
      <c r="K13" s="3049"/>
      <c r="L13" s="3045"/>
      <c r="M13" s="3045"/>
      <c r="N13" s="3046"/>
      <c r="O13" s="3047"/>
      <c r="P13" s="3046"/>
      <c r="Q13" s="3046"/>
      <c r="R13" s="3046"/>
      <c r="S13" s="3046"/>
      <c r="T13" s="3046"/>
      <c r="U13" s="3046"/>
    </row>
    <row r="14" spans="1:21">
      <c r="A14" s="1588" t="s">
        <v>2009</v>
      </c>
      <c r="B14" s="1620"/>
      <c r="C14" s="1757"/>
      <c r="D14" s="1653" t="str">
        <f>IF(C14="不一致","是否符合证载地类范围","")</f>
        <v/>
      </c>
      <c r="E14" s="1620"/>
      <c r="F14" s="1703"/>
      <c r="G14" s="1648"/>
      <c r="H14" s="1648"/>
      <c r="I14" s="1750"/>
      <c r="J14" s="3066"/>
      <c r="K14" s="3049"/>
      <c r="L14" s="3045"/>
      <c r="M14" s="3045"/>
      <c r="N14" s="3046"/>
      <c r="O14" s="3047"/>
      <c r="P14" s="3046"/>
      <c r="Q14" s="3046"/>
      <c r="R14" s="3046"/>
      <c r="S14" s="3046"/>
      <c r="T14" s="3046"/>
      <c r="U14" s="3046"/>
    </row>
    <row r="15" spans="1:21" hidden="1">
      <c r="A15" s="2483"/>
      <c r="B15" s="1590"/>
      <c r="C15" s="1590"/>
      <c r="D15" s="1682" t="s">
        <v>1896</v>
      </c>
      <c r="E15" s="1682" t="s">
        <v>1897</v>
      </c>
      <c r="F15" s="1682" t="s">
        <v>1898</v>
      </c>
      <c r="G15" s="1610" t="s">
        <v>1899</v>
      </c>
      <c r="H15" s="1610" t="s">
        <v>1900</v>
      </c>
      <c r="I15" s="1610" t="s">
        <v>1901</v>
      </c>
      <c r="J15" s="3066"/>
      <c r="K15" s="3049"/>
      <c r="L15" s="3045"/>
      <c r="M15" s="3045"/>
      <c r="N15" s="3046"/>
      <c r="O15" s="3047"/>
      <c r="P15" s="3046"/>
      <c r="Q15" s="3046"/>
      <c r="R15" s="3046"/>
      <c r="S15" s="3046"/>
      <c r="T15" s="3046"/>
      <c r="U15" s="3046"/>
    </row>
    <row r="16" spans="1:21" ht="28.5">
      <c r="A16" s="2995" t="s">
        <v>1894</v>
      </c>
      <c r="B16" s="1606" t="s">
        <v>2948</v>
      </c>
      <c r="C16" s="1620" t="s">
        <v>1895</v>
      </c>
      <c r="D16" s="2484" t="s">
        <v>1896</v>
      </c>
      <c r="E16" s="1642"/>
      <c r="F16" s="1642"/>
      <c r="G16" s="1642"/>
      <c r="H16" s="1642"/>
      <c r="I16" s="1610" t="s">
        <v>1901</v>
      </c>
      <c r="J16" s="3066"/>
      <c r="K16" s="2310" t="str">
        <f>IF(D17="","",D16&amp;TEXT(D17,"yyyy年m月d日;;"))</f>
        <v/>
      </c>
      <c r="L16" s="1620" t="str">
        <f>IF(OR(K16="",M16=""),"","、")</f>
        <v/>
      </c>
      <c r="M16" s="2310" t="str">
        <f>IF(E17="","",E16&amp;TEXT(E17,"yyyy年m月d日;;"))</f>
        <v/>
      </c>
      <c r="N16" s="1620" t="str">
        <f>IF(OR(M16="",O16=""),"","、")</f>
        <v/>
      </c>
      <c r="O16" s="2310" t="str">
        <f>IF(F17="","",F16&amp;TEXT(F17,"yyyy年m月d日;;"))</f>
        <v/>
      </c>
      <c r="P16" s="1620" t="str">
        <f>IF(OR(O16="",Q16=""),"","、")</f>
        <v/>
      </c>
      <c r="Q16" s="2310" t="str">
        <f>IF(G17="","",G16&amp;TEXT(G17,"yyyy年m月d日;;"))</f>
        <v/>
      </c>
      <c r="R16" s="1620" t="str">
        <f>IF(OR(Q16="",S16=""),"","、")</f>
        <v/>
      </c>
      <c r="S16" s="2310" t="str">
        <f>IF(H17="","",H16&amp;TEXT(H17,"yyyy年m月d日;;"))</f>
        <v/>
      </c>
      <c r="T16" s="1620" t="str">
        <f>IF(OR(S16="",U16=""),"","、")</f>
        <v/>
      </c>
      <c r="U16" s="2310" t="str">
        <f>IF(I17="","",I16&amp;TEXT(I17,"yyyy年m月d日;;"))</f>
        <v>工业2070年9月22日</v>
      </c>
    </row>
    <row r="17" spans="1:21">
      <c r="A17" s="1679"/>
      <c r="B17" s="1607"/>
      <c r="C17" s="2996" t="s">
        <v>1902</v>
      </c>
      <c r="D17" s="3267"/>
      <c r="E17" s="3267"/>
      <c r="F17" s="3267"/>
      <c r="G17" s="3267"/>
      <c r="H17" s="3267"/>
      <c r="I17" s="3267">
        <v>62358</v>
      </c>
      <c r="J17" s="3066"/>
      <c r="K17" s="3044" t="str">
        <f>CONCATENATE(K16,L16,M16,N16,O16,P16,Q16,R16,S16,T16,,U16)</f>
        <v>工业2070年9月22日</v>
      </c>
      <c r="L17" s="3045"/>
      <c r="M17" s="3045"/>
      <c r="N17" s="3046"/>
      <c r="O17" s="3047"/>
      <c r="P17" s="3046"/>
      <c r="Q17" s="3046"/>
      <c r="R17" s="3046"/>
      <c r="S17" s="3046"/>
      <c r="T17" s="3046"/>
      <c r="U17" s="3046"/>
    </row>
    <row r="18" spans="1:21">
      <c r="A18" s="1679"/>
      <c r="B18" s="1607"/>
      <c r="C18" s="2996" t="s">
        <v>1903</v>
      </c>
      <c r="D18" s="1608"/>
      <c r="E18" s="1608"/>
      <c r="F18" s="1608"/>
      <c r="G18" s="1608"/>
      <c r="H18" s="1608"/>
      <c r="I18" s="1608">
        <v>50</v>
      </c>
      <c r="J18" s="3066"/>
      <c r="K18" s="3049"/>
      <c r="L18" s="3045"/>
      <c r="M18" s="3045"/>
      <c r="N18" s="3046"/>
      <c r="O18" s="3047"/>
      <c r="P18" s="3046"/>
      <c r="Q18" s="3046"/>
      <c r="R18" s="3046"/>
      <c r="S18" s="3046"/>
      <c r="T18" s="3046"/>
      <c r="U18" s="3046"/>
    </row>
    <row r="19" spans="1:21">
      <c r="A19" s="1679"/>
      <c r="B19" s="1607"/>
      <c r="C19" s="1587" t="s">
        <v>1904</v>
      </c>
      <c r="D19" s="1674">
        <f>IF(B16="出让",IF(D17="","",ROUNDDOWN(MIN((D17-$D$3)/365,D18),2)),D18)</f>
        <v>0</v>
      </c>
      <c r="E19" s="1609">
        <f>IF(B16="出让",IF(E17="","",ROUNDDOWN(MIN((E17-$D$3)/365,E18),2)),E18)</f>
        <v>0</v>
      </c>
      <c r="F19" s="1609">
        <f>IF(B16="出让",IF(F17="","",ROUNDDOWN(MIN((F17-$D$3)/365,F18),2)),F18)</f>
        <v>0</v>
      </c>
      <c r="G19" s="1609">
        <f>IF(B16="出让",IF(G17="","",ROUNDDOWN(MIN((G17-$D$3)/365,G18),2)),G18)</f>
        <v>0</v>
      </c>
      <c r="H19" s="1609">
        <f>IF(B16="出让",IF(H17="","",ROUNDDOWN(MIN((H17-$D$3)/365,H18),2)),H18)</f>
        <v>0</v>
      </c>
      <c r="I19" s="1609">
        <f>IF(B16="出让",IF(I17="","",ROUNDDOWN(MIN((I17-$D$3)/365,I18),2)),I18)</f>
        <v>50</v>
      </c>
      <c r="J19" s="3066"/>
      <c r="K19" s="3049"/>
      <c r="L19" s="3045"/>
      <c r="M19" s="3045"/>
      <c r="N19" s="3046"/>
      <c r="O19" s="3047"/>
      <c r="P19" s="3046"/>
      <c r="Q19" s="3046"/>
      <c r="R19" s="3046"/>
      <c r="S19" s="3046"/>
      <c r="T19" s="3046"/>
      <c r="U19" s="3046"/>
    </row>
    <row r="20" spans="1:21">
      <c r="A20" s="1699"/>
      <c r="B20" s="1700"/>
      <c r="C20" s="1701" t="s">
        <v>2007</v>
      </c>
      <c r="D20" s="3411"/>
      <c r="E20" s="3412"/>
      <c r="F20" s="3412"/>
      <c r="G20" s="3412"/>
      <c r="H20" s="3412"/>
      <c r="I20" s="3413"/>
      <c r="J20" s="3066"/>
      <c r="K20" s="3049"/>
      <c r="L20" s="3045"/>
      <c r="M20" s="3045"/>
      <c r="N20" s="3046"/>
      <c r="O20" s="3047"/>
      <c r="P20" s="3046"/>
      <c r="Q20" s="3046"/>
      <c r="R20" s="3046"/>
      <c r="S20" s="3046"/>
      <c r="T20" s="3046"/>
      <c r="U20" s="3046"/>
    </row>
    <row r="21" spans="1:21">
      <c r="A21" s="1679" t="s">
        <v>1905</v>
      </c>
      <c r="B21" s="1680" t="s">
        <v>1906</v>
      </c>
      <c r="C21" s="1675">
        <f>'数据-汇总表'!E3</f>
        <v>6546.1</v>
      </c>
      <c r="D21" s="1676" t="s">
        <v>1907</v>
      </c>
      <c r="E21" s="3401" t="s">
        <v>1945</v>
      </c>
      <c r="F21" s="3402"/>
      <c r="G21" s="3402"/>
      <c r="H21" s="3402"/>
      <c r="I21" s="3403"/>
      <c r="J21" s="3066"/>
      <c r="K21" s="3049"/>
      <c r="L21" s="3045"/>
      <c r="M21" s="3045"/>
      <c r="N21" s="3046"/>
      <c r="O21" s="3047"/>
      <c r="P21" s="3046"/>
      <c r="Q21" s="3046"/>
      <c r="R21" s="3046"/>
      <c r="S21" s="3046"/>
      <c r="T21" s="3046"/>
      <c r="U21" s="3046"/>
    </row>
    <row r="22" spans="1:21">
      <c r="A22" s="2795" t="s">
        <v>943</v>
      </c>
      <c r="B22" s="1588" t="s">
        <v>1908</v>
      </c>
      <c r="C22" s="1610">
        <f>'数据-汇总表'!D3</f>
        <v>22121.8</v>
      </c>
      <c r="D22" s="1611" t="s">
        <v>1907</v>
      </c>
      <c r="E22" s="3401" t="s">
        <v>2822</v>
      </c>
      <c r="F22" s="3402"/>
      <c r="G22" s="3402"/>
      <c r="H22" s="3402"/>
      <c r="I22" s="3403"/>
      <c r="J22" s="3066"/>
      <c r="K22" s="3049"/>
      <c r="L22" s="3045"/>
      <c r="M22" s="3045"/>
      <c r="N22" s="3046"/>
      <c r="O22" s="3047"/>
      <c r="P22" s="3046"/>
      <c r="Q22" s="3046"/>
      <c r="R22" s="3046"/>
      <c r="S22" s="3046"/>
      <c r="T22" s="3046"/>
      <c r="U22" s="3046"/>
    </row>
    <row r="23" spans="1:21" ht="43.5" thickBot="1">
      <c r="A23" s="1681" t="s">
        <v>1909</v>
      </c>
      <c r="B23" s="1621" t="s">
        <v>1910</v>
      </c>
      <c r="C23" s="1622"/>
      <c r="D23" s="1623" t="s">
        <v>1911</v>
      </c>
      <c r="E23" s="1624"/>
      <c r="F23" s="1625" t="str">
        <f>IF(AND(C23="是",E23="否"),"是否提供他项权证或相关说明","")</f>
        <v/>
      </c>
      <c r="G23" s="1626"/>
      <c r="H23" s="3066"/>
      <c r="I23" s="3070"/>
      <c r="J23" s="3066"/>
      <c r="K23" s="3049"/>
      <c r="L23" s="3045"/>
      <c r="M23" s="3045"/>
      <c r="N23" s="3046"/>
      <c r="O23" s="3047"/>
      <c r="P23" s="3046"/>
      <c r="Q23" s="3046"/>
      <c r="R23" s="3046"/>
      <c r="S23" s="3046"/>
      <c r="T23" s="3046"/>
      <c r="U23" s="3046"/>
    </row>
    <row r="24" spans="1:21">
      <c r="A24" s="1666" t="s">
        <v>1912</v>
      </c>
      <c r="B24" s="3404" t="s">
        <v>1913</v>
      </c>
      <c r="C24" s="3405"/>
      <c r="D24" s="3406" t="s">
        <v>1914</v>
      </c>
      <c r="E24" s="3407"/>
      <c r="F24" s="1628" t="s">
        <v>1915</v>
      </c>
      <c r="G24" s="3066"/>
      <c r="H24" s="3066"/>
      <c r="I24" s="3070"/>
      <c r="J24" s="3066"/>
      <c r="K24" s="3392" t="s">
        <v>1916</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46"/>
      <c r="O24" s="3047"/>
      <c r="P24" s="3046"/>
      <c r="Q24" s="3046"/>
      <c r="R24" s="3046"/>
      <c r="S24" s="3046"/>
      <c r="T24" s="3046"/>
      <c r="U24" s="3046"/>
    </row>
    <row r="25" spans="1:21" ht="28.5">
      <c r="A25" s="1667"/>
      <c r="B25" s="1664" t="s">
        <v>2267</v>
      </c>
      <c r="C25" s="1629" t="s">
        <v>1917</v>
      </c>
      <c r="D25" s="1630"/>
      <c r="E25" s="1631" t="s">
        <v>943</v>
      </c>
      <c r="F25" s="1632"/>
      <c r="G25" s="3066"/>
      <c r="H25" s="3066"/>
      <c r="I25" s="3070"/>
      <c r="J25" s="3066"/>
      <c r="K25" s="3392"/>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46"/>
      <c r="O25" s="3047"/>
      <c r="P25" s="3046"/>
      <c r="Q25" s="3046"/>
      <c r="R25" s="3046"/>
      <c r="S25" s="3046"/>
      <c r="T25" s="3046"/>
      <c r="U25" s="3046"/>
    </row>
    <row r="26" spans="1:21" ht="29.25" thickBot="1">
      <c r="A26" s="1668"/>
      <c r="B26" s="1665" t="s">
        <v>1918</v>
      </c>
      <c r="C26" s="1629" t="s">
        <v>2268</v>
      </c>
      <c r="D26" s="3067"/>
      <c r="E26" s="3067"/>
      <c r="F26" s="3073"/>
      <c r="G26" s="3066"/>
      <c r="H26" s="3066"/>
      <c r="I26" s="3070"/>
      <c r="J26" s="3066"/>
      <c r="K26" s="3392"/>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46"/>
      <c r="O26" s="3047"/>
      <c r="P26" s="3046"/>
      <c r="Q26" s="3046"/>
      <c r="R26" s="3046"/>
      <c r="S26" s="3046"/>
      <c r="T26" s="3046"/>
      <c r="U26" s="3046"/>
    </row>
    <row r="27" spans="1:21">
      <c r="A27" s="1671" t="s">
        <v>1919</v>
      </c>
      <c r="B27" s="1669" t="s">
        <v>1920</v>
      </c>
      <c r="C27" s="1633"/>
      <c r="D27" s="2489" t="s">
        <v>1920</v>
      </c>
      <c r="E27" s="1634"/>
      <c r="F27" s="3073"/>
      <c r="G27" s="3066"/>
      <c r="H27" s="3066"/>
      <c r="I27" s="3070"/>
      <c r="J27" s="3066"/>
      <c r="K27" s="3049"/>
      <c r="L27" s="3045"/>
      <c r="M27" s="3045"/>
      <c r="N27" s="3046"/>
      <c r="O27" s="3047"/>
      <c r="P27" s="3046"/>
      <c r="Q27" s="3046"/>
      <c r="R27" s="3046"/>
      <c r="S27" s="3046"/>
      <c r="T27" s="3046"/>
      <c r="U27" s="3046"/>
    </row>
    <row r="28" spans="1:21">
      <c r="A28" s="1672"/>
      <c r="B28" s="1669" t="s">
        <v>1921</v>
      </c>
      <c r="C28" s="1635"/>
      <c r="D28" s="2490" t="s">
        <v>1921</v>
      </c>
      <c r="E28" s="1636"/>
      <c r="F28" s="3073"/>
      <c r="G28" s="3066"/>
      <c r="H28" s="3066"/>
      <c r="I28" s="3070"/>
      <c r="J28" s="3066"/>
      <c r="K28" s="3049"/>
      <c r="L28" s="3045"/>
      <c r="M28" s="3045"/>
      <c r="N28" s="3046"/>
      <c r="O28" s="3047"/>
      <c r="P28" s="3046"/>
      <c r="Q28" s="3046"/>
      <c r="R28" s="3046"/>
      <c r="S28" s="3046"/>
      <c r="T28" s="3046"/>
      <c r="U28" s="3046"/>
    </row>
    <row r="29" spans="1:21">
      <c r="A29" s="1672"/>
      <c r="B29" s="1669" t="s">
        <v>1922</v>
      </c>
      <c r="C29" s="1635"/>
      <c r="D29" s="2490" t="s">
        <v>1922</v>
      </c>
      <c r="E29" s="1636"/>
      <c r="F29" s="3073"/>
      <c r="G29" s="3066"/>
      <c r="H29" s="3066"/>
      <c r="I29" s="3070"/>
      <c r="J29" s="3066"/>
      <c r="K29" s="3049"/>
      <c r="L29" s="3045"/>
      <c r="M29" s="3045"/>
      <c r="N29" s="3046"/>
      <c r="O29" s="3047"/>
      <c r="P29" s="3046"/>
      <c r="Q29" s="3046"/>
      <c r="R29" s="3046"/>
      <c r="S29" s="3046"/>
      <c r="T29" s="3046"/>
      <c r="U29" s="3046"/>
    </row>
    <row r="30" spans="1:21" ht="15" thickBot="1">
      <c r="A30" s="1673"/>
      <c r="B30" s="1670" t="s">
        <v>1923</v>
      </c>
      <c r="C30" s="1637"/>
      <c r="D30" s="2491" t="s">
        <v>1923</v>
      </c>
      <c r="E30" s="1638"/>
      <c r="F30" s="3074"/>
      <c r="G30" s="3071"/>
      <c r="H30" s="3071"/>
      <c r="I30" s="3072"/>
      <c r="J30" s="3066"/>
      <c r="K30" s="3049"/>
      <c r="L30" s="3045"/>
      <c r="M30" s="3045"/>
      <c r="N30" s="3046"/>
      <c r="O30" s="3047"/>
      <c r="P30" s="3046"/>
      <c r="Q30" s="3046"/>
      <c r="R30" s="3046"/>
      <c r="S30" s="3046"/>
      <c r="T30" s="3046"/>
      <c r="U30" s="3046"/>
    </row>
    <row r="31" spans="1:21" ht="15" thickTop="1">
      <c r="A31" s="3378" t="s">
        <v>1948</v>
      </c>
      <c r="B31" s="1680" t="s">
        <v>1949</v>
      </c>
      <c r="C31" s="3417"/>
      <c r="D31" s="3418"/>
      <c r="E31" s="3066"/>
      <c r="F31" s="3066"/>
      <c r="G31" s="3066"/>
      <c r="H31" s="3066"/>
      <c r="I31" s="3070"/>
      <c r="J31" s="3066"/>
      <c r="K31" s="3052"/>
      <c r="L31" s="3046"/>
      <c r="M31" s="3046"/>
      <c r="N31" s="3046"/>
      <c r="O31" s="3046"/>
      <c r="P31" s="3046"/>
      <c r="Q31" s="3046"/>
      <c r="R31" s="3046"/>
      <c r="S31" s="3046"/>
      <c r="T31" s="3046"/>
      <c r="U31" s="3046"/>
    </row>
    <row r="32" spans="1:21">
      <c r="A32" s="3378"/>
      <c r="B32" s="1588" t="s">
        <v>1950</v>
      </c>
      <c r="C32" s="1639"/>
      <c r="D32" s="1640"/>
      <c r="E32" s="3066"/>
      <c r="F32" s="3066"/>
      <c r="G32" s="3066"/>
      <c r="H32" s="3066"/>
      <c r="I32" s="3070"/>
      <c r="J32" s="3066"/>
      <c r="K32" s="3052"/>
      <c r="L32" s="3046"/>
      <c r="M32" s="3046"/>
      <c r="N32" s="3046"/>
      <c r="O32" s="3046"/>
      <c r="P32" s="3046"/>
      <c r="Q32" s="3046"/>
      <c r="R32" s="3046"/>
      <c r="S32" s="3046"/>
      <c r="T32" s="3046"/>
      <c r="U32" s="3046"/>
    </row>
    <row r="33" spans="1:28">
      <c r="A33" s="3378"/>
      <c r="B33" s="1588" t="s">
        <v>1951</v>
      </c>
      <c r="C33" s="1641"/>
      <c r="D33" s="1751"/>
      <c r="E33" s="3066"/>
      <c r="F33" s="3066"/>
      <c r="G33" s="3066"/>
      <c r="H33" s="3066"/>
      <c r="I33" s="3070"/>
      <c r="J33" s="3066"/>
      <c r="K33" s="3052"/>
      <c r="L33" s="3046"/>
      <c r="M33" s="3046"/>
      <c r="N33" s="3046"/>
      <c r="O33" s="3046"/>
      <c r="P33" s="3046"/>
      <c r="Q33" s="3046"/>
      <c r="R33" s="3046"/>
      <c r="S33" s="3046"/>
      <c r="T33" s="3046"/>
      <c r="U33" s="3046"/>
    </row>
    <row r="34" spans="1:28">
      <c r="A34" s="3379"/>
      <c r="B34" s="1588" t="s">
        <v>1952</v>
      </c>
      <c r="C34" s="3380"/>
      <c r="D34" s="3381"/>
      <c r="E34" s="3066"/>
      <c r="F34" s="3066"/>
      <c r="G34" s="3066"/>
      <c r="H34" s="3066"/>
      <c r="I34" s="3070"/>
      <c r="J34" s="3066"/>
      <c r="K34" s="3052"/>
      <c r="L34" s="3046"/>
      <c r="M34" s="3046"/>
      <c r="N34" s="3046"/>
      <c r="O34" s="3046"/>
      <c r="P34" s="3046"/>
      <c r="Q34" s="3046"/>
      <c r="R34" s="3046"/>
      <c r="S34" s="3046"/>
      <c r="T34" s="3046"/>
      <c r="U34" s="3046"/>
    </row>
    <row r="35" spans="1:28">
      <c r="A35" s="3382" t="s">
        <v>839</v>
      </c>
      <c r="B35" s="1642"/>
      <c r="C35" s="1689" t="str">
        <f>IF(B35="场地平整","——","具体情况：")</f>
        <v>具体情况：</v>
      </c>
      <c r="D35" s="3384"/>
      <c r="E35" s="3385"/>
      <c r="F35" s="3385"/>
      <c r="G35" s="3385"/>
      <c r="H35" s="3385"/>
      <c r="I35" s="3386"/>
      <c r="J35" s="3066"/>
      <c r="K35" s="3053"/>
      <c r="L35" s="3045"/>
      <c r="M35" s="3045"/>
      <c r="N35" s="3046"/>
      <c r="O35" s="3047"/>
      <c r="P35" s="3046"/>
      <c r="Q35" s="3046"/>
      <c r="R35" s="3046"/>
      <c r="S35" s="3046"/>
      <c r="T35" s="3046"/>
      <c r="U35" s="3046"/>
    </row>
    <row r="36" spans="1:28">
      <c r="A36" s="3378"/>
      <c r="B36" s="3387" t="s">
        <v>2001</v>
      </c>
      <c r="C36" s="3388"/>
      <c r="D36" s="1705"/>
      <c r="E36" s="3389"/>
      <c r="F36" s="3389"/>
      <c r="G36" s="1611" t="str">
        <f>IF(B35="场地未平整","估价结果处理","")</f>
        <v/>
      </c>
      <c r="H36" s="3390"/>
      <c r="I36" s="3390"/>
      <c r="J36" s="3066"/>
      <c r="K36" s="3053"/>
      <c r="L36" s="3045"/>
      <c r="M36" s="3045"/>
      <c r="N36" s="3046"/>
      <c r="O36" s="3047"/>
      <c r="P36" s="3046"/>
      <c r="Q36" s="3046"/>
      <c r="R36" s="3046"/>
      <c r="S36" s="3046"/>
      <c r="T36" s="3046"/>
      <c r="U36" s="3046"/>
    </row>
    <row r="37" spans="1:28" ht="28.5">
      <c r="A37" s="3378"/>
      <c r="B37" s="3408" t="s">
        <v>840</v>
      </c>
      <c r="C37" s="1644" t="s">
        <v>841</v>
      </c>
      <c r="D37" s="1645"/>
      <c r="E37" s="1646"/>
      <c r="F37" s="3066"/>
      <c r="G37" s="3066"/>
      <c r="H37" s="3066"/>
      <c r="I37" s="3070"/>
      <c r="J37" s="3066"/>
      <c r="K37" s="3053"/>
      <c r="L37" s="3046"/>
      <c r="M37" s="3046"/>
      <c r="N37" s="3046"/>
      <c r="O37" s="3046"/>
      <c r="P37" s="3046"/>
      <c r="Q37" s="3046"/>
      <c r="R37" s="3046"/>
      <c r="S37" s="3046"/>
      <c r="T37" s="3046"/>
      <c r="U37" s="3046"/>
    </row>
    <row r="38" spans="1:28">
      <c r="A38" s="3378"/>
      <c r="B38" s="3409"/>
      <c r="C38" s="1596" t="s">
        <v>842</v>
      </c>
      <c r="D38" s="1704">
        <f>ROUNDDOWN(MIN(('数据-取费表'!$B$2-D37)/365,D34),1)</f>
        <v>120.8</v>
      </c>
      <c r="E38" s="1647" t="s">
        <v>843</v>
      </c>
      <c r="F38" s="3066"/>
      <c r="G38" s="3066"/>
      <c r="H38" s="3066"/>
      <c r="I38" s="3070"/>
      <c r="J38" s="3066"/>
      <c r="K38" s="3053"/>
      <c r="L38" s="3046"/>
      <c r="M38" s="3046"/>
      <c r="N38" s="3046"/>
      <c r="O38" s="3046"/>
      <c r="P38" s="3046"/>
      <c r="Q38" s="3046"/>
      <c r="R38" s="3046"/>
      <c r="S38" s="3046"/>
      <c r="T38" s="3046"/>
      <c r="U38" s="3046"/>
    </row>
    <row r="39" spans="1:28">
      <c r="A39" s="3379"/>
      <c r="B39" s="3410"/>
      <c r="C39" s="1618" t="str">
        <f>IF(D38&lt;1,"不存在土地闲置",IF(B35="宗地内已开工建设","已开工，不存在土地闲置","估价对象已涉嫌土地闲置"))</f>
        <v>估价对象已涉嫌土地闲置</v>
      </c>
      <c r="D39" s="1648"/>
      <c r="E39" s="1649"/>
      <c r="F39" s="3066"/>
      <c r="G39" s="3066"/>
      <c r="H39" s="3066"/>
      <c r="I39" s="3070"/>
      <c r="J39" s="3066"/>
      <c r="K39" s="3049"/>
      <c r="L39" s="3045"/>
      <c r="M39" s="3045"/>
      <c r="N39" s="3046"/>
      <c r="O39" s="3047"/>
      <c r="P39" s="3046"/>
      <c r="Q39" s="3046"/>
      <c r="R39" s="3046"/>
      <c r="S39" s="3046"/>
      <c r="T39" s="3046"/>
      <c r="U39" s="3046"/>
    </row>
    <row r="40" spans="1:28">
      <c r="A40" s="1611" t="s">
        <v>1924</v>
      </c>
      <c r="B40" s="1612"/>
      <c r="C40" s="1612"/>
      <c r="D40" s="1612"/>
      <c r="E40" s="1612"/>
      <c r="F40" s="1612"/>
      <c r="G40" s="1612"/>
      <c r="H40" s="1612"/>
      <c r="I40" s="3070"/>
      <c r="J40" s="3066"/>
      <c r="K40" s="1650">
        <f>COUNTIF(B40:H40,"——")</f>
        <v>0</v>
      </c>
      <c r="L40" s="1620" t="s">
        <v>1925</v>
      </c>
      <c r="M40" s="1617" t="s">
        <v>1926</v>
      </c>
      <c r="N40" s="1617" t="s">
        <v>1927</v>
      </c>
      <c r="O40" s="1617" t="s">
        <v>1928</v>
      </c>
      <c r="P40" s="1617" t="s">
        <v>1929</v>
      </c>
      <c r="Q40" s="1617" t="s">
        <v>1930</v>
      </c>
      <c r="R40" s="1617" t="s">
        <v>1931</v>
      </c>
      <c r="S40" s="3391" t="s">
        <v>1932</v>
      </c>
      <c r="T40" s="1651" t="str">
        <f>NUMBERSTRING(7-K40,1)&amp;"通"</f>
        <v>七通</v>
      </c>
      <c r="U40" s="3046"/>
    </row>
    <row r="41" spans="1:28">
      <c r="A41" s="1590"/>
      <c r="B41" s="3383" t="s">
        <v>1712</v>
      </c>
      <c r="C41" s="3383"/>
      <c r="D41" s="3383"/>
      <c r="E41" s="3383"/>
      <c r="F41" s="1652">
        <f>C10</f>
        <v>0</v>
      </c>
      <c r="G41" s="3066"/>
      <c r="H41" s="3066"/>
      <c r="I41" s="3070"/>
      <c r="J41" s="3066"/>
      <c r="K41" s="1620"/>
      <c r="L41" s="1617">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91"/>
      <c r="T41" s="1653" t="str">
        <f>IF(T40="一通",L41,IF(T40="二通",M41,IF(T40="三通",N41,IF(T40="四通",O41,IF(T40="五通",P41,IF(T40="六通",Q41,R41))))))</f>
        <v>、、、、、、</v>
      </c>
      <c r="U41" s="3046"/>
    </row>
    <row r="42" spans="1:28">
      <c r="A42" s="1655"/>
      <c r="B42" s="1682" t="s">
        <v>1846</v>
      </c>
      <c r="C42" s="1682" t="s">
        <v>1847</v>
      </c>
      <c r="D42" s="1682" t="s">
        <v>1848</v>
      </c>
      <c r="E42" s="1620" t="s">
        <v>1849</v>
      </c>
      <c r="F42" s="1656"/>
      <c r="G42" s="3066"/>
      <c r="H42" s="3066"/>
      <c r="I42" s="3070"/>
      <c r="J42" s="3066"/>
      <c r="K42" s="3049"/>
      <c r="L42" s="3045"/>
      <c r="M42" s="3045"/>
      <c r="N42" s="3046"/>
      <c r="O42" s="3047"/>
      <c r="P42" s="3046"/>
      <c r="Q42" s="3046"/>
      <c r="R42" s="3046"/>
      <c r="S42" s="3046"/>
      <c r="T42" s="3046"/>
      <c r="U42" s="3046"/>
    </row>
    <row r="43" spans="1:28">
      <c r="A43" s="3017" t="s">
        <v>1697</v>
      </c>
      <c r="B43" s="1657"/>
      <c r="C43" s="1657"/>
      <c r="D43" s="1657"/>
      <c r="E43" s="1657" t="s">
        <v>1404</v>
      </c>
      <c r="F43" s="1658"/>
      <c r="G43" s="3066"/>
      <c r="H43" s="3066"/>
      <c r="I43" s="3070"/>
      <c r="J43" s="3066"/>
      <c r="K43" s="3049"/>
      <c r="L43" s="3045"/>
      <c r="M43" s="3045"/>
      <c r="N43" s="3046"/>
      <c r="O43" s="3047"/>
      <c r="P43" s="3046"/>
      <c r="Q43" s="3046"/>
      <c r="R43" s="3046"/>
      <c r="S43" s="3046"/>
      <c r="T43" s="3046"/>
      <c r="U43" s="3046"/>
    </row>
    <row r="44" spans="1:28">
      <c r="A44" s="3017" t="s">
        <v>1698</v>
      </c>
      <c r="B44" s="1657"/>
      <c r="C44" s="1657"/>
      <c r="D44" s="1657"/>
      <c r="E44" s="1705" t="s">
        <v>2953</v>
      </c>
      <c r="F44" s="1658"/>
      <c r="G44" s="3066"/>
      <c r="H44" s="3066"/>
      <c r="I44" s="3070"/>
      <c r="J44" s="3066"/>
      <c r="K44" s="3049"/>
      <c r="L44" s="3045"/>
      <c r="M44" s="3045"/>
      <c r="N44" s="3046"/>
      <c r="O44" s="3047"/>
      <c r="P44" s="3046"/>
      <c r="Q44" s="3046"/>
      <c r="R44" s="3046"/>
      <c r="S44" s="3046"/>
      <c r="T44" s="3046"/>
      <c r="U44" s="3046"/>
    </row>
    <row r="45" spans="1:28" s="2766" customFormat="1" ht="21" thickBot="1">
      <c r="A45" s="2767" t="s">
        <v>2823</v>
      </c>
      <c r="B45" s="2765"/>
      <c r="C45" s="2765"/>
      <c r="D45" s="2765"/>
      <c r="E45" s="2765"/>
      <c r="F45" s="2765"/>
      <c r="G45" s="3056"/>
      <c r="H45" s="3056"/>
      <c r="I45" s="3057"/>
      <c r="J45" s="3069"/>
      <c r="K45" s="3054"/>
      <c r="L45" s="3055"/>
      <c r="M45" s="3055"/>
      <c r="N45" s="3056"/>
      <c r="O45" s="3057"/>
      <c r="P45" s="3056"/>
      <c r="Q45" s="3056"/>
      <c r="R45" s="3056"/>
      <c r="S45" s="3056"/>
      <c r="T45" s="3056"/>
      <c r="U45" s="3056"/>
      <c r="V45" s="3058"/>
      <c r="W45" s="3058"/>
      <c r="X45" s="3058"/>
      <c r="Y45" s="3058"/>
      <c r="Z45" s="3058"/>
      <c r="AA45" s="3058"/>
      <c r="AB45" s="3058"/>
    </row>
    <row r="46" spans="1:28">
      <c r="A46" s="1615"/>
      <c r="B46" s="1615"/>
      <c r="C46" s="1615"/>
      <c r="D46" s="1615"/>
      <c r="E46" s="1615"/>
      <c r="F46" s="1615"/>
      <c r="G46" s="1615"/>
      <c r="H46" s="1615"/>
      <c r="I46" s="1627"/>
      <c r="J46" s="1615"/>
      <c r="K46" s="3049"/>
      <c r="L46" s="3045"/>
      <c r="M46" s="3045"/>
      <c r="N46" s="3046"/>
      <c r="O46" s="3047"/>
      <c r="P46" s="3046"/>
      <c r="Q46" s="3046"/>
      <c r="R46" s="3046"/>
      <c r="S46" s="3046"/>
      <c r="T46" s="3046"/>
      <c r="U46" s="3046"/>
    </row>
    <row r="47" spans="1:28">
      <c r="A47" s="1659" t="s">
        <v>1953</v>
      </c>
      <c r="B47" s="1660"/>
      <c r="C47" s="1649"/>
      <c r="D47" s="1615"/>
      <c r="E47" s="1615"/>
      <c r="F47" s="1615"/>
      <c r="G47" s="1615"/>
      <c r="H47" s="1615"/>
      <c r="I47" s="1616"/>
      <c r="J47" s="1615"/>
      <c r="K47" s="3049"/>
      <c r="L47" s="3045"/>
      <c r="M47" s="3045"/>
      <c r="N47" s="3046"/>
      <c r="O47" s="3047"/>
      <c r="P47" s="3046"/>
      <c r="Q47" s="3046"/>
      <c r="R47" s="3046"/>
      <c r="S47" s="3046"/>
      <c r="T47" s="3046"/>
      <c r="U47" s="3046"/>
    </row>
    <row r="48" spans="1:28" ht="28.5">
      <c r="A48" s="1620" t="s">
        <v>1954</v>
      </c>
      <c r="B48" s="1610" t="s">
        <v>1955</v>
      </c>
      <c r="C48" s="1610" t="s">
        <v>1956</v>
      </c>
      <c r="D48" s="1610" t="s">
        <v>1957</v>
      </c>
      <c r="E48" s="1610" t="s">
        <v>1958</v>
      </c>
      <c r="F48" s="1610" t="s">
        <v>1959</v>
      </c>
      <c r="G48" s="1610" t="s">
        <v>1960</v>
      </c>
      <c r="H48" s="1610" t="s">
        <v>1961</v>
      </c>
      <c r="I48" s="1610" t="s">
        <v>1962</v>
      </c>
      <c r="J48" s="1688" t="s">
        <v>1963</v>
      </c>
      <c r="K48" s="3059" t="s">
        <v>1964</v>
      </c>
      <c r="L48" s="3059" t="s">
        <v>1965</v>
      </c>
      <c r="M48" s="3059" t="s">
        <v>1966</v>
      </c>
      <c r="N48" s="3060" t="s">
        <v>1967</v>
      </c>
      <c r="O48" s="3060" t="s">
        <v>1968</v>
      </c>
      <c r="P48" s="3060" t="s">
        <v>1969</v>
      </c>
      <c r="Q48" s="3051" t="s">
        <v>1970</v>
      </c>
      <c r="R48" s="3051" t="s">
        <v>1971</v>
      </c>
      <c r="S48" s="3046"/>
      <c r="T48" s="3046"/>
      <c r="U48" s="3046"/>
    </row>
    <row r="49" spans="1:21">
      <c r="A49" s="1617"/>
      <c r="B49" s="1650"/>
      <c r="C49" s="1650"/>
      <c r="D49" s="1650"/>
      <c r="E49" s="1650"/>
      <c r="F49" s="1650"/>
      <c r="G49" s="1650"/>
      <c r="H49" s="1650"/>
      <c r="I49" s="1650"/>
      <c r="J49" s="1752"/>
      <c r="K49" s="3061"/>
      <c r="L49" s="3061"/>
      <c r="M49" s="1656"/>
      <c r="N49" s="1656"/>
      <c r="O49" s="1656"/>
      <c r="P49" s="1656"/>
      <c r="Q49" s="1656"/>
      <c r="R49" s="1656"/>
      <c r="S49" s="3046"/>
      <c r="T49" s="3046"/>
      <c r="U49" s="3046"/>
    </row>
    <row r="50" spans="1:21">
      <c r="A50" s="1617"/>
      <c r="B50" s="1617"/>
      <c r="C50" s="1650"/>
      <c r="D50" s="1650"/>
      <c r="E50" s="1650"/>
      <c r="F50" s="1650"/>
      <c r="G50" s="1650"/>
      <c r="H50" s="1650"/>
      <c r="I50" s="1650"/>
      <c r="J50" s="1752"/>
      <c r="K50" s="3061"/>
      <c r="L50" s="3061"/>
      <c r="M50" s="1656"/>
      <c r="N50" s="1656"/>
      <c r="O50" s="1656"/>
      <c r="P50" s="1656"/>
      <c r="Q50" s="1656"/>
      <c r="R50" s="1656"/>
      <c r="S50" s="3046"/>
      <c r="T50" s="3046"/>
      <c r="U50" s="3046"/>
    </row>
    <row r="51" spans="1:21">
      <c r="A51" s="1617"/>
      <c r="B51" s="1617"/>
      <c r="C51" s="1650"/>
      <c r="D51" s="1650"/>
      <c r="E51" s="1650"/>
      <c r="F51" s="1650"/>
      <c r="G51" s="1650"/>
      <c r="H51" s="1650"/>
      <c r="I51" s="1650"/>
      <c r="J51" s="1752"/>
      <c r="K51" s="3061"/>
      <c r="L51" s="3061"/>
      <c r="M51" s="1656"/>
      <c r="N51" s="1656"/>
      <c r="O51" s="1656"/>
      <c r="P51" s="1656"/>
      <c r="Q51" s="1656"/>
      <c r="R51" s="1656"/>
      <c r="S51" s="3046"/>
      <c r="T51" s="3046"/>
      <c r="U51" s="3046"/>
    </row>
    <row r="52" spans="1:21">
      <c r="A52" s="1617"/>
      <c r="B52" s="1617"/>
      <c r="C52" s="1650"/>
      <c r="D52" s="1650"/>
      <c r="E52" s="1650"/>
      <c r="F52" s="1650"/>
      <c r="G52" s="1650"/>
      <c r="H52" s="1650"/>
      <c r="I52" s="1650"/>
      <c r="J52" s="1752"/>
      <c r="K52" s="3061"/>
      <c r="L52" s="3061"/>
      <c r="M52" s="1656"/>
      <c r="N52" s="1656"/>
      <c r="O52" s="1656"/>
      <c r="P52" s="1656"/>
      <c r="Q52" s="1656"/>
      <c r="R52" s="1656"/>
      <c r="S52" s="3046"/>
      <c r="T52" s="3046"/>
      <c r="U52" s="3046"/>
    </row>
    <row r="53" spans="1:21">
      <c r="A53" s="1617"/>
      <c r="B53" s="1617"/>
      <c r="C53" s="1650"/>
      <c r="D53" s="1650"/>
      <c r="E53" s="1650"/>
      <c r="F53" s="1650"/>
      <c r="G53" s="1650"/>
      <c r="H53" s="1650"/>
      <c r="I53" s="1650"/>
      <c r="J53" s="1752"/>
      <c r="K53" s="3061"/>
      <c r="L53" s="3061"/>
      <c r="M53" s="1656"/>
      <c r="N53" s="1656"/>
      <c r="O53" s="1656"/>
      <c r="P53" s="1656"/>
      <c r="Q53" s="1656"/>
      <c r="R53" s="1656"/>
      <c r="S53" s="3046"/>
      <c r="T53" s="3046"/>
      <c r="U53" s="3046"/>
    </row>
    <row r="54" spans="1:21">
      <c r="A54" s="1617"/>
      <c r="B54" s="1617"/>
      <c r="C54" s="1617"/>
      <c r="D54" s="1617"/>
      <c r="E54" s="1617"/>
      <c r="F54" s="1650"/>
      <c r="G54" s="1617"/>
      <c r="H54" s="1617"/>
      <c r="I54" s="1617"/>
      <c r="J54" s="1753"/>
      <c r="K54" s="3061"/>
      <c r="L54" s="3061"/>
      <c r="M54" s="3061"/>
      <c r="N54" s="3014"/>
      <c r="O54" s="3014"/>
      <c r="P54" s="3014"/>
      <c r="Q54" s="3014"/>
      <c r="R54" s="3014"/>
      <c r="S54" s="3046"/>
      <c r="T54" s="3046"/>
      <c r="U54" s="3046"/>
    </row>
    <row r="55" spans="1:21">
      <c r="A55" s="1617"/>
      <c r="B55" s="1617"/>
      <c r="C55" s="1617"/>
      <c r="D55" s="1617"/>
      <c r="E55" s="1617"/>
      <c r="F55" s="1650"/>
      <c r="G55" s="1617"/>
      <c r="H55" s="1617"/>
      <c r="I55" s="1617"/>
      <c r="J55" s="1753"/>
      <c r="K55" s="3061"/>
      <c r="L55" s="3061"/>
      <c r="M55" s="3061"/>
      <c r="N55" s="3014"/>
      <c r="O55" s="3014"/>
      <c r="P55" s="3014"/>
      <c r="Q55" s="3014"/>
      <c r="R55" s="3014"/>
      <c r="S55" s="3046"/>
      <c r="T55" s="3046"/>
      <c r="U55" s="3046"/>
    </row>
    <row r="56" spans="1:21">
      <c r="A56" s="1617"/>
      <c r="B56" s="1617"/>
      <c r="C56" s="1617"/>
      <c r="D56" s="1617"/>
      <c r="E56" s="1617"/>
      <c r="F56" s="1650"/>
      <c r="G56" s="1617"/>
      <c r="H56" s="1617"/>
      <c r="I56" s="1617"/>
      <c r="J56" s="1753"/>
      <c r="K56" s="3061"/>
      <c r="L56" s="3061"/>
      <c r="M56" s="3061"/>
      <c r="N56" s="3014"/>
      <c r="O56" s="3014"/>
      <c r="P56" s="3014"/>
      <c r="Q56" s="3014"/>
      <c r="R56" s="3014"/>
      <c r="S56" s="3046"/>
      <c r="T56" s="3046"/>
      <c r="U56" s="3046"/>
    </row>
    <row r="57" spans="1:21">
      <c r="A57" s="1617"/>
      <c r="B57" s="1617"/>
      <c r="C57" s="1617"/>
      <c r="D57" s="1617"/>
      <c r="E57" s="1617"/>
      <c r="F57" s="1650"/>
      <c r="G57" s="1617"/>
      <c r="H57" s="1617"/>
      <c r="I57" s="1617"/>
      <c r="J57" s="1753"/>
      <c r="K57" s="3061"/>
      <c r="L57" s="3061"/>
      <c r="M57" s="3061"/>
      <c r="N57" s="3014"/>
      <c r="O57" s="3014"/>
      <c r="P57" s="3014"/>
      <c r="Q57" s="3014"/>
      <c r="R57" s="3014"/>
      <c r="S57" s="3046"/>
      <c r="T57" s="3046"/>
      <c r="U57" s="3046"/>
    </row>
    <row r="58" spans="1:21">
      <c r="A58" s="1617"/>
      <c r="B58" s="1617"/>
      <c r="C58" s="1617"/>
      <c r="D58" s="1617"/>
      <c r="E58" s="1617"/>
      <c r="F58" s="1650"/>
      <c r="G58" s="1617"/>
      <c r="H58" s="1617"/>
      <c r="I58" s="1617"/>
      <c r="J58" s="1753"/>
      <c r="K58" s="3061"/>
      <c r="L58" s="3061"/>
      <c r="M58" s="3061"/>
      <c r="N58" s="3014"/>
      <c r="O58" s="3014"/>
      <c r="P58" s="3014"/>
      <c r="Q58" s="3014"/>
      <c r="R58" s="3014"/>
      <c r="S58" s="3046"/>
      <c r="T58" s="3046"/>
      <c r="U58" s="3046"/>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4"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9"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625" style="15" customWidth="1"/>
    <col min="17" max="17" width="9.375" style="15" customWidth="1"/>
    <col min="18" max="18" width="9.125" style="15" customWidth="1"/>
    <col min="19" max="19" width="10.875" style="15" customWidth="1"/>
    <col min="20" max="21" width="10.625" style="15" customWidth="1"/>
    <col min="22" max="22" width="10.875" style="15" customWidth="1"/>
    <col min="23" max="27" width="10.625" style="15" customWidth="1"/>
    <col min="28" max="28" width="10.875" style="15"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2275</v>
      </c>
      <c r="BA2" s="2219" t="s">
        <v>2274</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22121.8</v>
      </c>
      <c r="B3" s="22">
        <f>IF(C3="否",G5-AT5,G5)</f>
        <v>6546.1</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6546.1</v>
      </c>
      <c r="H5" s="27">
        <f t="shared" ref="H5:AT5" si="0">SUM(H13:H641)</f>
        <v>6546.1</v>
      </c>
      <c r="I5" s="27">
        <f t="shared" si="0"/>
        <v>6546.1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6546.1</v>
      </c>
      <c r="BA5" s="29">
        <f t="shared" si="1"/>
        <v>6546.1</v>
      </c>
      <c r="BB5" s="29">
        <f t="shared" si="1"/>
        <v>6546.1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22121.8</v>
      </c>
      <c r="F6" s="27" t="s">
        <v>1</v>
      </c>
      <c r="G6" s="27" t="s">
        <v>2</v>
      </c>
      <c r="H6" s="33">
        <f>SUMIF(I$12:AB$12,"总值",I6:AB6)</f>
        <v>22121.8</v>
      </c>
      <c r="I6" s="27">
        <f t="shared" ref="I6:AB6" si="2">ROUND($A$3*I5/$B$3,2)</f>
        <v>22121.8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22121.8</v>
      </c>
      <c r="AZ6" s="27" t="s">
        <v>3</v>
      </c>
      <c r="BA6" s="27">
        <f>ROUND($AY$6*BA5/$AZ$5,2)</f>
        <v>22121.8</v>
      </c>
      <c r="BB6" s="27">
        <f>ROUND($AY$6*BB5/$AZ$5,2)</f>
        <v>22121.8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25" t="s">
        <v>2946</v>
      </c>
      <c r="J9" s="51"/>
      <c r="K9" s="2725"/>
      <c r="L9" s="51"/>
      <c r="M9" s="2725"/>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25" t="s">
        <v>972</v>
      </c>
      <c r="J10" s="51"/>
      <c r="K10" s="2727"/>
      <c r="L10" s="51"/>
      <c r="M10" s="2727"/>
      <c r="N10" s="51"/>
      <c r="O10" s="66"/>
      <c r="P10" s="51"/>
      <c r="Q10" s="66"/>
      <c r="R10" s="51"/>
      <c r="S10" s="66"/>
      <c r="T10" s="51"/>
      <c r="U10" s="66"/>
      <c r="V10" s="51"/>
      <c r="W10" s="66"/>
      <c r="X10" s="51"/>
      <c r="Y10" s="66"/>
      <c r="Z10" s="51"/>
      <c r="AA10" s="66"/>
      <c r="AB10" s="51"/>
      <c r="AC10" s="55"/>
      <c r="AD10" s="2193" t="s">
        <v>2259</v>
      </c>
      <c r="AE10" s="2215"/>
      <c r="AF10" s="2193" t="s">
        <v>2259</v>
      </c>
      <c r="AG10" s="2215"/>
      <c r="AH10" s="2193" t="s">
        <v>2260</v>
      </c>
      <c r="AI10" s="2215"/>
      <c r="AJ10" s="26" t="s">
        <v>2273</v>
      </c>
      <c r="AK10" s="2212"/>
      <c r="AL10" s="2193" t="s">
        <v>2261</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26" t="s">
        <v>2947</v>
      </c>
      <c r="J11" s="71"/>
      <c r="K11" s="2726"/>
      <c r="L11" s="71"/>
      <c r="M11" s="70"/>
      <c r="N11" s="71"/>
      <c r="O11" s="70"/>
      <c r="P11" s="71"/>
      <c r="Q11" s="70"/>
      <c r="R11" s="71"/>
      <c r="S11" s="70"/>
      <c r="T11" s="71"/>
      <c r="U11" s="70"/>
      <c r="V11" s="71"/>
      <c r="W11" s="70"/>
      <c r="X11" s="71"/>
      <c r="Y11" s="70"/>
      <c r="Z11" s="71"/>
      <c r="AA11" s="70"/>
      <c r="AB11" s="71"/>
      <c r="AC11" s="55"/>
      <c r="AD11" s="2213" t="s">
        <v>2272</v>
      </c>
      <c r="AE11" s="990"/>
      <c r="AF11" s="2213" t="s">
        <v>2272</v>
      </c>
      <c r="AG11" s="990"/>
      <c r="AH11" s="2213" t="s">
        <v>2271</v>
      </c>
      <c r="AI11" s="2214"/>
      <c r="AJ11" s="2213" t="s">
        <v>2271</v>
      </c>
      <c r="AK11" s="2212"/>
      <c r="AL11" s="988"/>
      <c r="AM11" s="990"/>
      <c r="AN11" s="988"/>
      <c r="AO11" s="990"/>
      <c r="AP11" s="1171"/>
      <c r="AQ11" s="1173"/>
      <c r="AR11" s="1171"/>
      <c r="AS11" s="1173"/>
      <c r="AT11" s="991"/>
      <c r="AU11" s="45"/>
      <c r="AV11" s="55"/>
      <c r="AW11" s="991"/>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t="str">
        <f>I11</f>
        <v>标准厂房</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38.25">
      <c r="A13" s="2720" t="s">
        <v>2944</v>
      </c>
      <c r="B13" s="2720" t="s">
        <v>2945</v>
      </c>
      <c r="C13" s="2720"/>
      <c r="D13" s="2721" t="s">
        <v>1669</v>
      </c>
      <c r="E13" s="27">
        <f t="shared" ref="E13:E20" si="6">IF($C$3="是",ROUND($A$3*G13/$B$3,2),ROUND($A$3*(G13-AT13)/$B$3,2))</f>
        <v>22121.8</v>
      </c>
      <c r="F13" s="81"/>
      <c r="G13" s="82">
        <f t="shared" ref="G13:G20" si="7">H13+AC13+AT13</f>
        <v>6546.1</v>
      </c>
      <c r="H13" s="33">
        <f t="shared" ref="H13:H20" si="8">SUMIF(I$12:AB$12,"总值",I13:AB13)</f>
        <v>6546.1</v>
      </c>
      <c r="I13" s="2724">
        <v>6546.1</v>
      </c>
      <c r="J13" s="2724"/>
      <c r="K13" s="2724"/>
      <c r="L13" s="2724"/>
      <c r="M13" s="2724"/>
      <c r="N13" s="83"/>
      <c r="O13" s="83"/>
      <c r="P13" s="83"/>
      <c r="Q13" s="83"/>
      <c r="R13" s="83"/>
      <c r="S13" s="83"/>
      <c r="T13" s="83"/>
      <c r="U13" s="83"/>
      <c r="V13" s="83"/>
      <c r="W13" s="83"/>
      <c r="X13" s="83"/>
      <c r="Y13" s="83"/>
      <c r="Z13" s="83"/>
      <c r="AA13" s="83"/>
      <c r="AB13" s="83"/>
      <c r="AC13" s="27">
        <f t="shared" ref="AC13:AC20" si="9">SUMIF(AD$12:AS$12,"总值",AD13:AS13)</f>
        <v>0</v>
      </c>
      <c r="AD13" s="2728"/>
      <c r="AE13" s="2728"/>
      <c r="AF13" s="2728"/>
      <c r="AG13" s="2728"/>
      <c r="AH13" s="2728"/>
      <c r="AI13" s="2728"/>
      <c r="AJ13" s="2728"/>
      <c r="AK13" s="2728"/>
      <c r="AL13" s="2728"/>
      <c r="AM13" s="2728"/>
      <c r="AN13" s="2728"/>
      <c r="AO13" s="2728"/>
      <c r="AP13" s="2728"/>
      <c r="AQ13" s="2728"/>
      <c r="AR13" s="2728"/>
      <c r="AS13" s="2728"/>
      <c r="AT13" s="2729"/>
      <c r="AU13" s="2730"/>
      <c r="AV13" s="17" t="str">
        <f t="shared" ref="AV13:AX20" si="10">A13</f>
        <v>京顺国用（2000）字第0176号</v>
      </c>
      <c r="AW13" s="17" t="str">
        <f t="shared" si="10"/>
        <v>京房权证顺国字第00328号</v>
      </c>
      <c r="AX13" s="17">
        <f t="shared" si="10"/>
        <v>0</v>
      </c>
      <c r="AY13" s="984">
        <f t="shared" ref="AY13:AY20" si="11">ROUND($AY$6*AZ13/$AZ$5,2)</f>
        <v>22121.8</v>
      </c>
      <c r="AZ13" s="27">
        <f t="shared" ref="AZ13:AZ20" si="12">BA13+BL13</f>
        <v>6546.1</v>
      </c>
      <c r="BA13" s="27">
        <f t="shared" ref="BA13:BA20" si="13">SUM(BB13:BK13)</f>
        <v>6546.1</v>
      </c>
      <c r="BB13" s="27">
        <f t="shared" ref="BB13:BB20" si="14">IF($D13="是",I13-J13,0)</f>
        <v>6546.1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0"/>
      <c r="B14" s="2720"/>
      <c r="C14" s="2722"/>
      <c r="D14" s="2721"/>
      <c r="E14" s="27">
        <f t="shared" si="6"/>
        <v>0</v>
      </c>
      <c r="F14" s="81"/>
      <c r="G14" s="82">
        <f t="shared" si="7"/>
        <v>0</v>
      </c>
      <c r="H14" s="33">
        <f t="shared" si="8"/>
        <v>0</v>
      </c>
      <c r="I14" s="2724"/>
      <c r="J14" s="2724"/>
      <c r="K14" s="2724"/>
      <c r="L14" s="2724"/>
      <c r="M14" s="2724"/>
      <c r="N14" s="83"/>
      <c r="O14" s="83"/>
      <c r="P14" s="83"/>
      <c r="Q14" s="83"/>
      <c r="R14" s="83"/>
      <c r="S14" s="83"/>
      <c r="T14" s="83"/>
      <c r="U14" s="83"/>
      <c r="V14" s="83"/>
      <c r="W14" s="83"/>
      <c r="X14" s="83"/>
      <c r="Y14" s="83"/>
      <c r="Z14" s="83"/>
      <c r="AA14" s="83"/>
      <c r="AB14" s="83"/>
      <c r="AC14" s="27">
        <f t="shared" si="9"/>
        <v>0</v>
      </c>
      <c r="AD14" s="2728"/>
      <c r="AE14" s="2728"/>
      <c r="AF14" s="2728"/>
      <c r="AG14" s="2728"/>
      <c r="AH14" s="2728"/>
      <c r="AI14" s="2728"/>
      <c r="AJ14" s="2728"/>
      <c r="AK14" s="2728"/>
      <c r="AL14" s="2728"/>
      <c r="AM14" s="2728"/>
      <c r="AN14" s="2728"/>
      <c r="AO14" s="2728"/>
      <c r="AP14" s="2728"/>
      <c r="AQ14" s="2728"/>
      <c r="AR14" s="2728"/>
      <c r="AS14" s="2728"/>
      <c r="AT14" s="2729"/>
      <c r="AU14" s="2730"/>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0"/>
      <c r="B15" s="2720"/>
      <c r="C15" s="2722"/>
      <c r="D15" s="2721"/>
      <c r="E15" s="27">
        <f t="shared" si="6"/>
        <v>0</v>
      </c>
      <c r="F15" s="81"/>
      <c r="G15" s="82">
        <f t="shared" si="7"/>
        <v>0</v>
      </c>
      <c r="H15" s="33">
        <f t="shared" si="8"/>
        <v>0</v>
      </c>
      <c r="I15" s="2724"/>
      <c r="J15" s="2724"/>
      <c r="K15" s="2724"/>
      <c r="L15" s="2724"/>
      <c r="M15" s="2724"/>
      <c r="N15" s="83"/>
      <c r="O15" s="83"/>
      <c r="P15" s="83"/>
      <c r="Q15" s="83"/>
      <c r="R15" s="83"/>
      <c r="S15" s="83"/>
      <c r="T15" s="83"/>
      <c r="U15" s="83"/>
      <c r="V15" s="83"/>
      <c r="W15" s="83"/>
      <c r="X15" s="83"/>
      <c r="Y15" s="83"/>
      <c r="Z15" s="83"/>
      <c r="AA15" s="83"/>
      <c r="AB15" s="83"/>
      <c r="AC15" s="27">
        <f t="shared" si="9"/>
        <v>0</v>
      </c>
      <c r="AD15" s="2728"/>
      <c r="AE15" s="2728"/>
      <c r="AF15" s="2728"/>
      <c r="AG15" s="2728"/>
      <c r="AH15" s="2728"/>
      <c r="AI15" s="2728"/>
      <c r="AJ15" s="2728"/>
      <c r="AK15" s="2728"/>
      <c r="AL15" s="2728"/>
      <c r="AM15" s="2728"/>
      <c r="AN15" s="2728"/>
      <c r="AO15" s="2728"/>
      <c r="AP15" s="2728"/>
      <c r="AQ15" s="2728"/>
      <c r="AR15" s="2728"/>
      <c r="AS15" s="2728"/>
      <c r="AT15" s="2729"/>
      <c r="AU15" s="2730"/>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0"/>
      <c r="B16" s="2720"/>
      <c r="C16" s="2722"/>
      <c r="D16" s="2721"/>
      <c r="E16" s="27">
        <f t="shared" si="6"/>
        <v>0</v>
      </c>
      <c r="F16" s="81"/>
      <c r="G16" s="82">
        <f t="shared" si="7"/>
        <v>0</v>
      </c>
      <c r="H16" s="33">
        <f t="shared" si="8"/>
        <v>0</v>
      </c>
      <c r="I16" s="2724"/>
      <c r="J16" s="2724"/>
      <c r="K16" s="2724"/>
      <c r="L16" s="2724"/>
      <c r="M16" s="2724"/>
      <c r="N16" s="83"/>
      <c r="O16" s="83"/>
      <c r="P16" s="83"/>
      <c r="Q16" s="83"/>
      <c r="R16" s="83"/>
      <c r="S16" s="83"/>
      <c r="T16" s="83"/>
      <c r="U16" s="83"/>
      <c r="V16" s="83"/>
      <c r="W16" s="83"/>
      <c r="X16" s="83"/>
      <c r="Y16" s="83"/>
      <c r="Z16" s="83"/>
      <c r="AA16" s="83"/>
      <c r="AB16" s="83"/>
      <c r="AC16" s="27">
        <f t="shared" si="9"/>
        <v>0</v>
      </c>
      <c r="AD16" s="2728"/>
      <c r="AE16" s="2728"/>
      <c r="AF16" s="2728"/>
      <c r="AG16" s="2728"/>
      <c r="AH16" s="2728"/>
      <c r="AI16" s="2728"/>
      <c r="AJ16" s="2728"/>
      <c r="AK16" s="2728"/>
      <c r="AL16" s="2728"/>
      <c r="AM16" s="2728"/>
      <c r="AN16" s="2728"/>
      <c r="AO16" s="2728"/>
      <c r="AP16" s="2728"/>
      <c r="AQ16" s="2728"/>
      <c r="AR16" s="2728"/>
      <c r="AS16" s="2728"/>
      <c r="AT16" s="2729"/>
      <c r="AU16" s="2730"/>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0"/>
      <c r="B17" s="2720"/>
      <c r="C17" s="2722"/>
      <c r="D17" s="2721"/>
      <c r="E17" s="27">
        <f t="shared" si="6"/>
        <v>0</v>
      </c>
      <c r="F17" s="81"/>
      <c r="G17" s="82">
        <f t="shared" si="7"/>
        <v>0</v>
      </c>
      <c r="H17" s="33">
        <f t="shared" si="8"/>
        <v>0</v>
      </c>
      <c r="I17" s="2724"/>
      <c r="J17" s="2724"/>
      <c r="K17" s="2724"/>
      <c r="L17" s="2724"/>
      <c r="M17" s="2724"/>
      <c r="N17" s="83"/>
      <c r="O17" s="83"/>
      <c r="P17" s="83"/>
      <c r="Q17" s="83"/>
      <c r="R17" s="83"/>
      <c r="S17" s="83"/>
      <c r="T17" s="83"/>
      <c r="U17" s="83"/>
      <c r="V17" s="83"/>
      <c r="W17" s="83"/>
      <c r="X17" s="83"/>
      <c r="Y17" s="83"/>
      <c r="Z17" s="83"/>
      <c r="AA17" s="83"/>
      <c r="AB17" s="83"/>
      <c r="AC17" s="27">
        <f t="shared" si="9"/>
        <v>0</v>
      </c>
      <c r="AD17" s="2728"/>
      <c r="AE17" s="2728"/>
      <c r="AF17" s="2728"/>
      <c r="AG17" s="2728"/>
      <c r="AH17" s="2728"/>
      <c r="AI17" s="2728"/>
      <c r="AJ17" s="2728"/>
      <c r="AK17" s="2728"/>
      <c r="AL17" s="2728"/>
      <c r="AM17" s="2728"/>
      <c r="AN17" s="2728"/>
      <c r="AO17" s="2728"/>
      <c r="AP17" s="2728"/>
      <c r="AQ17" s="2728"/>
      <c r="AR17" s="2728"/>
      <c r="AS17" s="2728"/>
      <c r="AT17" s="2729"/>
      <c r="AU17" s="2730"/>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3"/>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1"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9" style="2"/>
  </cols>
  <sheetData>
    <row r="1" spans="1:13" ht="14.25">
      <c r="A1" s="3419" t="s">
        <v>0</v>
      </c>
      <c r="B1" s="3419" t="s">
        <v>4</v>
      </c>
      <c r="C1" s="3419" t="s">
        <v>5</v>
      </c>
      <c r="D1" s="3420" t="s">
        <v>40</v>
      </c>
      <c r="E1" s="3420" t="s">
        <v>41</v>
      </c>
      <c r="F1" s="3420"/>
      <c r="G1" s="3420"/>
      <c r="H1" s="3420"/>
      <c r="I1" s="3420"/>
      <c r="J1" s="3420"/>
      <c r="K1" s="3420"/>
      <c r="L1" s="3420"/>
      <c r="M1" s="3420"/>
    </row>
    <row r="2" spans="1:13" ht="27" customHeight="1">
      <c r="A2" s="3419"/>
      <c r="B2" s="3419"/>
      <c r="C2" s="3419"/>
      <c r="D2" s="3420"/>
      <c r="E2" s="3420" t="s">
        <v>24</v>
      </c>
      <c r="F2" s="3420" t="s">
        <v>25</v>
      </c>
      <c r="G2" s="3420"/>
      <c r="H2" s="3420"/>
      <c r="I2" s="3420"/>
      <c r="J2" s="3420" t="s">
        <v>26</v>
      </c>
      <c r="K2" s="3420"/>
      <c r="L2" s="3420"/>
      <c r="M2" s="3420"/>
    </row>
    <row r="3" spans="1:13" ht="28.5">
      <c r="A3" s="3419"/>
      <c r="B3" s="3419"/>
      <c r="C3" s="3419"/>
      <c r="D3" s="3420"/>
      <c r="E3" s="342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20" t="s">
        <v>42</v>
      </c>
      <c r="B9" s="3420"/>
      <c r="C9" s="342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I8" sqref="I8"/>
    </sheetView>
  </sheetViews>
  <sheetFormatPr defaultColWidth="9.125" defaultRowHeight="14.25"/>
  <cols>
    <col min="1" max="1" width="8.125" style="1898" customWidth="1"/>
    <col min="2" max="2" width="10.1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1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430" t="s">
        <v>203</v>
      </c>
      <c r="B2" s="3430"/>
      <c r="C2" s="3430"/>
      <c r="D2" s="1888" t="s">
        <v>204</v>
      </c>
      <c r="E2" s="106" t="s">
        <v>205</v>
      </c>
      <c r="F2" s="3075"/>
      <c r="G2" s="1181"/>
      <c r="H2" s="1182"/>
      <c r="I2" s="1183" t="s">
        <v>849</v>
      </c>
      <c r="J2" s="3075"/>
      <c r="K2" s="3075"/>
      <c r="L2" s="3075"/>
      <c r="M2" s="3075"/>
      <c r="N2" s="3075"/>
      <c r="O2" s="3075"/>
      <c r="P2" s="3075"/>
    </row>
    <row r="3" spans="1:16" ht="15.75" thickBot="1">
      <c r="A3" s="3431" t="s">
        <v>206</v>
      </c>
      <c r="B3" s="3431"/>
      <c r="C3" s="3431"/>
      <c r="D3" s="107">
        <f>'数据-基础表'!AY6</f>
        <v>22121.8</v>
      </c>
      <c r="E3" s="107">
        <f>'数据-基础表'!AZ5</f>
        <v>6546.1</v>
      </c>
      <c r="F3" s="3075"/>
      <c r="G3" s="278" t="s">
        <v>850</v>
      </c>
      <c r="H3" s="273" t="s">
        <v>851</v>
      </c>
      <c r="I3" s="1889">
        <f>ROUND('数据-基础表'!B3/'数据-基础表'!A3,2)</f>
        <v>0.3</v>
      </c>
      <c r="J3" s="3075"/>
      <c r="K3" s="3075"/>
      <c r="L3" s="3075"/>
      <c r="M3" s="3075"/>
      <c r="N3" s="3075"/>
      <c r="O3" s="3075"/>
      <c r="P3" s="3075"/>
    </row>
    <row r="4" spans="1:16" ht="15">
      <c r="A4" s="3432"/>
      <c r="B4" s="3433"/>
      <c r="C4" s="3434"/>
      <c r="D4" s="108" t="s">
        <v>204</v>
      </c>
      <c r="E4" s="109" t="s">
        <v>205</v>
      </c>
      <c r="F4" s="3075"/>
      <c r="G4" s="1184"/>
      <c r="H4" s="273" t="s">
        <v>852</v>
      </c>
      <c r="I4" s="1889">
        <f>ROUND(SUMIF('数据-基础表'!I9:AS9,"地上",'数据-基础表'!I5:AS5)/'数据-基础表'!A3,2)</f>
        <v>0.3</v>
      </c>
      <c r="J4" s="3075"/>
      <c r="K4" s="3075"/>
      <c r="L4" s="3075"/>
      <c r="M4" s="3075"/>
      <c r="N4" s="3075"/>
      <c r="O4" s="3075"/>
      <c r="P4" s="3075"/>
    </row>
    <row r="5" spans="1:16">
      <c r="A5" s="110" t="s">
        <v>207</v>
      </c>
      <c r="B5" s="3435" t="s">
        <v>230</v>
      </c>
      <c r="C5" s="3435"/>
      <c r="D5" s="111">
        <f>ROUND($D$3*E5/$E$3,2)</f>
        <v>0</v>
      </c>
      <c r="E5" s="112">
        <f>SUMIF('数据-基础表'!$11:$11,"住宅",'数据-基础表'!$5:$5)</f>
        <v>0</v>
      </c>
      <c r="F5" s="3075"/>
      <c r="G5" s="278" t="s">
        <v>853</v>
      </c>
      <c r="H5" s="273" t="s">
        <v>851</v>
      </c>
      <c r="I5" s="1889">
        <f>ROUND(E31/D31,2)</f>
        <v>0.3</v>
      </c>
      <c r="J5" s="3075"/>
      <c r="K5" s="3075"/>
      <c r="L5" s="3075"/>
      <c r="M5" s="3075"/>
      <c r="N5" s="3075"/>
      <c r="O5" s="3075"/>
      <c r="P5" s="3075"/>
    </row>
    <row r="6" spans="1:16" ht="15" thickBot="1">
      <c r="A6" s="113"/>
      <c r="B6" s="3435" t="s">
        <v>208</v>
      </c>
      <c r="C6" s="3435"/>
      <c r="D6" s="111">
        <f>ROUND($D$3*E6/$E$3,2)</f>
        <v>22121.8</v>
      </c>
      <c r="E6" s="112">
        <f>E3-E5</f>
        <v>6546.1</v>
      </c>
      <c r="F6" s="3075"/>
      <c r="G6" s="1184"/>
      <c r="H6" s="273" t="s">
        <v>852</v>
      </c>
      <c r="I6" s="1889">
        <f>ROUND(F31/D31,2)</f>
        <v>0.3</v>
      </c>
      <c r="J6" s="3075"/>
      <c r="K6" s="3075"/>
      <c r="L6" s="3075"/>
      <c r="M6" s="3075"/>
      <c r="N6" s="3075"/>
      <c r="O6" s="3075"/>
      <c r="P6" s="3075"/>
    </row>
    <row r="7" spans="1:16" ht="15">
      <c r="A7" s="3427"/>
      <c r="B7" s="3428"/>
      <c r="C7" s="3429"/>
      <c r="D7" s="108" t="s">
        <v>204</v>
      </c>
      <c r="E7" s="114" t="s">
        <v>231</v>
      </c>
      <c r="F7" s="3075"/>
      <c r="G7" s="1139" t="s">
        <v>1636</v>
      </c>
      <c r="H7" s="1140"/>
      <c r="I7" s="1759">
        <v>1</v>
      </c>
      <c r="J7" s="3075"/>
      <c r="K7" s="3075"/>
      <c r="L7" s="3075"/>
      <c r="M7" s="3075"/>
      <c r="N7" s="3075"/>
      <c r="O7" s="3075"/>
      <c r="P7" s="3075"/>
    </row>
    <row r="8" spans="1:16">
      <c r="A8" s="110" t="s">
        <v>209</v>
      </c>
      <c r="B8" s="115" t="s">
        <v>210</v>
      </c>
      <c r="C8" s="111" t="s">
        <v>211</v>
      </c>
      <c r="D8" s="111">
        <f t="shared" ref="D8:D15" si="0">ROUND($D$3*E8/$E$3,2)</f>
        <v>22121.8</v>
      </c>
      <c r="E8" s="116">
        <f>SUMIF('数据-基础表'!BB10:BK10,"地上",'数据-基础表'!BB5:BK5)</f>
        <v>6546.1</v>
      </c>
      <c r="F8" s="3075"/>
      <c r="G8" s="3076"/>
      <c r="H8" s="3076"/>
      <c r="I8" s="3075"/>
      <c r="J8" s="3075"/>
      <c r="K8" s="3075"/>
      <c r="L8" s="3075"/>
      <c r="M8" s="3075"/>
      <c r="N8" s="3075"/>
      <c r="O8" s="3075"/>
      <c r="P8" s="3075"/>
    </row>
    <row r="9" spans="1:16">
      <c r="A9" s="117"/>
      <c r="B9" s="118"/>
      <c r="C9" s="111" t="s">
        <v>212</v>
      </c>
      <c r="D9" s="111">
        <f t="shared" si="0"/>
        <v>0</v>
      </c>
      <c r="E9" s="119">
        <v>0</v>
      </c>
      <c r="F9" s="3075"/>
      <c r="G9" s="3076"/>
      <c r="H9" s="3076"/>
      <c r="I9" s="3075"/>
      <c r="J9" s="3075"/>
      <c r="K9" s="3075"/>
      <c r="L9" s="3075"/>
      <c r="M9" s="3075"/>
      <c r="N9" s="3075"/>
      <c r="O9" s="3075"/>
      <c r="P9" s="3075"/>
    </row>
    <row r="10" spans="1:16">
      <c r="A10" s="117"/>
      <c r="B10" s="118"/>
      <c r="C10" s="111" t="s">
        <v>213</v>
      </c>
      <c r="D10" s="111">
        <f t="shared" si="0"/>
        <v>0</v>
      </c>
      <c r="E10" s="116">
        <f>SUMPRODUCT(('数据-基础表'!BB10:BK10="地下")*('数据-基础表'!BB11:BK11="商业")*('数据-基础表'!BB5:BK5))</f>
        <v>0</v>
      </c>
      <c r="F10" s="3075"/>
      <c r="G10" s="3076"/>
      <c r="H10" s="3076"/>
      <c r="I10" s="3075"/>
      <c r="J10" s="3075"/>
      <c r="K10" s="3075"/>
      <c r="L10" s="3075"/>
      <c r="M10" s="3075"/>
      <c r="N10" s="3075"/>
      <c r="O10" s="3075"/>
      <c r="P10" s="3075"/>
    </row>
    <row r="11" spans="1:16">
      <c r="A11" s="117"/>
      <c r="B11" s="118"/>
      <c r="C11" s="2210" t="s">
        <v>2269</v>
      </c>
      <c r="D11" s="111">
        <f t="shared" si="0"/>
        <v>0</v>
      </c>
      <c r="E11" s="116">
        <f>SUMPRODUCT(('数据-基础表'!BB10:BK10="地下")*('数据-基础表'!BB11:BK11="办公")*('数据-基础表'!BB5:BK5))+'数据-基础表'!AJ5</f>
        <v>0</v>
      </c>
      <c r="F11" s="3075"/>
      <c r="G11" s="3076"/>
      <c r="H11" s="3076"/>
      <c r="I11" s="3075"/>
      <c r="J11" s="3075"/>
      <c r="K11" s="3075"/>
      <c r="L11" s="3075"/>
      <c r="M11" s="3075"/>
      <c r="N11" s="3075"/>
      <c r="O11" s="3075"/>
      <c r="P11" s="3075"/>
    </row>
    <row r="12" spans="1:16">
      <c r="A12" s="117"/>
      <c r="B12" s="118"/>
      <c r="C12" s="111" t="s">
        <v>214</v>
      </c>
      <c r="D12" s="111">
        <f t="shared" si="0"/>
        <v>0</v>
      </c>
      <c r="E12" s="116">
        <f>SUMPRODUCT(('数据-基础表'!BB10:BK10="地下")*('数据-基础表'!BB11:BK11="仓储")*('数据-基础表'!BB5:BK5))</f>
        <v>0</v>
      </c>
      <c r="F12" s="3075"/>
      <c r="G12" s="3076"/>
      <c r="H12" s="3076"/>
      <c r="I12" s="3075"/>
      <c r="J12" s="3075"/>
      <c r="K12" s="3075"/>
      <c r="L12" s="3075"/>
      <c r="M12" s="3075"/>
      <c r="N12" s="3075"/>
      <c r="O12" s="3075"/>
      <c r="P12" s="3075"/>
    </row>
    <row r="13" spans="1:16">
      <c r="A13" s="117"/>
      <c r="B13" s="118"/>
      <c r="C13" s="2210" t="s">
        <v>2276</v>
      </c>
      <c r="D13" s="111">
        <f t="shared" si="0"/>
        <v>0</v>
      </c>
      <c r="E13" s="116">
        <f>SUMPRODUCT(('数据-基础表'!BB10:BK10="地下")*('数据-基础表'!BB11:BK11="车库")*('数据-基础表'!BB5:BK5))</f>
        <v>0</v>
      </c>
      <c r="F13" s="3075"/>
      <c r="G13" s="3076"/>
      <c r="H13" s="3076"/>
      <c r="I13" s="3075"/>
      <c r="J13" s="3075"/>
      <c r="K13" s="3075"/>
      <c r="L13" s="3075"/>
      <c r="M13" s="3075"/>
      <c r="N13" s="3075"/>
      <c r="O13" s="3075"/>
      <c r="P13" s="3075"/>
    </row>
    <row r="14" spans="1:16">
      <c r="A14" s="117"/>
      <c r="B14" s="118"/>
      <c r="C14" s="111" t="s">
        <v>232</v>
      </c>
      <c r="D14" s="111">
        <f t="shared" si="0"/>
        <v>0</v>
      </c>
      <c r="E14" s="116">
        <f>SUMPRODUCT(('数据-基础表'!BB10:BK10="地下")*('数据-基础表'!BB11:BK11="车库—商业")*('数据-基础表'!BB5:BK5))</f>
        <v>0</v>
      </c>
      <c r="F14" s="3075"/>
      <c r="G14" s="3076"/>
      <c r="H14" s="3076"/>
      <c r="I14" s="3075"/>
      <c r="J14" s="3075"/>
      <c r="K14" s="3075"/>
      <c r="L14" s="3075"/>
      <c r="M14" s="3075"/>
      <c r="N14" s="3075"/>
      <c r="O14" s="3075"/>
      <c r="P14" s="3075"/>
    </row>
    <row r="15" spans="1:16" ht="15" thickBot="1">
      <c r="A15" s="117"/>
      <c r="B15" s="118"/>
      <c r="C15" s="111" t="s">
        <v>233</v>
      </c>
      <c r="D15" s="111">
        <f t="shared" si="0"/>
        <v>0</v>
      </c>
      <c r="E15" s="116">
        <f>SUMPRODUCT(('数据-基础表'!BB10:BK10="地下")*('数据-基础表'!BB11:BK11="车库—办公")*('数据-基础表'!BB5:BK5))</f>
        <v>0</v>
      </c>
      <c r="F15" s="3075"/>
      <c r="G15" s="3076"/>
      <c r="H15" s="3076"/>
      <c r="I15" s="3075"/>
      <c r="J15" s="3075"/>
      <c r="K15" s="3075"/>
      <c r="L15" s="3075"/>
      <c r="M15" s="3075"/>
      <c r="N15" s="3075"/>
      <c r="O15" s="3075"/>
      <c r="P15" s="3075"/>
    </row>
    <row r="16" spans="1:16" ht="15.75" thickBot="1">
      <c r="A16" s="113"/>
      <c r="B16" s="118"/>
      <c r="C16" s="115" t="s">
        <v>215</v>
      </c>
      <c r="D16" s="115">
        <f>SUM(D8:D15)</f>
        <v>22121.8</v>
      </c>
      <c r="E16" s="120">
        <f>SUM(E8:E15)</f>
        <v>6546.1</v>
      </c>
      <c r="F16" s="3075"/>
      <c r="G16" s="3076"/>
      <c r="H16" s="956" t="s">
        <v>219</v>
      </c>
      <c r="I16" s="957"/>
      <c r="J16" s="1897"/>
      <c r="K16" s="3421" t="s">
        <v>2500</v>
      </c>
      <c r="L16" s="3422"/>
      <c r="M16" s="3422"/>
      <c r="N16" s="3422"/>
      <c r="O16" s="3422"/>
      <c r="P16" s="3423"/>
    </row>
    <row r="17" spans="1:19" ht="15">
      <c r="A17" s="121" t="s">
        <v>216</v>
      </c>
      <c r="B17" s="122" t="s">
        <v>217</v>
      </c>
      <c r="C17" s="2177" t="s">
        <v>2255</v>
      </c>
      <c r="D17" s="108" t="s">
        <v>204</v>
      </c>
      <c r="E17" s="124" t="s">
        <v>205</v>
      </c>
      <c r="F17" s="125"/>
      <c r="G17" s="1319"/>
      <c r="H17" s="958" t="s">
        <v>218</v>
      </c>
      <c r="I17" s="959" t="s">
        <v>2254</v>
      </c>
      <c r="J17" s="1897"/>
      <c r="K17" s="3424" t="s">
        <v>2501</v>
      </c>
      <c r="L17" s="3425"/>
      <c r="M17" s="3426"/>
      <c r="N17" s="3424" t="s">
        <v>2502</v>
      </c>
      <c r="O17" s="3425"/>
      <c r="P17" s="3426"/>
      <c r="R17" s="2178" t="s">
        <v>2253</v>
      </c>
      <c r="S17" s="142"/>
    </row>
    <row r="18" spans="1:19" ht="15">
      <c r="A18" s="117"/>
      <c r="B18" s="128"/>
      <c r="C18" s="129"/>
      <c r="D18" s="2480"/>
      <c r="E18" s="130" t="s">
        <v>220</v>
      </c>
      <c r="F18" s="131" t="s">
        <v>221</v>
      </c>
      <c r="G18" s="1320" t="s">
        <v>222</v>
      </c>
      <c r="H18" s="960" t="s">
        <v>223</v>
      </c>
      <c r="I18" s="961" t="s">
        <v>224</v>
      </c>
      <c r="J18" s="1897"/>
      <c r="K18" s="2445" t="s">
        <v>2503</v>
      </c>
      <c r="L18" s="2446" t="s">
        <v>2504</v>
      </c>
      <c r="M18" s="2447" t="s">
        <v>2505</v>
      </c>
      <c r="N18" s="2445" t="s">
        <v>2503</v>
      </c>
      <c r="O18" s="2446" t="s">
        <v>2504</v>
      </c>
      <c r="P18" s="2447" t="s">
        <v>2505</v>
      </c>
      <c r="R18" s="2179" t="s">
        <v>2251</v>
      </c>
      <c r="S18" s="2179" t="s">
        <v>2252</v>
      </c>
    </row>
    <row r="19" spans="1:19">
      <c r="A19" s="133"/>
      <c r="B19" s="115" t="s">
        <v>225</v>
      </c>
      <c r="C19" s="2731" t="s">
        <v>2954</v>
      </c>
      <c r="D19" s="111">
        <f t="shared" ref="D19:D26" si="1">ROUND($D$3*E19/$E$3,2)</f>
        <v>22121.8</v>
      </c>
      <c r="E19" s="134">
        <f t="shared" ref="E19:E26" si="2">SUM(F19:G19)</f>
        <v>6546.1</v>
      </c>
      <c r="F19" s="3077">
        <f>'数据-基础表'!I5</f>
        <v>6546.1</v>
      </c>
      <c r="G19" s="3078"/>
      <c r="H19" s="962">
        <f>ROUND($D$3*I19/$E$3,2)</f>
        <v>0</v>
      </c>
      <c r="I19" s="116">
        <f>IF($I$17="自定义",P19,M19)</f>
        <v>0</v>
      </c>
      <c r="J19" s="1897"/>
      <c r="K19" s="2448">
        <f t="shared" ref="K19:K26" si="3">ROUND(E$28*E19/E$27,2)</f>
        <v>0</v>
      </c>
      <c r="L19" s="273">
        <f t="shared" ref="L19:L26" si="4">ROUND(IF(COUNTIF(C19,"*住宅*")&gt;0,E$29*E19/E$32,0),2)</f>
        <v>0</v>
      </c>
      <c r="M19" s="2449">
        <f>K19+L19</f>
        <v>0</v>
      </c>
      <c r="N19" s="2450"/>
      <c r="O19" s="2451"/>
      <c r="P19" s="2452">
        <f>N19+O19</f>
        <v>0</v>
      </c>
      <c r="R19" s="273">
        <f t="shared" ref="R19:S26" si="5">D19+H19</f>
        <v>22121.8</v>
      </c>
      <c r="S19" s="2180">
        <f t="shared" si="5"/>
        <v>6546.1</v>
      </c>
    </row>
    <row r="20" spans="1:19">
      <c r="A20" s="137"/>
      <c r="B20" s="115" t="s">
        <v>226</v>
      </c>
      <c r="C20" s="2731"/>
      <c r="D20" s="111">
        <f t="shared" si="1"/>
        <v>0</v>
      </c>
      <c r="E20" s="134">
        <f t="shared" si="2"/>
        <v>0</v>
      </c>
      <c r="F20" s="3077"/>
      <c r="G20" s="3078"/>
      <c r="H20" s="962">
        <f t="shared" ref="H20:H26" si="6">ROUND($D$3*I20/$E$3,2)</f>
        <v>0</v>
      </c>
      <c r="I20" s="116">
        <f t="shared" ref="I20:I26" si="7">IF($I$17="自定义",P20,M20)</f>
        <v>0</v>
      </c>
      <c r="J20" s="1897"/>
      <c r="K20" s="2448">
        <f t="shared" si="3"/>
        <v>0</v>
      </c>
      <c r="L20" s="273">
        <f t="shared" si="4"/>
        <v>0</v>
      </c>
      <c r="M20" s="2449">
        <f t="shared" ref="M20:M26" si="8">K20+L20</f>
        <v>0</v>
      </c>
      <c r="N20" s="2450"/>
      <c r="O20" s="2451"/>
      <c r="P20" s="2452">
        <f t="shared" ref="P20:P26" si="9">N20+O20</f>
        <v>0</v>
      </c>
      <c r="R20" s="273">
        <f t="shared" si="5"/>
        <v>0</v>
      </c>
      <c r="S20" s="2180">
        <f t="shared" si="5"/>
        <v>0</v>
      </c>
    </row>
    <row r="21" spans="1:19">
      <c r="A21" s="137"/>
      <c r="B21" s="115" t="s">
        <v>226</v>
      </c>
      <c r="C21" s="2731"/>
      <c r="D21" s="111">
        <f t="shared" si="1"/>
        <v>0</v>
      </c>
      <c r="E21" s="134">
        <f t="shared" si="2"/>
        <v>0</v>
      </c>
      <c r="F21" s="3077"/>
      <c r="G21" s="3078"/>
      <c r="H21" s="962">
        <f t="shared" si="6"/>
        <v>0</v>
      </c>
      <c r="I21" s="116">
        <f t="shared" si="7"/>
        <v>0</v>
      </c>
      <c r="J21" s="1897"/>
      <c r="K21" s="2448">
        <f t="shared" si="3"/>
        <v>0</v>
      </c>
      <c r="L21" s="273">
        <f t="shared" si="4"/>
        <v>0</v>
      </c>
      <c r="M21" s="2449">
        <f t="shared" si="8"/>
        <v>0</v>
      </c>
      <c r="N21" s="2450"/>
      <c r="O21" s="2451"/>
      <c r="P21" s="2452">
        <f t="shared" si="9"/>
        <v>0</v>
      </c>
      <c r="R21" s="273">
        <f t="shared" si="5"/>
        <v>0</v>
      </c>
      <c r="S21" s="2180">
        <f t="shared" si="5"/>
        <v>0</v>
      </c>
    </row>
    <row r="22" spans="1:19">
      <c r="A22" s="137"/>
      <c r="B22" s="115" t="s">
        <v>226</v>
      </c>
      <c r="C22" s="1318"/>
      <c r="D22" s="111">
        <f t="shared" si="1"/>
        <v>0</v>
      </c>
      <c r="E22" s="134">
        <f t="shared" si="2"/>
        <v>0</v>
      </c>
      <c r="F22" s="3079"/>
      <c r="G22" s="3080"/>
      <c r="H22" s="962">
        <f t="shared" si="6"/>
        <v>0</v>
      </c>
      <c r="I22" s="116">
        <f t="shared" si="7"/>
        <v>0</v>
      </c>
      <c r="J22" s="1897"/>
      <c r="K22" s="2448">
        <f t="shared" si="3"/>
        <v>0</v>
      </c>
      <c r="L22" s="273">
        <f t="shared" si="4"/>
        <v>0</v>
      </c>
      <c r="M22" s="2449">
        <f t="shared" si="8"/>
        <v>0</v>
      </c>
      <c r="N22" s="2450"/>
      <c r="O22" s="2451"/>
      <c r="P22" s="2452">
        <f t="shared" si="9"/>
        <v>0</v>
      </c>
      <c r="R22" s="273">
        <f t="shared" si="5"/>
        <v>0</v>
      </c>
      <c r="S22" s="2180">
        <f t="shared" si="5"/>
        <v>0</v>
      </c>
    </row>
    <row r="23" spans="1:19">
      <c r="A23" s="137"/>
      <c r="B23" s="115" t="s">
        <v>226</v>
      </c>
      <c r="C23" s="138"/>
      <c r="D23" s="111">
        <f>ROUND($D$3*E23/$E$3,2)</f>
        <v>0</v>
      </c>
      <c r="E23" s="134">
        <f>SUM(F23:G23)</f>
        <v>0</v>
      </c>
      <c r="F23" s="3079"/>
      <c r="G23" s="3080"/>
      <c r="H23" s="962">
        <f>ROUND($D$3*I23/$E$3,2)</f>
        <v>0</v>
      </c>
      <c r="I23" s="116">
        <f t="shared" si="7"/>
        <v>0</v>
      </c>
      <c r="J23" s="1897"/>
      <c r="K23" s="2448">
        <f t="shared" si="3"/>
        <v>0</v>
      </c>
      <c r="L23" s="273">
        <f t="shared" si="4"/>
        <v>0</v>
      </c>
      <c r="M23" s="2449">
        <f t="shared" si="8"/>
        <v>0</v>
      </c>
      <c r="N23" s="2450"/>
      <c r="O23" s="2451"/>
      <c r="P23" s="2452">
        <f t="shared" si="9"/>
        <v>0</v>
      </c>
      <c r="R23" s="273">
        <f t="shared" si="5"/>
        <v>0</v>
      </c>
      <c r="S23" s="2180">
        <f t="shared" si="5"/>
        <v>0</v>
      </c>
    </row>
    <row r="24" spans="1:19">
      <c r="A24" s="137"/>
      <c r="B24" s="115" t="s">
        <v>226</v>
      </c>
      <c r="C24" s="138"/>
      <c r="D24" s="111">
        <f>ROUND($D$3*E24/$E$3,2)</f>
        <v>0</v>
      </c>
      <c r="E24" s="134">
        <f>SUM(F24:G24)</f>
        <v>0</v>
      </c>
      <c r="F24" s="3079"/>
      <c r="G24" s="3080"/>
      <c r="H24" s="962">
        <f>ROUND($D$3*I24/$E$3,2)</f>
        <v>0</v>
      </c>
      <c r="I24" s="116">
        <f t="shared" si="7"/>
        <v>0</v>
      </c>
      <c r="J24" s="1897"/>
      <c r="K24" s="2448">
        <f t="shared" si="3"/>
        <v>0</v>
      </c>
      <c r="L24" s="273">
        <f t="shared" si="4"/>
        <v>0</v>
      </c>
      <c r="M24" s="2449">
        <f t="shared" si="8"/>
        <v>0</v>
      </c>
      <c r="N24" s="2450"/>
      <c r="O24" s="2451"/>
      <c r="P24" s="2452">
        <f t="shared" si="9"/>
        <v>0</v>
      </c>
      <c r="R24" s="273">
        <f t="shared" si="5"/>
        <v>0</v>
      </c>
      <c r="S24" s="2180">
        <f t="shared" si="5"/>
        <v>0</v>
      </c>
    </row>
    <row r="25" spans="1:19">
      <c r="A25" s="137"/>
      <c r="B25" s="115" t="s">
        <v>226</v>
      </c>
      <c r="C25" s="138"/>
      <c r="D25" s="111">
        <f t="shared" si="1"/>
        <v>0</v>
      </c>
      <c r="E25" s="134">
        <f t="shared" si="2"/>
        <v>0</v>
      </c>
      <c r="F25" s="3079"/>
      <c r="G25" s="3080"/>
      <c r="H25" s="110">
        <f t="shared" si="6"/>
        <v>0</v>
      </c>
      <c r="I25" s="116">
        <f t="shared" si="7"/>
        <v>0</v>
      </c>
      <c r="J25" s="1897"/>
      <c r="K25" s="2448">
        <f t="shared" si="3"/>
        <v>0</v>
      </c>
      <c r="L25" s="273">
        <f t="shared" si="4"/>
        <v>0</v>
      </c>
      <c r="M25" s="2449">
        <f t="shared" si="8"/>
        <v>0</v>
      </c>
      <c r="N25" s="2450"/>
      <c r="O25" s="2451"/>
      <c r="P25" s="2452">
        <f t="shared" si="9"/>
        <v>0</v>
      </c>
      <c r="R25" s="273">
        <f t="shared" si="5"/>
        <v>0</v>
      </c>
      <c r="S25" s="2180">
        <f t="shared" si="5"/>
        <v>0</v>
      </c>
    </row>
    <row r="26" spans="1:19">
      <c r="A26" s="137"/>
      <c r="B26" s="115" t="s">
        <v>226</v>
      </c>
      <c r="C26" s="140"/>
      <c r="D26" s="111">
        <f t="shared" si="1"/>
        <v>0</v>
      </c>
      <c r="E26" s="134">
        <f t="shared" si="2"/>
        <v>0</v>
      </c>
      <c r="F26" s="3079"/>
      <c r="G26" s="3080"/>
      <c r="H26" s="110">
        <f t="shared" si="6"/>
        <v>0</v>
      </c>
      <c r="I26" s="116">
        <f t="shared" si="7"/>
        <v>0</v>
      </c>
      <c r="J26" s="1897"/>
      <c r="K26" s="2453">
        <f t="shared" si="3"/>
        <v>0</v>
      </c>
      <c r="L26" s="278">
        <f t="shared" si="4"/>
        <v>0</v>
      </c>
      <c r="M26" s="144">
        <f t="shared" si="8"/>
        <v>0</v>
      </c>
      <c r="N26" s="2454"/>
      <c r="O26" s="2455"/>
      <c r="P26" s="2456">
        <f t="shared" si="9"/>
        <v>0</v>
      </c>
      <c r="R26" s="273">
        <f t="shared" si="5"/>
        <v>0</v>
      </c>
      <c r="S26" s="2180">
        <f t="shared" si="5"/>
        <v>0</v>
      </c>
    </row>
    <row r="27" spans="1:19" ht="15.75" thickBot="1">
      <c r="A27" s="137"/>
      <c r="B27" s="111"/>
      <c r="C27" s="127" t="s">
        <v>215</v>
      </c>
      <c r="D27" s="134">
        <f>SUM(D19:D26)</f>
        <v>22121.8</v>
      </c>
      <c r="E27" s="141">
        <f>IF(SUM(E19:E26)='数据-基础表'!BA5,SUM(E19:E26),IF(F27="地上面积有误","面积有误","地下面积有误"))</f>
        <v>6546.1</v>
      </c>
      <c r="F27" s="134">
        <f>IF(SUM(F19:F26)=E8,SUM(F19:F26),"地上面积有误")</f>
        <v>6546.1</v>
      </c>
      <c r="G27" s="112">
        <f>SUM(G19:G26)</f>
        <v>0</v>
      </c>
      <c r="H27" s="963">
        <f>SUM(H19:H26)</f>
        <v>0</v>
      </c>
      <c r="I27" s="964">
        <f>SUM(I19:I26)</f>
        <v>0</v>
      </c>
      <c r="J27" s="1897"/>
      <c r="K27" s="2457">
        <f t="shared" ref="K27:P27" si="10">SUM(K19:K26)</f>
        <v>0</v>
      </c>
      <c r="L27" s="2458">
        <f t="shared" si="10"/>
        <v>0</v>
      </c>
      <c r="M27" s="2459">
        <f t="shared" si="10"/>
        <v>0</v>
      </c>
      <c r="N27" s="2457">
        <f t="shared" si="10"/>
        <v>0</v>
      </c>
      <c r="O27" s="2458">
        <f t="shared" si="10"/>
        <v>0</v>
      </c>
      <c r="P27" s="2460">
        <f t="shared" si="10"/>
        <v>0</v>
      </c>
      <c r="R27" s="2184">
        <f>IF(SUM(R19:R26)=$D$3,SUM(R19:R26),SUM(R19:R26)&amp;"误差"&amp;ROUND(SUM(R19:R26)-$D$3,2))</f>
        <v>22121.8</v>
      </c>
      <c r="S27" s="273">
        <f>IF(SUM(S19:S26)=$E$3,SUM(S19:S26),SUM(S19:S26)&amp;"误差"&amp;ROUND(SUM(S19:S26)-E3,2))</f>
        <v>6546.1</v>
      </c>
    </row>
    <row r="28" spans="1:19">
      <c r="A28" s="137"/>
      <c r="B28" s="115" t="s">
        <v>227</v>
      </c>
      <c r="C28" s="135" t="s">
        <v>228</v>
      </c>
      <c r="D28" s="111">
        <f>ROUND($D$3*E28/$E$3,2)</f>
        <v>0</v>
      </c>
      <c r="E28" s="134">
        <f>SUM(F28:G28)</f>
        <v>0</v>
      </c>
      <c r="F28" s="142">
        <f>'数据-基础表'!BQ5+'数据-基础表'!BS5</f>
        <v>0</v>
      </c>
      <c r="G28" s="143">
        <f>'数据-基础表'!BR5+'数据-基础表'!BT5</f>
        <v>0</v>
      </c>
      <c r="H28" s="3075"/>
      <c r="I28" s="3075"/>
      <c r="J28" s="3075"/>
      <c r="K28" s="3075"/>
      <c r="L28" s="3075"/>
      <c r="M28" s="3075"/>
      <c r="N28" s="3075"/>
      <c r="O28" s="3075"/>
      <c r="P28" s="3075"/>
    </row>
    <row r="29" spans="1:19">
      <c r="A29" s="137"/>
      <c r="B29" s="115" t="s">
        <v>227</v>
      </c>
      <c r="C29" s="2192" t="s">
        <v>2262</v>
      </c>
      <c r="D29" s="111">
        <f>ROUND($D$3*E29/$E$3,2)</f>
        <v>0</v>
      </c>
      <c r="E29" s="134">
        <f>SUM(F29:G29)</f>
        <v>0</v>
      </c>
      <c r="F29" s="142">
        <f>'数据-基础表'!BM5+'数据-基础表'!BO5</f>
        <v>0</v>
      </c>
      <c r="G29" s="144">
        <f>'数据-基础表'!BN5+'数据-基础表'!BP5</f>
        <v>0</v>
      </c>
      <c r="H29" s="3075"/>
      <c r="I29" s="3075"/>
      <c r="J29" s="3075"/>
      <c r="K29" s="3075"/>
      <c r="L29" s="3075"/>
      <c r="M29" s="3075"/>
      <c r="N29" s="3075"/>
      <c r="O29" s="3075"/>
      <c r="P29" s="3075"/>
    </row>
    <row r="30" spans="1:19">
      <c r="A30" s="137"/>
      <c r="B30" s="111"/>
      <c r="C30" s="145" t="s">
        <v>215</v>
      </c>
      <c r="D30" s="134">
        <f>SUM(D28:D29)</f>
        <v>0</v>
      </c>
      <c r="E30" s="134">
        <f>SUM(E28:E29)</f>
        <v>0</v>
      </c>
      <c r="F30" s="134">
        <f>SUM(F28:F29)</f>
        <v>0</v>
      </c>
      <c r="G30" s="112">
        <f>SUM(G28:G29)</f>
        <v>0</v>
      </c>
      <c r="H30" s="3075"/>
      <c r="I30" s="3075"/>
      <c r="J30" s="3075"/>
      <c r="K30" s="3075"/>
      <c r="L30" s="3075"/>
      <c r="M30" s="3075"/>
      <c r="N30" s="3075"/>
      <c r="O30" s="3075"/>
      <c r="P30" s="3075"/>
    </row>
    <row r="31" spans="1:19" ht="32.25" customHeight="1" thickBot="1">
      <c r="A31" s="1321"/>
      <c r="B31" s="1322" t="s">
        <v>229</v>
      </c>
      <c r="C31" s="2209" t="s">
        <v>2264</v>
      </c>
      <c r="D31" s="1323">
        <f>D27+D30</f>
        <v>22121.8</v>
      </c>
      <c r="E31" s="1323">
        <f>E27+E30</f>
        <v>6546.1</v>
      </c>
      <c r="F31" s="1324">
        <f>F27+F30</f>
        <v>6546.1</v>
      </c>
      <c r="G31" s="1325">
        <f>G27+G30</f>
        <v>0</v>
      </c>
      <c r="H31" s="3075"/>
      <c r="I31" s="3075"/>
      <c r="J31" s="3075"/>
      <c r="K31" s="3075"/>
      <c r="L31" s="3075"/>
      <c r="M31" s="3075"/>
      <c r="N31" s="3075"/>
      <c r="O31" s="3075"/>
      <c r="P31" s="3075"/>
    </row>
    <row r="32" spans="1:19">
      <c r="A32" s="1897"/>
      <c r="B32" s="2221" t="s">
        <v>2263</v>
      </c>
      <c r="C32" s="2485"/>
      <c r="D32" s="1184"/>
      <c r="E32" s="1184">
        <f>SUMIF(C19:C26,"*住宅*",E19:E26)</f>
        <v>0</v>
      </c>
      <c r="F32" s="1184"/>
      <c r="G32" s="1184"/>
      <c r="H32" s="3075"/>
      <c r="I32" s="3075"/>
      <c r="J32" s="3075"/>
      <c r="K32" s="3075"/>
      <c r="L32" s="3075"/>
      <c r="M32" s="3075"/>
      <c r="N32" s="3075"/>
      <c r="O32" s="3075"/>
      <c r="P32" s="3075"/>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5"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18" activePane="bottomRight" state="frozen"/>
      <selection pane="topRight" activeCell="D1" sqref="D1"/>
      <selection pane="bottomLeft" activeCell="A4" sqref="A4"/>
      <selection pane="bottomRight" activeCell="P16" sqref="P16"/>
    </sheetView>
  </sheetViews>
  <sheetFormatPr defaultColWidth="13.62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625" style="1186" customWidth="1"/>
    <col min="25" max="25" width="8.125" style="1186" customWidth="1"/>
    <col min="26" max="30" width="6.625" style="1186" customWidth="1"/>
    <col min="31" max="31" width="6.5" style="1186" customWidth="1"/>
    <col min="32" max="34" width="7.125" style="1186" customWidth="1"/>
    <col min="35" max="39" width="8" style="1186" customWidth="1"/>
    <col min="40" max="41" width="13.625" style="1907"/>
    <col min="42" max="42" width="13.625" style="1907" customWidth="1"/>
    <col min="43" max="83" width="13.625" style="1907"/>
    <col min="84" max="16384" width="13.62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2"/>
      <c r="AO1" s="3082"/>
      <c r="AP1" s="3082"/>
      <c r="AQ1" s="3082"/>
      <c r="AR1" s="3082"/>
      <c r="AS1" s="3082"/>
      <c r="AT1" s="3082"/>
      <c r="AU1" s="3082"/>
      <c r="AV1" s="3082"/>
      <c r="AW1" s="3082"/>
      <c r="AX1" s="3082"/>
      <c r="AY1" s="3082"/>
      <c r="AZ1" s="3082"/>
    </row>
    <row r="2" spans="1:83" s="1189" customFormat="1" ht="15.75" thickBot="1">
      <c r="A2" s="147" t="s">
        <v>235</v>
      </c>
      <c r="B2" s="2217">
        <f>项目基本情况!D3</f>
        <v>44097</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85"/>
      <c r="AO2" s="3085"/>
      <c r="AP2" s="3085"/>
      <c r="AQ2" s="3085"/>
      <c r="AR2" s="3085"/>
      <c r="AS2" s="3085"/>
      <c r="AT2" s="3085"/>
      <c r="AU2" s="3085"/>
      <c r="AV2" s="3085"/>
      <c r="AW2" s="3085"/>
      <c r="AX2" s="3085"/>
      <c r="AY2" s="3085"/>
      <c r="AZ2" s="3085"/>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85"/>
      <c r="AO3" s="3085"/>
      <c r="AP3" s="3085"/>
      <c r="AQ3" s="3085"/>
      <c r="AR3" s="3085"/>
      <c r="AS3" s="3085"/>
      <c r="AT3" s="3085"/>
      <c r="AU3" s="3085"/>
      <c r="AV3" s="3085"/>
      <c r="AW3" s="3085"/>
      <c r="AX3" s="3085"/>
      <c r="AY3" s="3085"/>
      <c r="AZ3" s="3085"/>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85"/>
      <c r="AO4" s="3085"/>
      <c r="AP4" s="3085"/>
      <c r="AQ4" s="3085"/>
      <c r="AR4" s="3085"/>
      <c r="AS4" s="3085"/>
      <c r="AT4" s="3085"/>
      <c r="AU4" s="3085"/>
      <c r="AV4" s="3085"/>
      <c r="AW4" s="3085"/>
      <c r="AX4" s="3085"/>
      <c r="AY4" s="3085"/>
      <c r="AZ4" s="3085"/>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54">
      <c r="A5" s="2183" t="s">
        <v>2266</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2957</v>
      </c>
      <c r="O5" s="161" t="s">
        <v>246</v>
      </c>
      <c r="P5" s="163" t="s">
        <v>247</v>
      </c>
      <c r="Q5" s="164" t="s">
        <v>248</v>
      </c>
      <c r="R5" s="165" t="s">
        <v>249</v>
      </c>
      <c r="S5" s="2461" t="s">
        <v>2506</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2265</v>
      </c>
      <c r="AI5" s="169" t="s">
        <v>2238</v>
      </c>
      <c r="AJ5" s="169" t="s">
        <v>258</v>
      </c>
      <c r="AK5" s="157" t="s">
        <v>259</v>
      </c>
      <c r="AL5" s="157" t="s">
        <v>260</v>
      </c>
      <c r="AM5" s="170" t="s">
        <v>261</v>
      </c>
      <c r="AN5" s="2245" t="s">
        <v>2312</v>
      </c>
      <c r="AO5" s="3096"/>
      <c r="AP5" s="3081" t="s">
        <v>2919</v>
      </c>
      <c r="AQ5" s="3096"/>
      <c r="AR5" s="3096"/>
      <c r="AS5" s="3096"/>
      <c r="AT5" s="3096"/>
      <c r="AU5" s="3096"/>
      <c r="AV5" s="3096"/>
      <c r="AW5" s="3096"/>
      <c r="AX5" s="3096"/>
      <c r="AY5" s="3096"/>
      <c r="AZ5" s="3096"/>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工业</v>
      </c>
      <c r="B6" s="2216" t="str">
        <f>IF(A6=0,"","经营性")</f>
        <v>经营性</v>
      </c>
      <c r="C6" s="171" t="s">
        <v>972</v>
      </c>
      <c r="D6" s="2187">
        <f>SUMIF(项目基本情况!D$15:I$15,C6,项目基本情况!D$18:I$18)</f>
        <v>50</v>
      </c>
      <c r="E6" s="2188">
        <f>IF(B6="","",SUMIF(项目基本情况!D$15:I$15,C6,项目基本情况!D$17:I$17))</f>
        <v>62358</v>
      </c>
      <c r="F6" s="172">
        <f>SUMIF(项目基本情况!D$15:I$15,C6,项目基本情况!D$19:I$19)</f>
        <v>50</v>
      </c>
      <c r="G6" s="173">
        <f t="shared" ref="G6:G13" si="0">IF(ISERROR(ROUND(POWER(1+H6,D6-F6)*(POWER(1+H6,F6)-1)/(POWER(1+H6,D6)-1),3)),0,ROUND(POWER(1+H6,D6-F6)*(POWER(1+H6,F6)-1)/(POWER(1+H6,D6)-1),3))</f>
        <v>1</v>
      </c>
      <c r="H6" s="2732">
        <v>4.8000000000000001E-2</v>
      </c>
      <c r="I6" s="2732">
        <v>0.05</v>
      </c>
      <c r="J6" s="174">
        <v>8.5000000000000006E-2</v>
      </c>
      <c r="K6" s="177">
        <f>SUMIF('数据-汇总表'!C$19:C$33,'数据-取费表'!A6,'数据-汇总表'!E$19:E$33)</f>
        <v>6546.1</v>
      </c>
      <c r="L6" s="2733">
        <v>1800</v>
      </c>
      <c r="M6" s="175">
        <f t="shared" ref="M6:M14" si="1">ROUND(K6*L6/10000,0)</f>
        <v>1178</v>
      </c>
      <c r="N6" s="2734">
        <v>0.7</v>
      </c>
      <c r="O6" s="175" t="str">
        <f>IF($N$5="成新度","——",ROUND(M6*N6,0))</f>
        <v>——</v>
      </c>
      <c r="P6" s="176" t="str">
        <f>IF($N$5="成新度","——",M6-O6)</f>
        <v>——</v>
      </c>
      <c r="Q6" s="2735">
        <v>0.12</v>
      </c>
      <c r="R6" s="177">
        <f>SUMIF('数据-汇总表'!C$19:C$33,A6,'数据-汇总表'!R$19:R$33)</f>
        <v>22121.8</v>
      </c>
      <c r="S6" s="132">
        <f>IF('数据-汇总表'!$I$17="按面积比例",SUMIF('数据-汇总表'!C$19:C$33,A6,'数据-汇总表'!K$19:K$33),SUMIF('数据-汇总表'!C$19:C$33,A6,'数据-汇总表'!N$19:N$33))</f>
        <v>0</v>
      </c>
      <c r="T6" s="2113" t="str">
        <f>IF($T$4="按面积比例",IF(ISERROR(ROUND($M$14*S6/S$16,0)),"0",ROUND($M$14*S6/S$16,0)),"需自行计算录入")</f>
        <v>0</v>
      </c>
      <c r="U6" s="178">
        <v>1.3</v>
      </c>
      <c r="V6" s="179">
        <v>0</v>
      </c>
      <c r="W6" s="179">
        <v>0.15</v>
      </c>
      <c r="X6" s="2200"/>
      <c r="Y6" s="180">
        <f>N6</f>
        <v>0.7</v>
      </c>
      <c r="Z6" s="181"/>
      <c r="AA6" s="174"/>
      <c r="AB6" s="174"/>
      <c r="AC6" s="2203"/>
      <c r="AD6" s="182"/>
      <c r="AE6" s="960">
        <f ca="1">IF(AN6="",0,SUMIF(INDIRECT("'"&amp;AN6&amp;"'"&amp;"!E:E"),$AE$5,INDIRECT("'"&amp;AN6&amp;"'"&amp;"!F:F")))</f>
        <v>50</v>
      </c>
      <c r="AF6" s="139"/>
      <c r="AG6" s="1196">
        <f>IF(AF6="",0,AE6-AF6)</f>
        <v>0</v>
      </c>
      <c r="AH6" s="139">
        <f>'数据-汇总表'!E3</f>
        <v>6546.1</v>
      </c>
      <c r="AI6" s="185">
        <v>365</v>
      </c>
      <c r="AJ6" s="186"/>
      <c r="AK6" s="187">
        <v>1.4999999999999999E-2</v>
      </c>
      <c r="AL6" s="188">
        <v>1.5E-3</v>
      </c>
      <c r="AM6" s="2746">
        <v>1.4999999999999999E-2</v>
      </c>
      <c r="AN6" s="2246" t="s">
        <v>2958</v>
      </c>
      <c r="AO6" s="3085"/>
      <c r="AP6" s="1187">
        <f>ROUND(1-1/(1+H6)^F6,3)</f>
        <v>0.90400000000000003</v>
      </c>
      <c r="AQ6" s="3085"/>
      <c r="AR6" s="3085"/>
      <c r="AS6" s="3085"/>
      <c r="AT6" s="3085"/>
      <c r="AU6" s="3085"/>
      <c r="AV6" s="3085"/>
      <c r="AW6" s="3085"/>
      <c r="AX6" s="3085"/>
      <c r="AY6" s="3085"/>
      <c r="AZ6" s="3085"/>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f>'数据-汇总表'!C20</f>
        <v>0</v>
      </c>
      <c r="B7" s="2216" t="str">
        <f t="shared" ref="B7:B13" si="2">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si="0"/>
        <v>0</v>
      </c>
      <c r="H7" s="2732"/>
      <c r="I7" s="2732"/>
      <c r="J7" s="174"/>
      <c r="K7" s="177">
        <f>SUMIF('数据-汇总表'!C$19:C$33,'数据-取费表'!A7,'数据-汇总表'!E$19:E$33)</f>
        <v>0</v>
      </c>
      <c r="L7" s="2733"/>
      <c r="M7" s="175">
        <f t="shared" si="1"/>
        <v>0</v>
      </c>
      <c r="N7" s="2734"/>
      <c r="O7" s="175" t="str">
        <f t="shared" ref="O7:O14" si="3">IF($N$5="成新度","——",ROUND(M7*N7,0))</f>
        <v>——</v>
      </c>
      <c r="P7" s="176" t="str">
        <f t="shared" ref="P7:P14" si="4">IF($N$5="成新度","——",M7-O7)</f>
        <v>——</v>
      </c>
      <c r="Q7" s="2735"/>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85"/>
      <c r="AP7" s="1187">
        <f t="shared" ref="AP7:AP13" si="8">ROUND(1-1/(1+H7)^F7,3)</f>
        <v>0</v>
      </c>
      <c r="AQ7" s="3085"/>
      <c r="AR7" s="3085"/>
      <c r="AS7" s="3085"/>
      <c r="AT7" s="3085"/>
      <c r="AU7" s="3085"/>
      <c r="AV7" s="3085"/>
      <c r="AW7" s="3085"/>
      <c r="AX7" s="3085"/>
      <c r="AY7" s="3085"/>
      <c r="AZ7" s="3085"/>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f>'数据-汇总表'!C21</f>
        <v>0</v>
      </c>
      <c r="B8" s="2216" t="str">
        <f t="shared" si="2"/>
        <v/>
      </c>
      <c r="C8" s="171"/>
      <c r="D8" s="2187">
        <f>SUMIF(项目基本情况!D$15:I$15,C8,项目基本情况!D$18:I$18)</f>
        <v>0</v>
      </c>
      <c r="E8" s="2188" t="str">
        <f>IF(B8="","",SUMIF(项目基本情况!D$15:I$15,C8,项目基本情况!D$17:I$17))</f>
        <v/>
      </c>
      <c r="F8" s="172">
        <f>SUMIF(项目基本情况!D$15:I$15,C8,项目基本情况!D$19:I$19)</f>
        <v>0</v>
      </c>
      <c r="G8" s="173">
        <f t="shared" si="0"/>
        <v>0</v>
      </c>
      <c r="H8" s="2732"/>
      <c r="I8" s="2732"/>
      <c r="J8" s="174"/>
      <c r="K8" s="177">
        <f>SUMIF('数据-汇总表'!C$19:C$33,'数据-取费表'!A8,'数据-汇总表'!E$19:E$33)</f>
        <v>0</v>
      </c>
      <c r="L8" s="2733"/>
      <c r="M8" s="175">
        <f>ROUND(K8*L8/10000,0)</f>
        <v>0</v>
      </c>
      <c r="N8" s="2734"/>
      <c r="O8" s="175" t="str">
        <f t="shared" si="3"/>
        <v>——</v>
      </c>
      <c r="P8" s="176" t="str">
        <f t="shared" si="4"/>
        <v>——</v>
      </c>
      <c r="Q8" s="2735"/>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85"/>
      <c r="AP8" s="1187">
        <f t="shared" si="8"/>
        <v>0</v>
      </c>
      <c r="AQ8" s="3085"/>
      <c r="AR8" s="3085"/>
      <c r="AS8" s="3085"/>
      <c r="AT8" s="3085"/>
      <c r="AU8" s="3085"/>
      <c r="AV8" s="3085"/>
      <c r="AW8" s="3085"/>
      <c r="AX8" s="3085"/>
      <c r="AY8" s="3085"/>
      <c r="AZ8" s="3085"/>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f>'数据-汇总表'!C22</f>
        <v>0</v>
      </c>
      <c r="B9" s="2216" t="str">
        <f t="shared" si="2"/>
        <v/>
      </c>
      <c r="C9" s="171"/>
      <c r="D9" s="2187">
        <f>SUMIF(项目基本情况!D$15:I$15,C9,项目基本情况!D$18:I$18)</f>
        <v>0</v>
      </c>
      <c r="E9" s="2188" t="str">
        <f>IF(B9="","",SUMIF(项目基本情况!D$15:I$15,C9,项目基本情况!D$17:I$17))</f>
        <v/>
      </c>
      <c r="F9" s="172">
        <f>SUMIF(项目基本情况!D$15:I$15,C9,项目基本情况!D$19:I$19)</f>
        <v>0</v>
      </c>
      <c r="G9" s="173">
        <f t="shared" si="0"/>
        <v>0</v>
      </c>
      <c r="H9" s="174"/>
      <c r="I9" s="174"/>
      <c r="J9" s="174"/>
      <c r="K9" s="177">
        <f>SUMIF('数据-汇总表'!C$19:C$33,'数据-取费表'!A9,'数据-汇总表'!E$19:E$33)</f>
        <v>0</v>
      </c>
      <c r="L9" s="191"/>
      <c r="M9" s="175">
        <f t="shared" si="1"/>
        <v>0</v>
      </c>
      <c r="N9" s="192"/>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6"/>
        <v>0</v>
      </c>
      <c r="AF9" s="139"/>
      <c r="AG9" s="1196">
        <f t="shared" si="7"/>
        <v>0</v>
      </c>
      <c r="AH9" s="139"/>
      <c r="AI9" s="185"/>
      <c r="AJ9" s="186"/>
      <c r="AK9" s="187"/>
      <c r="AL9" s="188"/>
      <c r="AM9" s="2244"/>
      <c r="AN9" s="2246"/>
      <c r="AO9" s="3085"/>
      <c r="AP9" s="1187">
        <f t="shared" si="8"/>
        <v>0</v>
      </c>
      <c r="AQ9" s="3085"/>
      <c r="AR9" s="3085"/>
      <c r="AS9" s="3085"/>
      <c r="AT9" s="3085"/>
      <c r="AU9" s="3085"/>
      <c r="AV9" s="3085"/>
      <c r="AW9" s="3085"/>
      <c r="AX9" s="3085"/>
      <c r="AY9" s="3085"/>
      <c r="AZ9" s="3085"/>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2"/>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0"/>
        <v>0</v>
      </c>
      <c r="H10" s="174"/>
      <c r="I10" s="174"/>
      <c r="J10" s="174"/>
      <c r="K10" s="177">
        <f>SUMIF('数据-汇总表'!C$19:C$33,'数据-取费表'!A10,'数据-汇总表'!E$19:E$33)</f>
        <v>0</v>
      </c>
      <c r="L10" s="191"/>
      <c r="M10" s="175">
        <f t="shared" si="1"/>
        <v>0</v>
      </c>
      <c r="N10" s="192"/>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85"/>
      <c r="AP10" s="1187">
        <f t="shared" si="8"/>
        <v>0</v>
      </c>
      <c r="AQ10" s="3085"/>
      <c r="AR10" s="3085"/>
      <c r="AS10" s="3085"/>
      <c r="AT10" s="3085"/>
      <c r="AU10" s="3085"/>
      <c r="AV10" s="3085"/>
      <c r="AW10" s="3085"/>
      <c r="AX10" s="3085"/>
      <c r="AY10" s="3085"/>
      <c r="AZ10" s="3085"/>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2"/>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0"/>
        <v>0</v>
      </c>
      <c r="H11" s="174"/>
      <c r="I11" s="174"/>
      <c r="J11" s="174"/>
      <c r="K11" s="177">
        <f>SUMIF('数据-汇总表'!C$19:C$33,'数据-取费表'!A11,'数据-汇总表'!E$19:E$33)</f>
        <v>0</v>
      </c>
      <c r="L11" s="191"/>
      <c r="M11" s="175">
        <f t="shared" si="1"/>
        <v>0</v>
      </c>
      <c r="N11" s="192"/>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85"/>
      <c r="AP11" s="1187">
        <f t="shared" si="8"/>
        <v>0</v>
      </c>
      <c r="AQ11" s="3085"/>
      <c r="AR11" s="3085"/>
      <c r="AS11" s="3085"/>
      <c r="AT11" s="3085"/>
      <c r="AU11" s="3085"/>
      <c r="AV11" s="3085"/>
      <c r="AW11" s="3085"/>
      <c r="AX11" s="3085"/>
      <c r="AY11" s="3085"/>
      <c r="AZ11" s="3085"/>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2"/>
        <v/>
      </c>
      <c r="C12" s="171"/>
      <c r="D12" s="2187">
        <f>SUMIF(项目基本情况!D$15:I$15,C12,项目基本情况!D$18:I$18)</f>
        <v>0</v>
      </c>
      <c r="E12" s="2188" t="str">
        <f>IF(B12="","",SUMIF(项目基本情况!D$15:I$15,C12,项目基本情况!D$17:I$17))</f>
        <v/>
      </c>
      <c r="F12" s="172">
        <f>SUMIF(项目基本情况!D$15:I$15,C12,项目基本情况!D$19:I$19)</f>
        <v>0</v>
      </c>
      <c r="G12" s="173">
        <f t="shared" si="0"/>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85"/>
      <c r="AP12" s="1187">
        <f t="shared" si="8"/>
        <v>0</v>
      </c>
      <c r="AQ12" s="3085"/>
      <c r="AR12" s="3085"/>
      <c r="AS12" s="3085"/>
      <c r="AT12" s="3085"/>
      <c r="AU12" s="3085"/>
      <c r="AV12" s="3085"/>
      <c r="AW12" s="3085"/>
      <c r="AX12" s="3085"/>
      <c r="AY12" s="3085"/>
      <c r="AZ12" s="3085"/>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2"/>
        <v/>
      </c>
      <c r="C13" s="171"/>
      <c r="D13" s="2187">
        <f>SUMIF(项目基本情况!D$15:I$15,C13,项目基本情况!D$18:I$18)</f>
        <v>0</v>
      </c>
      <c r="E13" s="2188" t="str">
        <f>IF(B13="","",SUMIF(项目基本情况!D$15:I$15,C13,项目基本情况!D$17:I$17))</f>
        <v/>
      </c>
      <c r="F13" s="172">
        <f>SUMIF(项目基本情况!D$15:I$15,C13,项目基本情况!D$19:I$19)</f>
        <v>0</v>
      </c>
      <c r="G13" s="173">
        <f t="shared" si="0"/>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85"/>
      <c r="AP13" s="1187">
        <f t="shared" si="8"/>
        <v>0</v>
      </c>
      <c r="AQ13" s="3085"/>
      <c r="AR13" s="3085"/>
      <c r="AS13" s="3085"/>
      <c r="AT13" s="3085"/>
      <c r="AU13" s="3085"/>
      <c r="AV13" s="3085"/>
      <c r="AW13" s="3085"/>
      <c r="AX13" s="3085"/>
      <c r="AY13" s="3085"/>
      <c r="AZ13" s="3085"/>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2256</v>
      </c>
      <c r="B14" s="2185" t="s">
        <v>1670</v>
      </c>
      <c r="C14" s="2186" t="s">
        <v>2256</v>
      </c>
      <c r="D14" s="2187"/>
      <c r="E14" s="2188"/>
      <c r="F14" s="172"/>
      <c r="G14" s="173"/>
      <c r="H14" s="2189"/>
      <c r="I14" s="2189"/>
      <c r="J14" s="2189"/>
      <c r="K14" s="177">
        <f>SUMIF('数据-汇总表'!C$19:C$33,'数据-取费表'!A14,'数据-汇总表'!E$19:E$33)</f>
        <v>0</v>
      </c>
      <c r="L14" s="191"/>
      <c r="M14" s="175">
        <f t="shared" si="1"/>
        <v>0</v>
      </c>
      <c r="N14" s="192"/>
      <c r="O14" s="175" t="str">
        <f t="shared" si="3"/>
        <v>——</v>
      </c>
      <c r="P14" s="176" t="str">
        <f t="shared" si="4"/>
        <v>——</v>
      </c>
      <c r="Q14" s="2197"/>
      <c r="R14" s="177"/>
      <c r="S14" s="132"/>
      <c r="T14" s="2196"/>
      <c r="U14" s="962"/>
      <c r="V14" s="2199"/>
      <c r="W14" s="2199"/>
      <c r="X14" s="2200"/>
      <c r="Y14" s="2201"/>
      <c r="Z14" s="135"/>
      <c r="AA14" s="2202"/>
      <c r="AB14" s="2202"/>
      <c r="AC14" s="2203"/>
      <c r="AD14" s="2200"/>
      <c r="AE14" s="960"/>
      <c r="AF14" s="2175"/>
      <c r="AG14" s="1196"/>
      <c r="AH14" s="2175"/>
      <c r="AI14" s="1506"/>
      <c r="AJ14" s="1506"/>
      <c r="AK14" s="2204"/>
      <c r="AL14" s="2205"/>
      <c r="AM14" s="2206"/>
      <c r="AN14" s="3085"/>
      <c r="AO14" s="3085"/>
      <c r="AP14" s="3085"/>
      <c r="AQ14" s="3085"/>
      <c r="AR14" s="3085"/>
      <c r="AS14" s="3085"/>
      <c r="AT14" s="3085"/>
      <c r="AU14" s="3085"/>
      <c r="AV14" s="3085"/>
      <c r="AW14" s="3085"/>
      <c r="AX14" s="3085"/>
      <c r="AY14" s="3085"/>
      <c r="AZ14" s="3085"/>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2258</v>
      </c>
      <c r="B15" s="2185" t="s">
        <v>1670</v>
      </c>
      <c r="C15" s="2186" t="s">
        <v>2257</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6"/>
      <c r="AJ15" s="1506"/>
      <c r="AK15" s="2204"/>
      <c r="AL15" s="2205"/>
      <c r="AM15" s="2206"/>
      <c r="AN15" s="3085"/>
      <c r="AO15" s="3085"/>
      <c r="AP15" s="3085"/>
      <c r="AQ15" s="3085"/>
      <c r="AR15" s="3085"/>
      <c r="AS15" s="3085"/>
      <c r="AT15" s="3085"/>
      <c r="AU15" s="3085"/>
      <c r="AV15" s="3085"/>
      <c r="AW15" s="3085"/>
      <c r="AX15" s="3085"/>
      <c r="AY15" s="3085"/>
      <c r="AZ15" s="3085"/>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f>ROUND(SUMPRODUCT(G6:G13,K6:K13)/SUMPRODUCT((G6:G13&gt;0)*(K6:K13)),3)</f>
        <v>1</v>
      </c>
      <c r="H16" s="201">
        <f>ROUND(SUMPRODUCT(H6:H13,K6:K13)/SUMPRODUCT((H6:H13&gt;0)*(K6:K13)),3)</f>
        <v>4.8000000000000001E-2</v>
      </c>
      <c r="I16" s="202"/>
      <c r="J16" s="202"/>
      <c r="K16" s="203">
        <f>SUM(K6:K15)</f>
        <v>6546.1</v>
      </c>
      <c r="L16" s="204">
        <f>ROUND(M16*10000/SUM(K6:K14),0)</f>
        <v>1800</v>
      </c>
      <c r="M16" s="204">
        <f>SUM(M6:M14)</f>
        <v>1178</v>
      </c>
      <c r="N16" s="205">
        <f>ROUND(SUMPRODUCT(M6:M14,N6:N14)/M16,3)</f>
        <v>0.7</v>
      </c>
      <c r="O16" s="204">
        <f>SUM(O6:O14)</f>
        <v>0</v>
      </c>
      <c r="P16" s="204">
        <f>SUM(P6:P14)</f>
        <v>0</v>
      </c>
      <c r="Q16" s="206">
        <f>ROUND(SUMPRODUCT(Q6:Q13,K6:K13)/SUMPRODUCT((Q6:Q13&gt;0)*(K6:K13)),2)</f>
        <v>0.12</v>
      </c>
      <c r="R16" s="2190">
        <f>SUM(R6:R13)</f>
        <v>22121.8</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85"/>
      <c r="AO16" s="3085"/>
      <c r="AP16" s="1187">
        <f>ROUND(SUMPRODUCT(AP6:AP13,K6:K13)/SUMPRODUCT((AP6:AP13&gt;0)*(K6:K13)),3)</f>
        <v>0.90400000000000003</v>
      </c>
      <c r="AQ16" s="3085"/>
      <c r="AR16" s="3085"/>
      <c r="AS16" s="3085"/>
      <c r="AT16" s="3085"/>
      <c r="AU16" s="3085"/>
      <c r="AV16" s="3085"/>
      <c r="AW16" s="3085"/>
      <c r="AX16" s="3085"/>
      <c r="AY16" s="3085"/>
      <c r="AZ16" s="3085"/>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2"/>
      <c r="C17" s="3082"/>
      <c r="D17" s="3083"/>
      <c r="E17" s="3083"/>
      <c r="F17" s="3082"/>
      <c r="G17" s="3082"/>
      <c r="H17" s="3082"/>
      <c r="I17" s="3082"/>
      <c r="J17" s="3082"/>
      <c r="K17" s="3084"/>
      <c r="L17" s="3084"/>
      <c r="M17" s="3082"/>
      <c r="N17" s="3082"/>
      <c r="O17" s="3082"/>
      <c r="P17" s="3082"/>
      <c r="Q17" s="3082"/>
      <c r="R17" s="3082"/>
      <c r="S17" s="3082"/>
      <c r="T17" s="3082"/>
      <c r="U17" s="3082"/>
      <c r="V17" s="3082"/>
      <c r="W17" s="3082"/>
      <c r="X17" s="3082"/>
      <c r="Y17" s="3082"/>
      <c r="Z17" s="3082"/>
      <c r="AA17" s="3082"/>
      <c r="AB17" s="3082"/>
      <c r="AC17" s="3082"/>
      <c r="AD17" s="3082"/>
      <c r="AE17" s="3082"/>
      <c r="AF17" s="3082"/>
      <c r="AG17" s="3082"/>
      <c r="AH17" s="3082"/>
      <c r="AI17" s="3082"/>
      <c r="AJ17" s="3082"/>
      <c r="AK17" s="3082"/>
      <c r="AL17" s="3082"/>
      <c r="AM17" s="3082"/>
      <c r="AN17" s="3082"/>
      <c r="AO17" s="3082"/>
      <c r="AP17" s="3082"/>
      <c r="AQ17" s="3082"/>
      <c r="AR17" s="3082"/>
      <c r="AS17" s="3082"/>
      <c r="AT17" s="3082"/>
      <c r="AU17" s="3082"/>
      <c r="AV17" s="3082"/>
      <c r="AW17" s="3082"/>
      <c r="AX17" s="3082"/>
      <c r="AY17" s="3082"/>
      <c r="AZ17" s="3082"/>
    </row>
    <row r="18" spans="1:83" ht="15" thickBot="1">
      <c r="A18" s="148" t="s">
        <v>263</v>
      </c>
      <c r="B18" s="3085"/>
      <c r="C18" s="3085"/>
      <c r="D18" s="3086"/>
      <c r="E18" s="3085"/>
      <c r="F18" s="3085"/>
      <c r="G18" s="3085"/>
      <c r="H18" s="3085"/>
      <c r="I18" s="3085"/>
      <c r="J18" s="3085"/>
      <c r="K18" s="3084"/>
      <c r="L18" s="3084"/>
      <c r="M18" s="3082"/>
      <c r="N18" s="3082"/>
      <c r="O18" s="3082"/>
      <c r="P18" s="3082"/>
      <c r="Q18" s="3082"/>
      <c r="R18" s="3082"/>
      <c r="S18" s="3082"/>
      <c r="T18" s="3082"/>
      <c r="U18" s="3082"/>
      <c r="V18" s="3082"/>
      <c r="W18" s="3082"/>
      <c r="X18" s="3082"/>
      <c r="Y18" s="3082"/>
      <c r="Z18" s="3082"/>
      <c r="AA18" s="3082"/>
      <c r="AB18" s="3082"/>
      <c r="AC18" s="3082"/>
      <c r="AD18" s="3082"/>
      <c r="AE18" s="3082"/>
      <c r="AF18" s="3082"/>
      <c r="AG18" s="3082"/>
      <c r="AH18" s="3082"/>
      <c r="AI18" s="3082"/>
      <c r="AJ18" s="3082"/>
      <c r="AK18" s="3082"/>
      <c r="AL18" s="3082"/>
      <c r="AM18" s="3082"/>
      <c r="AN18" s="3082"/>
      <c r="AO18" s="3082"/>
      <c r="AP18" s="3082"/>
      <c r="AQ18" s="3082"/>
      <c r="AR18" s="3082"/>
      <c r="AS18" s="3082"/>
      <c r="AT18" s="3082"/>
      <c r="AU18" s="3082"/>
      <c r="AV18" s="3082"/>
      <c r="AW18" s="3082"/>
      <c r="AX18" s="3082"/>
      <c r="AY18" s="3082"/>
      <c r="AZ18" s="3082"/>
    </row>
    <row r="19" spans="1:83" ht="14.25">
      <c r="A19" s="215" t="s">
        <v>264</v>
      </c>
      <c r="B19" s="216">
        <v>1</v>
      </c>
      <c r="C19" s="3097" t="s">
        <v>2932</v>
      </c>
      <c r="D19" s="3086"/>
      <c r="E19" s="3085"/>
      <c r="F19" s="3085"/>
      <c r="G19" s="3085"/>
      <c r="H19" s="3085"/>
      <c r="I19" s="3085"/>
      <c r="J19" s="3085"/>
      <c r="K19" s="3084"/>
      <c r="L19" s="3084"/>
      <c r="M19" s="3082"/>
      <c r="N19" s="3082"/>
      <c r="O19" s="3082"/>
      <c r="P19" s="3082"/>
      <c r="Q19" s="3082"/>
      <c r="R19" s="3082"/>
      <c r="S19" s="3082"/>
      <c r="T19" s="3082"/>
      <c r="U19" s="3082"/>
      <c r="V19" s="3082"/>
      <c r="W19" s="3082"/>
      <c r="X19" s="3082"/>
      <c r="Y19" s="3082"/>
      <c r="Z19" s="3082"/>
      <c r="AA19" s="3082"/>
      <c r="AB19" s="3082"/>
      <c r="AC19" s="3082"/>
      <c r="AD19" s="3082"/>
      <c r="AE19" s="3082"/>
      <c r="AF19" s="3082"/>
      <c r="AG19" s="3082"/>
      <c r="AH19" s="3082"/>
      <c r="AI19" s="3082"/>
      <c r="AJ19" s="3082"/>
      <c r="AK19" s="3082"/>
      <c r="AL19" s="3082"/>
      <c r="AM19" s="3082"/>
      <c r="AN19" s="3082"/>
      <c r="AO19" s="3082"/>
      <c r="AP19" s="3082"/>
      <c r="AQ19" s="3082"/>
      <c r="AR19" s="3082"/>
      <c r="AS19" s="3082"/>
      <c r="AT19" s="3082"/>
      <c r="AU19" s="3082"/>
      <c r="AV19" s="3082"/>
      <c r="AW19" s="3082"/>
      <c r="AX19" s="3082"/>
      <c r="AY19" s="3082"/>
      <c r="AZ19" s="3082"/>
    </row>
    <row r="20" spans="1:83" ht="14.25">
      <c r="A20" s="217" t="s">
        <v>265</v>
      </c>
      <c r="B20" s="218">
        <v>1</v>
      </c>
      <c r="C20" s="3097" t="s">
        <v>2277</v>
      </c>
      <c r="D20" s="3086"/>
      <c r="E20" s="3085"/>
      <c r="F20" s="3085"/>
      <c r="G20" s="3085"/>
      <c r="H20" s="3085"/>
      <c r="I20" s="3085"/>
      <c r="J20" s="3085"/>
      <c r="K20" s="3084"/>
      <c r="L20" s="3084"/>
      <c r="M20" s="3082"/>
      <c r="N20" s="3082"/>
      <c r="O20" s="3082"/>
      <c r="P20" s="3082"/>
      <c r="Q20" s="3082"/>
      <c r="R20" s="3082"/>
      <c r="S20" s="3082"/>
      <c r="T20" s="3082"/>
      <c r="U20" s="3082"/>
      <c r="V20" s="3082"/>
      <c r="W20" s="3082"/>
      <c r="X20" s="3082"/>
      <c r="Y20" s="3082"/>
      <c r="Z20" s="3082"/>
      <c r="AA20" s="3082"/>
      <c r="AB20" s="3082"/>
      <c r="AC20" s="3082"/>
      <c r="AD20" s="3082"/>
      <c r="AE20" s="3082"/>
      <c r="AF20" s="3082"/>
      <c r="AG20" s="3082"/>
      <c r="AH20" s="3082"/>
      <c r="AI20" s="3082"/>
      <c r="AJ20" s="3082"/>
      <c r="AK20" s="3082"/>
      <c r="AL20" s="3082"/>
      <c r="AM20" s="3082"/>
      <c r="AN20" s="3082"/>
      <c r="AO20" s="3082"/>
      <c r="AP20" s="3082"/>
      <c r="AQ20" s="3082"/>
      <c r="AR20" s="3082"/>
      <c r="AS20" s="3082"/>
      <c r="AT20" s="3082"/>
      <c r="AU20" s="3082"/>
      <c r="AV20" s="3082"/>
      <c r="AW20" s="3082"/>
      <c r="AX20" s="3082"/>
      <c r="AY20" s="3082"/>
      <c r="AZ20" s="3082"/>
    </row>
    <row r="21" spans="1:83" ht="14.25">
      <c r="A21" s="219" t="s">
        <v>266</v>
      </c>
      <c r="B21" s="218">
        <v>1</v>
      </c>
      <c r="C21" s="3085"/>
      <c r="D21" s="3086"/>
      <c r="E21" s="3085"/>
      <c r="F21" s="3085"/>
      <c r="G21" s="3085"/>
      <c r="H21" s="3085"/>
      <c r="I21" s="3085"/>
      <c r="J21" s="3085"/>
      <c r="K21" s="3084"/>
      <c r="L21" s="3084"/>
      <c r="M21" s="3082"/>
      <c r="N21" s="3082"/>
      <c r="O21" s="3082"/>
      <c r="P21" s="3082"/>
      <c r="Q21" s="3082"/>
      <c r="R21" s="3082"/>
      <c r="S21" s="3082"/>
      <c r="T21" s="3082"/>
      <c r="U21" s="3082"/>
      <c r="V21" s="3082"/>
      <c r="W21" s="3082"/>
      <c r="X21" s="3082"/>
      <c r="Y21" s="3082"/>
      <c r="Z21" s="3082"/>
      <c r="AA21" s="3082"/>
      <c r="AB21" s="3082"/>
      <c r="AC21" s="3082"/>
      <c r="AD21" s="3082"/>
      <c r="AE21" s="3082"/>
      <c r="AF21" s="3082"/>
      <c r="AG21" s="3082"/>
      <c r="AH21" s="3082"/>
      <c r="AI21" s="3082"/>
      <c r="AJ21" s="3082"/>
      <c r="AK21" s="3082"/>
      <c r="AL21" s="3082"/>
      <c r="AM21" s="3082"/>
      <c r="AN21" s="3082"/>
      <c r="AO21" s="3082"/>
      <c r="AP21" s="3082"/>
      <c r="AQ21" s="3082"/>
      <c r="AR21" s="3082"/>
      <c r="AS21" s="3082"/>
      <c r="AT21" s="3082"/>
      <c r="AU21" s="3082"/>
      <c r="AV21" s="3082"/>
      <c r="AW21" s="3082"/>
      <c r="AX21" s="3082"/>
      <c r="AY21" s="3082"/>
      <c r="AZ21" s="3082"/>
    </row>
    <row r="22" spans="1:83" ht="14.25">
      <c r="A22" s="217" t="s">
        <v>267</v>
      </c>
      <c r="B22" s="220">
        <f>B19+B20</f>
        <v>2</v>
      </c>
      <c r="C22" s="3085"/>
      <c r="D22" s="3086"/>
      <c r="E22" s="3085"/>
      <c r="F22" s="3085"/>
      <c r="G22" s="3085"/>
      <c r="H22" s="3085"/>
      <c r="I22" s="3085"/>
      <c r="J22" s="3085"/>
      <c r="K22" s="3084"/>
      <c r="L22" s="3084"/>
      <c r="M22" s="3082"/>
      <c r="N22" s="3082"/>
      <c r="O22" s="3082"/>
      <c r="P22" s="3082"/>
      <c r="Q22" s="3082"/>
      <c r="R22" s="3082"/>
      <c r="S22" s="3082"/>
      <c r="T22" s="3082"/>
      <c r="U22" s="3082"/>
      <c r="V22" s="3082"/>
      <c r="W22" s="3082"/>
      <c r="X22" s="3082"/>
      <c r="Y22" s="3082"/>
      <c r="Z22" s="3082"/>
      <c r="AA22" s="3082"/>
      <c r="AB22" s="3082"/>
      <c r="AC22" s="3082"/>
      <c r="AD22" s="3082"/>
      <c r="AE22" s="3082"/>
      <c r="AF22" s="3082"/>
      <c r="AG22" s="3082"/>
      <c r="AH22" s="3082"/>
      <c r="AI22" s="3082"/>
      <c r="AJ22" s="3082"/>
      <c r="AK22" s="3082"/>
      <c r="AL22" s="3082"/>
      <c r="AM22" s="3082"/>
      <c r="AN22" s="3082"/>
      <c r="AO22" s="3082"/>
      <c r="AP22" s="3082"/>
      <c r="AQ22" s="3082"/>
      <c r="AR22" s="3082"/>
      <c r="AS22" s="3082"/>
      <c r="AT22" s="3082"/>
      <c r="AU22" s="3082"/>
      <c r="AV22" s="3082"/>
      <c r="AW22" s="3082"/>
      <c r="AX22" s="3082"/>
      <c r="AY22" s="3082"/>
      <c r="AZ22" s="3082"/>
    </row>
    <row r="23" spans="1:83" ht="14.25">
      <c r="A23" s="219" t="s">
        <v>268</v>
      </c>
      <c r="B23" s="220">
        <f>B19+B21</f>
        <v>2</v>
      </c>
      <c r="C23" s="3085"/>
      <c r="D23" s="3086"/>
      <c r="E23" s="3085"/>
      <c r="F23" s="3085"/>
      <c r="G23" s="3085"/>
      <c r="H23" s="3085"/>
      <c r="I23" s="3085"/>
      <c r="J23" s="3085"/>
      <c r="K23" s="3084"/>
      <c r="L23" s="3084"/>
      <c r="M23" s="3082"/>
      <c r="N23" s="3082"/>
      <c r="O23" s="3082"/>
      <c r="P23" s="3082"/>
      <c r="Q23" s="3082"/>
      <c r="R23" s="3082"/>
      <c r="S23" s="3082"/>
      <c r="T23" s="3082"/>
      <c r="U23" s="3082"/>
      <c r="V23" s="3082"/>
      <c r="W23" s="3082"/>
      <c r="X23" s="3082"/>
      <c r="Y23" s="3082"/>
      <c r="Z23" s="3082"/>
      <c r="AA23" s="3082"/>
      <c r="AB23" s="3082"/>
      <c r="AC23" s="3082"/>
      <c r="AD23" s="3082"/>
      <c r="AE23" s="3082"/>
      <c r="AF23" s="3082"/>
      <c r="AG23" s="3082"/>
      <c r="AH23" s="3082"/>
      <c r="AI23" s="3082"/>
      <c r="AJ23" s="3082"/>
      <c r="AK23" s="3082"/>
      <c r="AL23" s="3082"/>
      <c r="AM23" s="3082"/>
      <c r="AN23" s="3082"/>
      <c r="AO23" s="3082"/>
      <c r="AP23" s="3082"/>
      <c r="AQ23" s="3082"/>
      <c r="AR23" s="3082"/>
      <c r="AS23" s="3082"/>
      <c r="AT23" s="3082"/>
      <c r="AU23" s="3082"/>
      <c r="AV23" s="3082"/>
      <c r="AW23" s="3082"/>
      <c r="AX23" s="3082"/>
      <c r="AY23" s="3082"/>
      <c r="AZ23" s="3082"/>
    </row>
    <row r="24" spans="1:83" ht="15" thickBot="1">
      <c r="A24" s="221" t="s">
        <v>269</v>
      </c>
      <c r="B24" s="222">
        <f>B20-B21</f>
        <v>0</v>
      </c>
      <c r="C24" s="3085"/>
      <c r="D24" s="3086"/>
      <c r="E24" s="3085"/>
      <c r="F24" s="3085"/>
      <c r="G24" s="3085"/>
      <c r="H24" s="3085"/>
      <c r="I24" s="3085"/>
      <c r="J24" s="3085"/>
      <c r="K24" s="3084"/>
      <c r="L24" s="3084"/>
      <c r="M24" s="3082"/>
      <c r="N24" s="3082"/>
      <c r="O24" s="3082"/>
      <c r="P24" s="3082"/>
      <c r="Q24" s="3082"/>
      <c r="R24" s="3082"/>
      <c r="S24" s="3082"/>
      <c r="T24" s="3082"/>
      <c r="U24" s="3082"/>
      <c r="V24" s="3082"/>
      <c r="W24" s="3082"/>
      <c r="X24" s="3082"/>
      <c r="Y24" s="3082"/>
      <c r="Z24" s="3082"/>
      <c r="AA24" s="3082"/>
      <c r="AB24" s="3082"/>
      <c r="AC24" s="3082"/>
      <c r="AD24" s="3082"/>
      <c r="AE24" s="3082"/>
      <c r="AF24" s="3082"/>
      <c r="AG24" s="3082"/>
      <c r="AH24" s="3082"/>
      <c r="AI24" s="3082"/>
      <c r="AJ24" s="3082"/>
      <c r="AK24" s="3082"/>
      <c r="AL24" s="3082"/>
      <c r="AM24" s="3082"/>
      <c r="AN24" s="3082"/>
      <c r="AO24" s="3082"/>
      <c r="AP24" s="3082"/>
      <c r="AQ24" s="3082"/>
      <c r="AR24" s="3082"/>
      <c r="AS24" s="3082"/>
      <c r="AT24" s="3082"/>
      <c r="AU24" s="3082"/>
      <c r="AV24" s="3082"/>
      <c r="AW24" s="3082"/>
      <c r="AX24" s="3082"/>
      <c r="AY24" s="3082"/>
      <c r="AZ24" s="3082"/>
    </row>
    <row r="25" spans="1:83" ht="15" thickBot="1">
      <c r="A25" s="1190"/>
      <c r="B25" s="1187"/>
      <c r="C25" s="3085"/>
      <c r="D25" s="3086"/>
      <c r="E25" s="3085"/>
      <c r="F25" s="3085"/>
      <c r="G25" s="3085"/>
      <c r="H25" s="3085"/>
      <c r="I25" s="3085"/>
      <c r="J25" s="3085"/>
      <c r="K25" s="3084"/>
      <c r="L25" s="3084"/>
      <c r="M25" s="3082"/>
      <c r="N25" s="3082"/>
      <c r="O25" s="3082"/>
      <c r="P25" s="3082"/>
      <c r="Q25" s="3082"/>
      <c r="R25" s="3082"/>
      <c r="S25" s="3082"/>
      <c r="T25" s="3082"/>
      <c r="U25" s="3082"/>
      <c r="V25" s="3082"/>
      <c r="W25" s="3082"/>
      <c r="X25" s="3082"/>
      <c r="Y25" s="3082"/>
      <c r="Z25" s="3082"/>
      <c r="AA25" s="3082"/>
      <c r="AB25" s="3082"/>
      <c r="AC25" s="3082"/>
      <c r="AD25" s="3082"/>
      <c r="AE25" s="3082"/>
      <c r="AF25" s="3082"/>
      <c r="AG25" s="3082"/>
      <c r="AH25" s="3082"/>
      <c r="AI25" s="3082"/>
      <c r="AJ25" s="3082"/>
      <c r="AK25" s="3082"/>
      <c r="AL25" s="3082"/>
      <c r="AM25" s="3082"/>
      <c r="AN25" s="3082"/>
      <c r="AO25" s="3082"/>
      <c r="AP25" s="3082"/>
      <c r="AQ25" s="3082"/>
      <c r="AR25" s="3082"/>
      <c r="AS25" s="3082"/>
      <c r="AT25" s="3082"/>
      <c r="AU25" s="3082"/>
      <c r="AV25" s="3082"/>
      <c r="AW25" s="3082"/>
      <c r="AX25" s="3082"/>
      <c r="AY25" s="3082"/>
      <c r="AZ25" s="3082"/>
    </row>
    <row r="26" spans="1:83" ht="15" thickBot="1">
      <c r="A26" s="147" t="s">
        <v>270</v>
      </c>
      <c r="B26" s="223" t="s">
        <v>271</v>
      </c>
      <c r="C26" s="3087" t="s">
        <v>272</v>
      </c>
      <c r="D26" s="3086"/>
      <c r="E26" s="3085"/>
      <c r="F26" s="3085"/>
      <c r="G26" s="3085"/>
      <c r="H26" s="3085"/>
      <c r="I26" s="3085"/>
      <c r="J26" s="3085"/>
      <c r="K26" s="3084"/>
      <c r="L26" s="3084"/>
      <c r="M26" s="3082"/>
      <c r="N26" s="3082"/>
      <c r="O26" s="3082"/>
      <c r="P26" s="3082"/>
      <c r="Q26" s="3082"/>
      <c r="R26" s="3082"/>
      <c r="S26" s="3082"/>
      <c r="T26" s="3082"/>
      <c r="U26" s="3082"/>
      <c r="V26" s="3082"/>
      <c r="W26" s="3082"/>
      <c r="X26" s="3082"/>
      <c r="Y26" s="3082"/>
      <c r="Z26" s="3082"/>
      <c r="AA26" s="3082"/>
      <c r="AB26" s="3082"/>
      <c r="AC26" s="3082"/>
      <c r="AD26" s="3082"/>
      <c r="AE26" s="3082"/>
      <c r="AF26" s="3082"/>
      <c r="AG26" s="3082"/>
      <c r="AH26" s="3082"/>
      <c r="AI26" s="3082"/>
      <c r="AJ26" s="3082"/>
      <c r="AK26" s="3082"/>
      <c r="AL26" s="3082"/>
      <c r="AM26" s="3082"/>
      <c r="AN26" s="3082"/>
      <c r="AO26" s="3082"/>
      <c r="AP26" s="3082"/>
      <c r="AQ26" s="3082"/>
      <c r="AR26" s="3082"/>
      <c r="AS26" s="3082"/>
      <c r="AT26" s="3082"/>
      <c r="AU26" s="3082"/>
      <c r="AV26" s="3082"/>
      <c r="AW26" s="3082"/>
      <c r="AX26" s="3082"/>
      <c r="AY26" s="3082"/>
      <c r="AZ26" s="3082"/>
    </row>
    <row r="27" spans="1:83" s="1198" customFormat="1" ht="27.75">
      <c r="A27" s="224" t="s">
        <v>2279</v>
      </c>
      <c r="B27" s="225"/>
      <c r="C27" s="3098" t="s">
        <v>2933</v>
      </c>
      <c r="D27" s="3089"/>
      <c r="E27" s="3090"/>
      <c r="F27" s="3090"/>
      <c r="G27" s="3085"/>
      <c r="H27" s="3085"/>
      <c r="I27" s="3085"/>
      <c r="J27" s="3085"/>
      <c r="K27" s="3084"/>
      <c r="L27" s="3084"/>
      <c r="M27" s="3082"/>
      <c r="N27" s="3082"/>
      <c r="O27" s="3082"/>
      <c r="P27" s="3082"/>
      <c r="Q27" s="3082"/>
      <c r="R27" s="3082"/>
      <c r="S27" s="3082"/>
      <c r="T27" s="3082"/>
      <c r="U27" s="3082"/>
      <c r="V27" s="3082"/>
      <c r="W27" s="3082"/>
      <c r="X27" s="3082"/>
      <c r="Y27" s="3082"/>
      <c r="Z27" s="3082"/>
      <c r="AA27" s="3082"/>
      <c r="AB27" s="3082"/>
      <c r="AC27" s="3082"/>
      <c r="AD27" s="3082"/>
      <c r="AE27" s="3082"/>
      <c r="AF27" s="3082"/>
      <c r="AG27" s="3082"/>
      <c r="AH27" s="3082"/>
      <c r="AI27" s="3082"/>
      <c r="AJ27" s="3082"/>
      <c r="AK27" s="3082"/>
      <c r="AL27" s="3082"/>
      <c r="AM27" s="3082"/>
      <c r="AN27" s="3082"/>
      <c r="AO27" s="3082"/>
      <c r="AP27" s="3082"/>
      <c r="AQ27" s="3082"/>
      <c r="AR27" s="3082"/>
      <c r="AS27" s="3082"/>
      <c r="AT27" s="3082"/>
      <c r="AU27" s="3082"/>
      <c r="AV27" s="3082"/>
      <c r="AW27" s="3082"/>
      <c r="AX27" s="3082"/>
      <c r="AY27" s="3082"/>
      <c r="AZ27" s="3082"/>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2280</v>
      </c>
      <c r="B28" s="227">
        <v>200</v>
      </c>
      <c r="C28" s="3091"/>
      <c r="D28" s="3089"/>
      <c r="E28" s="3090"/>
      <c r="F28" s="3090"/>
      <c r="G28" s="3085"/>
      <c r="H28" s="3085"/>
      <c r="I28" s="3085"/>
      <c r="J28" s="3085"/>
      <c r="K28" s="3084"/>
      <c r="L28" s="3084"/>
      <c r="M28" s="3082"/>
      <c r="N28" s="3082"/>
      <c r="O28" s="3082"/>
      <c r="P28" s="3082"/>
      <c r="Q28" s="3082"/>
      <c r="R28" s="3082"/>
      <c r="S28" s="3082"/>
      <c r="T28" s="3082"/>
      <c r="U28" s="3082"/>
      <c r="V28" s="3082"/>
      <c r="W28" s="3082"/>
      <c r="X28" s="3082"/>
      <c r="Y28" s="3082"/>
      <c r="Z28" s="3082"/>
      <c r="AA28" s="3082"/>
      <c r="AB28" s="3082"/>
      <c r="AC28" s="3082"/>
      <c r="AD28" s="3082"/>
      <c r="AE28" s="3082"/>
      <c r="AF28" s="3082"/>
      <c r="AG28" s="3082"/>
      <c r="AH28" s="3082"/>
      <c r="AI28" s="3082"/>
      <c r="AJ28" s="3082"/>
      <c r="AK28" s="3082"/>
      <c r="AL28" s="3082"/>
      <c r="AM28" s="3082"/>
      <c r="AN28" s="3082"/>
      <c r="AO28" s="3082"/>
      <c r="AP28" s="3082"/>
      <c r="AQ28" s="3082"/>
      <c r="AR28" s="3082"/>
      <c r="AS28" s="3082"/>
      <c r="AT28" s="3082"/>
      <c r="AU28" s="3082"/>
      <c r="AV28" s="3082"/>
      <c r="AW28" s="3082"/>
      <c r="AX28" s="3082"/>
      <c r="AY28" s="3082"/>
      <c r="AZ28" s="3082"/>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2278</v>
      </c>
      <c r="B29" s="230">
        <f>ROUND(155*R6/10000,0)</f>
        <v>343</v>
      </c>
      <c r="C29" s="3099" t="s">
        <v>2281</v>
      </c>
      <c r="D29" s="3089"/>
      <c r="E29" s="3090"/>
      <c r="F29" s="3090"/>
      <c r="G29" s="3085"/>
      <c r="H29" s="3085"/>
      <c r="I29" s="3085"/>
      <c r="J29" s="3085"/>
      <c r="K29" s="3084"/>
      <c r="L29" s="3084"/>
      <c r="M29" s="3082"/>
      <c r="N29" s="3082"/>
      <c r="O29" s="3082"/>
      <c r="P29" s="3082"/>
      <c r="Q29" s="3082"/>
      <c r="R29" s="3082"/>
      <c r="S29" s="3082"/>
      <c r="T29" s="3082"/>
      <c r="U29" s="3082"/>
      <c r="V29" s="3082"/>
      <c r="W29" s="3082"/>
      <c r="X29" s="3082"/>
      <c r="Y29" s="3082"/>
      <c r="Z29" s="3082"/>
      <c r="AA29" s="3082"/>
      <c r="AB29" s="3082"/>
      <c r="AC29" s="3082"/>
      <c r="AD29" s="3082"/>
      <c r="AE29" s="3082"/>
      <c r="AF29" s="3082"/>
      <c r="AG29" s="3082"/>
      <c r="AH29" s="3082"/>
      <c r="AI29" s="3082"/>
      <c r="AJ29" s="3082"/>
      <c r="AK29" s="3082"/>
      <c r="AL29" s="3082"/>
      <c r="AM29" s="3082"/>
      <c r="AN29" s="3082"/>
      <c r="AO29" s="3082"/>
      <c r="AP29" s="3082"/>
      <c r="AQ29" s="3082"/>
      <c r="AR29" s="3082"/>
      <c r="AS29" s="3082"/>
      <c r="AT29" s="3082"/>
      <c r="AU29" s="3082"/>
      <c r="AV29" s="3082"/>
      <c r="AW29" s="3082"/>
      <c r="AX29" s="3082"/>
      <c r="AY29" s="3082"/>
      <c r="AZ29" s="3082"/>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v>250</v>
      </c>
      <c r="C30" s="3091"/>
      <c r="D30" s="3089"/>
      <c r="E30" s="3090"/>
      <c r="F30" s="3090"/>
      <c r="G30" s="3085"/>
      <c r="H30" s="3085"/>
      <c r="I30" s="3085"/>
      <c r="J30" s="3085"/>
      <c r="K30" s="3084"/>
      <c r="L30" s="3084"/>
      <c r="M30" s="3082"/>
      <c r="N30" s="3082"/>
      <c r="O30" s="3082"/>
      <c r="P30" s="3082"/>
      <c r="Q30" s="3082"/>
      <c r="R30" s="3082"/>
      <c r="S30" s="3082"/>
      <c r="T30" s="3082"/>
      <c r="U30" s="3082"/>
      <c r="V30" s="3082"/>
      <c r="W30" s="3082"/>
      <c r="X30" s="3082"/>
      <c r="Y30" s="3082"/>
      <c r="Z30" s="3082"/>
      <c r="AA30" s="3082"/>
      <c r="AB30" s="3082"/>
      <c r="AC30" s="3082"/>
      <c r="AD30" s="3082"/>
      <c r="AE30" s="3082"/>
      <c r="AF30" s="3082"/>
      <c r="AG30" s="3082"/>
      <c r="AH30" s="3082"/>
      <c r="AI30" s="3082"/>
      <c r="AJ30" s="3082"/>
      <c r="AK30" s="3082"/>
      <c r="AL30" s="3082"/>
      <c r="AM30" s="3082"/>
      <c r="AN30" s="3082"/>
      <c r="AO30" s="3082"/>
      <c r="AP30" s="3082"/>
      <c r="AQ30" s="3082"/>
      <c r="AR30" s="3082"/>
      <c r="AS30" s="3082"/>
      <c r="AT30" s="3082"/>
      <c r="AU30" s="3082"/>
      <c r="AV30" s="3082"/>
      <c r="AW30" s="3082"/>
      <c r="AX30" s="3082"/>
      <c r="AY30" s="3082"/>
      <c r="AZ30" s="3082"/>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0</v>
      </c>
      <c r="C31" s="3088"/>
      <c r="D31" s="3089"/>
      <c r="E31" s="3090"/>
      <c r="F31" s="3090"/>
      <c r="G31" s="3085"/>
      <c r="H31" s="3085"/>
      <c r="I31" s="3085"/>
      <c r="J31" s="3085"/>
      <c r="K31" s="3084"/>
      <c r="L31" s="3084"/>
      <c r="M31" s="3082"/>
      <c r="N31" s="3082"/>
      <c r="O31" s="3082"/>
      <c r="P31" s="3082"/>
      <c r="Q31" s="3082"/>
      <c r="R31" s="3082"/>
      <c r="S31" s="3082"/>
      <c r="T31" s="3082"/>
      <c r="U31" s="3082"/>
      <c r="V31" s="3082"/>
      <c r="W31" s="3082"/>
      <c r="X31" s="3082"/>
      <c r="Y31" s="3082"/>
      <c r="Z31" s="3082"/>
      <c r="AA31" s="3082"/>
      <c r="AB31" s="3082"/>
      <c r="AC31" s="3082"/>
      <c r="AD31" s="3082"/>
      <c r="AE31" s="3082"/>
      <c r="AF31" s="3082"/>
      <c r="AG31" s="3082"/>
      <c r="AH31" s="3082"/>
      <c r="AI31" s="3082"/>
      <c r="AJ31" s="3082"/>
      <c r="AK31" s="3082"/>
      <c r="AL31" s="3082"/>
      <c r="AM31" s="3082"/>
      <c r="AN31" s="3082"/>
      <c r="AO31" s="3082"/>
      <c r="AP31" s="3082"/>
      <c r="AQ31" s="3082"/>
      <c r="AR31" s="3082"/>
      <c r="AS31" s="3082"/>
      <c r="AT31" s="3082"/>
      <c r="AU31" s="3082"/>
      <c r="AV31" s="3082"/>
      <c r="AW31" s="3082"/>
      <c r="AX31" s="3082"/>
      <c r="AY31" s="3082"/>
      <c r="AZ31" s="3082"/>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9">
        <v>250</v>
      </c>
      <c r="C32" s="3091"/>
      <c r="D32" s="3086"/>
      <c r="E32" s="3085"/>
      <c r="F32" s="3085"/>
      <c r="G32" s="3085"/>
      <c r="H32" s="3085"/>
      <c r="I32" s="3085"/>
      <c r="J32" s="3085"/>
      <c r="K32" s="3084"/>
      <c r="L32" s="3084"/>
      <c r="M32" s="3082"/>
      <c r="N32" s="3082"/>
      <c r="O32" s="3082"/>
      <c r="P32" s="3082"/>
      <c r="Q32" s="3082"/>
      <c r="R32" s="3082"/>
      <c r="S32" s="3082"/>
      <c r="T32" s="3082"/>
      <c r="U32" s="3082"/>
      <c r="V32" s="3082"/>
      <c r="W32" s="3082"/>
      <c r="X32" s="3082"/>
      <c r="Y32" s="3082"/>
      <c r="Z32" s="3082"/>
      <c r="AA32" s="3082"/>
      <c r="AB32" s="3082"/>
      <c r="AC32" s="3082"/>
      <c r="AD32" s="3082"/>
      <c r="AE32" s="3082"/>
      <c r="AF32" s="3082"/>
      <c r="AG32" s="3082"/>
      <c r="AH32" s="3082"/>
      <c r="AI32" s="3082"/>
      <c r="AJ32" s="3082"/>
      <c r="AK32" s="3082"/>
      <c r="AL32" s="3082"/>
      <c r="AM32" s="3082"/>
      <c r="AN32" s="3082"/>
      <c r="AO32" s="3082"/>
      <c r="AP32" s="3082"/>
      <c r="AQ32" s="3082"/>
      <c r="AR32" s="3082"/>
      <c r="AS32" s="3082"/>
      <c r="AT32" s="3082"/>
      <c r="AU32" s="3082"/>
      <c r="AV32" s="3082"/>
      <c r="AW32" s="3082"/>
      <c r="AX32" s="3082"/>
      <c r="AY32" s="3082"/>
      <c r="AZ32" s="3082"/>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30">
        <v>0.03</v>
      </c>
      <c r="C33" s="3100" t="s">
        <v>2920</v>
      </c>
      <c r="D33" s="3089"/>
      <c r="E33" s="3090"/>
      <c r="F33" s="3090"/>
      <c r="G33" s="3085"/>
      <c r="H33" s="3085"/>
      <c r="I33" s="3085"/>
      <c r="J33" s="3085"/>
      <c r="K33" s="3084"/>
      <c r="L33" s="3084"/>
      <c r="M33" s="3082"/>
      <c r="N33" s="3082"/>
      <c r="O33" s="3082"/>
      <c r="P33" s="3082"/>
      <c r="Q33" s="3082"/>
      <c r="R33" s="3082"/>
      <c r="S33" s="3082"/>
      <c r="T33" s="3082"/>
      <c r="U33" s="3082"/>
      <c r="V33" s="3082"/>
      <c r="W33" s="3082"/>
      <c r="X33" s="3082"/>
      <c r="Y33" s="3082"/>
      <c r="Z33" s="3082"/>
      <c r="AA33" s="3082"/>
      <c r="AB33" s="3082"/>
      <c r="AC33" s="3082"/>
      <c r="AD33" s="3082"/>
      <c r="AE33" s="3082"/>
      <c r="AF33" s="3082"/>
      <c r="AG33" s="3082"/>
      <c r="AH33" s="3082"/>
      <c r="AI33" s="3082"/>
      <c r="AJ33" s="3082"/>
      <c r="AK33" s="3082"/>
      <c r="AL33" s="3082"/>
      <c r="AM33" s="3082"/>
      <c r="AN33" s="3082"/>
      <c r="AO33" s="3082"/>
      <c r="AP33" s="3082"/>
      <c r="AQ33" s="3082"/>
      <c r="AR33" s="3082"/>
      <c r="AS33" s="3082"/>
      <c r="AT33" s="3082"/>
      <c r="AU33" s="3082"/>
      <c r="AV33" s="3082"/>
      <c r="AW33" s="3082"/>
      <c r="AX33" s="3082"/>
      <c r="AY33" s="3082"/>
      <c r="AZ33" s="3082"/>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v>
      </c>
      <c r="C34" s="3100" t="s">
        <v>2921</v>
      </c>
      <c r="D34" s="3101" t="s">
        <v>2929</v>
      </c>
      <c r="E34" s="3082"/>
      <c r="F34" s="3085"/>
      <c r="G34" s="3085"/>
      <c r="H34" s="3085"/>
      <c r="I34" s="3085"/>
      <c r="J34" s="3085"/>
      <c r="K34" s="3084"/>
      <c r="L34" s="3084"/>
      <c r="M34" s="3082"/>
      <c r="N34" s="3082"/>
      <c r="O34" s="3082"/>
      <c r="P34" s="3082"/>
      <c r="Q34" s="3082"/>
      <c r="R34" s="3082"/>
      <c r="S34" s="3082"/>
      <c r="T34" s="3082"/>
      <c r="U34" s="3082"/>
      <c r="V34" s="3082"/>
      <c r="W34" s="3082"/>
      <c r="X34" s="3082"/>
      <c r="Y34" s="3082"/>
      <c r="Z34" s="3082"/>
      <c r="AA34" s="3082"/>
      <c r="AB34" s="3082"/>
      <c r="AC34" s="3082"/>
      <c r="AD34" s="3082"/>
      <c r="AE34" s="3082"/>
      <c r="AF34" s="3082"/>
      <c r="AG34" s="3082"/>
      <c r="AH34" s="3082"/>
      <c r="AI34" s="3082"/>
      <c r="AJ34" s="3082"/>
      <c r="AK34" s="3082"/>
      <c r="AL34" s="3082"/>
      <c r="AM34" s="3082"/>
      <c r="AN34" s="3082"/>
      <c r="AO34" s="3082"/>
      <c r="AP34" s="3082"/>
      <c r="AQ34" s="3082"/>
      <c r="AR34" s="3082"/>
      <c r="AS34" s="3082"/>
      <c r="AT34" s="3082"/>
      <c r="AU34" s="3082"/>
      <c r="AV34" s="3082"/>
      <c r="AW34" s="3082"/>
      <c r="AX34" s="3082"/>
      <c r="AY34" s="3082"/>
      <c r="AZ34" s="3082"/>
    </row>
    <row r="35" spans="1:83" ht="14.25">
      <c r="A35" s="226" t="s">
        <v>276</v>
      </c>
      <c r="B35" s="227">
        <v>180</v>
      </c>
      <c r="C35" s="3100" t="s">
        <v>2922</v>
      </c>
      <c r="D35" s="3086"/>
      <c r="E35" s="3085"/>
      <c r="F35" s="3085"/>
      <c r="G35" s="3085"/>
      <c r="H35" s="3085"/>
      <c r="I35" s="3085"/>
      <c r="J35" s="3085"/>
      <c r="K35" s="3084"/>
      <c r="L35" s="3084"/>
      <c r="M35" s="3082"/>
      <c r="N35" s="3082"/>
      <c r="O35" s="3082"/>
      <c r="P35" s="3082"/>
      <c r="Q35" s="3082"/>
      <c r="R35" s="3082"/>
      <c r="S35" s="3082"/>
      <c r="T35" s="3082"/>
      <c r="U35" s="3082"/>
      <c r="V35" s="3082"/>
      <c r="W35" s="3082"/>
      <c r="X35" s="3082"/>
      <c r="Y35" s="3082"/>
      <c r="Z35" s="3082"/>
      <c r="AA35" s="3082"/>
      <c r="AB35" s="3082"/>
      <c r="AC35" s="3082"/>
      <c r="AD35" s="3082"/>
      <c r="AE35" s="3082"/>
      <c r="AF35" s="3082"/>
      <c r="AG35" s="3082"/>
      <c r="AH35" s="3082"/>
      <c r="AI35" s="3082"/>
      <c r="AJ35" s="3082"/>
      <c r="AK35" s="3082"/>
      <c r="AL35" s="3082"/>
      <c r="AM35" s="3082"/>
      <c r="AN35" s="3082"/>
      <c r="AO35" s="3082"/>
      <c r="AP35" s="3082"/>
      <c r="AQ35" s="3082"/>
      <c r="AR35" s="3082"/>
      <c r="AS35" s="3082"/>
      <c r="AT35" s="3082"/>
      <c r="AU35" s="3082"/>
      <c r="AV35" s="3082"/>
      <c r="AW35" s="3082"/>
      <c r="AX35" s="3082"/>
      <c r="AY35" s="3082"/>
      <c r="AZ35" s="3082"/>
    </row>
    <row r="36" spans="1:83" ht="15" thickBot="1">
      <c r="A36" s="229" t="s">
        <v>277</v>
      </c>
      <c r="B36" s="232">
        <v>1.4999999999999999E-2</v>
      </c>
      <c r="C36" s="3100" t="s">
        <v>2923</v>
      </c>
      <c r="D36" s="3083"/>
      <c r="E36" s="3082"/>
      <c r="F36" s="3085"/>
      <c r="G36" s="3085"/>
      <c r="H36" s="3085"/>
      <c r="I36" s="3085"/>
      <c r="J36" s="3085"/>
      <c r="K36" s="3084"/>
      <c r="L36" s="3084"/>
      <c r="M36" s="3082"/>
      <c r="N36" s="3082"/>
      <c r="O36" s="3082"/>
      <c r="P36" s="3082"/>
      <c r="Q36" s="3082"/>
      <c r="R36" s="3082"/>
      <c r="S36" s="3082"/>
      <c r="T36" s="3082"/>
      <c r="U36" s="3082"/>
      <c r="V36" s="3082"/>
      <c r="W36" s="3082"/>
      <c r="X36" s="3082"/>
      <c r="Y36" s="3082"/>
      <c r="Z36" s="3082"/>
      <c r="AA36" s="3082"/>
      <c r="AB36" s="3082"/>
      <c r="AC36" s="3082"/>
      <c r="AD36" s="3082"/>
      <c r="AE36" s="3082"/>
      <c r="AF36" s="3082"/>
      <c r="AG36" s="3082"/>
      <c r="AH36" s="3082"/>
      <c r="AI36" s="3082"/>
      <c r="AJ36" s="3082"/>
      <c r="AK36" s="3082"/>
      <c r="AL36" s="3082"/>
      <c r="AM36" s="3082"/>
      <c r="AN36" s="3082"/>
      <c r="AO36" s="3082"/>
      <c r="AP36" s="3082"/>
      <c r="AQ36" s="3082"/>
      <c r="AR36" s="3082"/>
      <c r="AS36" s="3082"/>
      <c r="AT36" s="3082"/>
      <c r="AU36" s="3082"/>
      <c r="AV36" s="3082"/>
      <c r="AW36" s="3082"/>
      <c r="AX36" s="3082"/>
      <c r="AY36" s="3082"/>
      <c r="AZ36" s="3082"/>
    </row>
    <row r="37" spans="1:83" ht="14.25">
      <c r="A37" s="233" t="s">
        <v>280</v>
      </c>
      <c r="B37" s="234">
        <v>0.02</v>
      </c>
      <c r="C37" s="3100" t="s">
        <v>2924</v>
      </c>
      <c r="D37" s="3086"/>
      <c r="E37" s="3085"/>
      <c r="F37" s="3085"/>
      <c r="G37" s="3085"/>
      <c r="H37" s="3085"/>
      <c r="I37" s="3085"/>
      <c r="J37" s="3085"/>
      <c r="K37" s="3084"/>
      <c r="L37" s="3084"/>
      <c r="M37" s="3082"/>
      <c r="N37" s="3082"/>
      <c r="O37" s="3082"/>
      <c r="P37" s="3082"/>
      <c r="Q37" s="3082"/>
      <c r="R37" s="3082"/>
      <c r="S37" s="3082"/>
      <c r="T37" s="3082"/>
      <c r="U37" s="3082"/>
      <c r="V37" s="3082"/>
      <c r="W37" s="3082"/>
      <c r="X37" s="3082"/>
      <c r="Y37" s="3082"/>
      <c r="Z37" s="3082"/>
      <c r="AA37" s="3082"/>
      <c r="AB37" s="3082"/>
      <c r="AC37" s="3082"/>
      <c r="AD37" s="3082"/>
      <c r="AE37" s="3082"/>
      <c r="AF37" s="3082"/>
      <c r="AG37" s="3082"/>
      <c r="AH37" s="3082"/>
      <c r="AI37" s="3082"/>
      <c r="AJ37" s="3082"/>
      <c r="AK37" s="3082"/>
      <c r="AL37" s="3082"/>
      <c r="AM37" s="3082"/>
      <c r="AN37" s="3082"/>
      <c r="AO37" s="3082"/>
      <c r="AP37" s="3082"/>
      <c r="AQ37" s="3082"/>
      <c r="AR37" s="3082"/>
      <c r="AS37" s="3082"/>
      <c r="AT37" s="3082"/>
      <c r="AU37" s="3082"/>
      <c r="AV37" s="3082"/>
      <c r="AW37" s="3082"/>
      <c r="AX37" s="3082"/>
      <c r="AY37" s="3082"/>
      <c r="AZ37" s="3082"/>
    </row>
    <row r="38" spans="1:83" ht="14.25">
      <c r="A38" s="226" t="s">
        <v>281</v>
      </c>
      <c r="B38" s="231">
        <v>0.02</v>
      </c>
      <c r="C38" s="3100" t="s">
        <v>2924</v>
      </c>
      <c r="D38" s="3086"/>
      <c r="E38" s="3085"/>
      <c r="F38" s="3085"/>
      <c r="G38" s="3085"/>
      <c r="H38" s="3085"/>
      <c r="I38" s="3085"/>
      <c r="J38" s="3085"/>
      <c r="K38" s="3084"/>
      <c r="L38" s="3084"/>
      <c r="M38" s="3082"/>
      <c r="N38" s="3082"/>
      <c r="O38" s="3082"/>
      <c r="P38" s="3082"/>
      <c r="Q38" s="3082"/>
      <c r="R38" s="3082"/>
      <c r="S38" s="3082"/>
      <c r="T38" s="3082"/>
      <c r="U38" s="3082"/>
      <c r="V38" s="3082"/>
      <c r="W38" s="3082"/>
      <c r="X38" s="3082"/>
      <c r="Y38" s="3082"/>
      <c r="Z38" s="3082"/>
      <c r="AA38" s="3082"/>
      <c r="AB38" s="3082"/>
      <c r="AC38" s="3082"/>
      <c r="AD38" s="3082"/>
      <c r="AE38" s="3082"/>
      <c r="AF38" s="3082"/>
      <c r="AG38" s="3082"/>
      <c r="AH38" s="3082"/>
      <c r="AI38" s="3082"/>
      <c r="AJ38" s="3082"/>
      <c r="AK38" s="3082"/>
      <c r="AL38" s="3082"/>
      <c r="AM38" s="3082"/>
      <c r="AN38" s="3082"/>
      <c r="AO38" s="3082"/>
      <c r="AP38" s="3082"/>
      <c r="AQ38" s="3082"/>
      <c r="AR38" s="3082"/>
      <c r="AS38" s="3082"/>
      <c r="AT38" s="3082"/>
      <c r="AU38" s="3082"/>
      <c r="AV38" s="3082"/>
      <c r="AW38" s="3082"/>
      <c r="AX38" s="3082"/>
      <c r="AY38" s="3082"/>
      <c r="AZ38" s="3082"/>
    </row>
    <row r="39" spans="1:83" ht="14.25">
      <c r="A39" s="2341" t="s">
        <v>2392</v>
      </c>
      <c r="B39" s="790">
        <f ca="1">存贷款利率!C4</f>
        <v>1.4999999999999999E-2</v>
      </c>
      <c r="C39" s="3092"/>
      <c r="D39" s="3086"/>
      <c r="E39" s="3085"/>
      <c r="F39" s="3085"/>
      <c r="G39" s="3085"/>
      <c r="H39" s="3085"/>
      <c r="I39" s="3085"/>
      <c r="J39" s="3085"/>
      <c r="K39" s="3084"/>
      <c r="L39" s="3084"/>
      <c r="M39" s="3082"/>
      <c r="N39" s="3082"/>
      <c r="O39" s="3082"/>
      <c r="P39" s="3082"/>
      <c r="Q39" s="3082"/>
      <c r="R39" s="3082"/>
      <c r="S39" s="3082"/>
      <c r="T39" s="3082"/>
      <c r="U39" s="3082"/>
      <c r="V39" s="3082"/>
      <c r="W39" s="3082"/>
      <c r="X39" s="3082"/>
      <c r="Y39" s="3082"/>
      <c r="Z39" s="3082"/>
      <c r="AA39" s="3082"/>
      <c r="AB39" s="3082"/>
      <c r="AC39" s="3082"/>
      <c r="AD39" s="3082"/>
      <c r="AE39" s="3082"/>
      <c r="AF39" s="3082"/>
      <c r="AG39" s="3082"/>
      <c r="AH39" s="3082"/>
      <c r="AI39" s="3082"/>
      <c r="AJ39" s="3082"/>
      <c r="AK39" s="3082"/>
      <c r="AL39" s="3082"/>
      <c r="AM39" s="3082"/>
      <c r="AN39" s="3082"/>
      <c r="AO39" s="3082"/>
      <c r="AP39" s="3082"/>
      <c r="AQ39" s="3082"/>
      <c r="AR39" s="3082"/>
      <c r="AS39" s="3082"/>
      <c r="AT39" s="3082"/>
      <c r="AU39" s="3082"/>
      <c r="AV39" s="3082"/>
      <c r="AW39" s="3082"/>
      <c r="AX39" s="3082"/>
      <c r="AY39" s="3082"/>
      <c r="AZ39" s="3082"/>
    </row>
    <row r="40" spans="1:83" ht="15" thickBot="1">
      <c r="A40" s="2341" t="s">
        <v>2393</v>
      </c>
      <c r="B40" s="2333">
        <f ca="1">存贷款利率!E2</f>
        <v>4.7500000000000001E-2</v>
      </c>
      <c r="C40" s="3100" t="s">
        <v>2925</v>
      </c>
      <c r="D40" s="3086"/>
      <c r="E40" s="3085"/>
      <c r="F40" s="3085"/>
      <c r="G40" s="3085"/>
      <c r="H40" s="3085"/>
      <c r="I40" s="3085"/>
      <c r="J40" s="3085"/>
      <c r="K40" s="3084"/>
      <c r="L40" s="3084"/>
      <c r="M40" s="3082"/>
      <c r="N40" s="3082"/>
      <c r="O40" s="3082"/>
      <c r="P40" s="3082"/>
      <c r="Q40" s="3082"/>
      <c r="R40" s="3082"/>
      <c r="S40" s="3082"/>
      <c r="T40" s="3082"/>
      <c r="U40" s="3082"/>
      <c r="V40" s="3082"/>
      <c r="W40" s="3082"/>
      <c r="X40" s="3082"/>
      <c r="Y40" s="3082"/>
      <c r="Z40" s="3082"/>
      <c r="AA40" s="3082"/>
      <c r="AB40" s="3082"/>
      <c r="AC40" s="3082"/>
      <c r="AD40" s="3082"/>
      <c r="AE40" s="3082"/>
      <c r="AF40" s="3082"/>
      <c r="AG40" s="3082"/>
      <c r="AH40" s="3082"/>
      <c r="AI40" s="3082"/>
      <c r="AJ40" s="3082"/>
      <c r="AK40" s="3082"/>
      <c r="AL40" s="3082"/>
      <c r="AM40" s="3082"/>
      <c r="AN40" s="3082"/>
      <c r="AO40" s="3082"/>
      <c r="AP40" s="3082"/>
      <c r="AQ40" s="3082"/>
      <c r="AR40" s="3082"/>
      <c r="AS40" s="3082"/>
      <c r="AT40" s="3082"/>
      <c r="AU40" s="3082"/>
      <c r="AV40" s="3082"/>
      <c r="AW40" s="3082"/>
      <c r="AX40" s="3082"/>
      <c r="AY40" s="3082"/>
      <c r="AZ40" s="3082"/>
    </row>
    <row r="41" spans="1:83" ht="14.25">
      <c r="A41" s="224" t="s">
        <v>282</v>
      </c>
      <c r="B41" s="236">
        <f>B42+B43</f>
        <v>5.5000000000000007E-2</v>
      </c>
      <c r="C41" s="3088"/>
      <c r="D41" s="3086"/>
      <c r="E41" s="3085"/>
      <c r="F41" s="3085"/>
      <c r="G41" s="3085"/>
      <c r="H41" s="3085"/>
      <c r="I41" s="3085"/>
      <c r="J41" s="3085"/>
      <c r="K41" s="3084"/>
      <c r="L41" s="3084"/>
      <c r="M41" s="3082"/>
      <c r="N41" s="3082"/>
      <c r="O41" s="3082"/>
      <c r="P41" s="3082"/>
      <c r="Q41" s="3082"/>
      <c r="R41" s="3082"/>
      <c r="S41" s="3082"/>
      <c r="T41" s="3082"/>
      <c r="U41" s="3082"/>
      <c r="V41" s="3082"/>
      <c r="W41" s="3082"/>
      <c r="X41" s="3082"/>
      <c r="Y41" s="3082"/>
      <c r="Z41" s="3082"/>
      <c r="AA41" s="3082"/>
      <c r="AB41" s="3082"/>
      <c r="AC41" s="3082"/>
      <c r="AD41" s="3082"/>
      <c r="AE41" s="3082"/>
      <c r="AF41" s="3082"/>
      <c r="AG41" s="3082"/>
      <c r="AH41" s="3082"/>
      <c r="AI41" s="3082"/>
      <c r="AJ41" s="3082"/>
      <c r="AK41" s="3082"/>
      <c r="AL41" s="3082"/>
      <c r="AM41" s="3082"/>
      <c r="AN41" s="3082"/>
      <c r="AO41" s="3082"/>
      <c r="AP41" s="3082"/>
      <c r="AQ41" s="3082"/>
      <c r="AR41" s="3082"/>
      <c r="AS41" s="3082"/>
      <c r="AT41" s="3082"/>
      <c r="AU41" s="3082"/>
      <c r="AV41" s="3082"/>
      <c r="AW41" s="3082"/>
      <c r="AX41" s="3082"/>
      <c r="AY41" s="3082"/>
      <c r="AZ41" s="3082"/>
    </row>
    <row r="42" spans="1:83" ht="14.25">
      <c r="A42" s="967" t="s">
        <v>283</v>
      </c>
      <c r="B42" s="238">
        <v>0.05</v>
      </c>
      <c r="C42" s="3102">
        <f>IF(B2&lt;DATE(2016,5,1),0,B42)</f>
        <v>0.05</v>
      </c>
      <c r="D42" s="3086"/>
      <c r="E42" s="3085"/>
      <c r="F42" s="3085"/>
      <c r="G42" s="3085"/>
      <c r="H42" s="3085"/>
      <c r="I42" s="3085"/>
      <c r="J42" s="3085"/>
      <c r="K42" s="3084"/>
      <c r="L42" s="3084"/>
      <c r="M42" s="3082"/>
      <c r="N42" s="3082"/>
      <c r="O42" s="3082"/>
      <c r="P42" s="3082"/>
      <c r="Q42" s="3082"/>
      <c r="R42" s="3082"/>
      <c r="S42" s="3082"/>
      <c r="T42" s="3082"/>
      <c r="U42" s="3082"/>
      <c r="V42" s="3082"/>
      <c r="W42" s="3082"/>
      <c r="X42" s="3082"/>
      <c r="Y42" s="3082"/>
      <c r="Z42" s="3082"/>
      <c r="AA42" s="3082"/>
      <c r="AB42" s="3082"/>
      <c r="AC42" s="3082"/>
      <c r="AD42" s="3082"/>
      <c r="AE42" s="3082"/>
      <c r="AF42" s="3082"/>
      <c r="AG42" s="3082"/>
      <c r="AH42" s="3082"/>
      <c r="AI42" s="3082"/>
      <c r="AJ42" s="3082"/>
      <c r="AK42" s="3082"/>
      <c r="AL42" s="3082"/>
      <c r="AM42" s="3082"/>
      <c r="AN42" s="3082"/>
      <c r="AO42" s="3082"/>
      <c r="AP42" s="3082"/>
      <c r="AQ42" s="3082"/>
      <c r="AR42" s="3082"/>
      <c r="AS42" s="3082"/>
      <c r="AT42" s="3082"/>
      <c r="AU42" s="3082"/>
      <c r="AV42" s="3082"/>
      <c r="AW42" s="3082"/>
      <c r="AX42" s="3082"/>
      <c r="AY42" s="3082"/>
      <c r="AZ42" s="3082"/>
    </row>
    <row r="43" spans="1:83" ht="14.25">
      <c r="A43" s="967" t="s">
        <v>284</v>
      </c>
      <c r="B43" s="239">
        <f>B42*(B44+B45+B46)+B47</f>
        <v>5.000000000000001E-3</v>
      </c>
      <c r="C43" s="3088"/>
      <c r="D43" s="3086"/>
      <c r="E43" s="3085"/>
      <c r="F43" s="3085"/>
      <c r="G43" s="3085"/>
      <c r="H43" s="3085"/>
      <c r="I43" s="3085"/>
      <c r="J43" s="3085"/>
      <c r="K43" s="3084"/>
      <c r="L43" s="3084"/>
      <c r="M43" s="3082"/>
      <c r="N43" s="3082"/>
      <c r="O43" s="3082"/>
      <c r="P43" s="3082"/>
      <c r="Q43" s="3082"/>
      <c r="R43" s="3082"/>
      <c r="S43" s="3082"/>
      <c r="T43" s="3082"/>
      <c r="U43" s="3082"/>
      <c r="V43" s="3082"/>
      <c r="W43" s="3082"/>
      <c r="X43" s="3082"/>
      <c r="Y43" s="3082"/>
      <c r="Z43" s="3082"/>
      <c r="AA43" s="3082"/>
      <c r="AB43" s="3082"/>
      <c r="AC43" s="3082"/>
      <c r="AD43" s="3082"/>
      <c r="AE43" s="3082"/>
      <c r="AF43" s="3082"/>
      <c r="AG43" s="3082"/>
      <c r="AH43" s="3082"/>
      <c r="AI43" s="3082"/>
      <c r="AJ43" s="3082"/>
      <c r="AK43" s="3082"/>
      <c r="AL43" s="3082"/>
      <c r="AM43" s="3082"/>
      <c r="AN43" s="3082"/>
      <c r="AO43" s="3082"/>
      <c r="AP43" s="3082"/>
      <c r="AQ43" s="3082"/>
      <c r="AR43" s="3082"/>
      <c r="AS43" s="3082"/>
      <c r="AT43" s="3082"/>
      <c r="AU43" s="3082"/>
      <c r="AV43" s="3082"/>
      <c r="AW43" s="3082"/>
      <c r="AX43" s="3082"/>
      <c r="AY43" s="3082"/>
      <c r="AZ43" s="3082"/>
    </row>
    <row r="44" spans="1:83" ht="14.25">
      <c r="A44" s="237" t="s">
        <v>285</v>
      </c>
      <c r="B44" s="240">
        <v>0.05</v>
      </c>
      <c r="C44" s="3100" t="s">
        <v>2930</v>
      </c>
      <c r="D44" s="3086"/>
      <c r="E44" s="3085"/>
      <c r="F44" s="3085"/>
      <c r="G44" s="3085"/>
      <c r="H44" s="3085"/>
      <c r="I44" s="3085"/>
      <c r="J44" s="3085"/>
      <c r="K44" s="3084"/>
      <c r="L44" s="3084"/>
      <c r="M44" s="3082"/>
      <c r="N44" s="3082"/>
      <c r="O44" s="3082"/>
      <c r="P44" s="3082"/>
      <c r="Q44" s="3082"/>
      <c r="R44" s="3082"/>
      <c r="S44" s="3082"/>
      <c r="T44" s="3082"/>
      <c r="U44" s="3082"/>
      <c r="V44" s="3082"/>
      <c r="W44" s="3082"/>
      <c r="X44" s="3082"/>
      <c r="Y44" s="3082"/>
      <c r="Z44" s="3082"/>
      <c r="AA44" s="3082"/>
      <c r="AB44" s="3082"/>
      <c r="AC44" s="3082"/>
      <c r="AD44" s="3082"/>
      <c r="AE44" s="3082"/>
      <c r="AF44" s="3082"/>
      <c r="AG44" s="3082"/>
      <c r="AH44" s="3082"/>
      <c r="AI44" s="3082"/>
      <c r="AJ44" s="3082"/>
      <c r="AK44" s="3082"/>
      <c r="AL44" s="3082"/>
      <c r="AM44" s="3082"/>
      <c r="AN44" s="3082"/>
      <c r="AO44" s="3082"/>
      <c r="AP44" s="3082"/>
      <c r="AQ44" s="3082"/>
      <c r="AR44" s="3082"/>
      <c r="AS44" s="3082"/>
      <c r="AT44" s="3082"/>
      <c r="AU44" s="3082"/>
      <c r="AV44" s="3082"/>
      <c r="AW44" s="3082"/>
      <c r="AX44" s="3082"/>
      <c r="AY44" s="3082"/>
      <c r="AZ44" s="3082"/>
    </row>
    <row r="45" spans="1:83" ht="14.25">
      <c r="A45" s="237" t="s">
        <v>286</v>
      </c>
      <c r="B45" s="238">
        <v>0.03</v>
      </c>
      <c r="C45" s="3103" t="s">
        <v>2926</v>
      </c>
      <c r="D45" s="3086"/>
      <c r="E45" s="3085"/>
      <c r="F45" s="3085"/>
      <c r="G45" s="3085"/>
      <c r="H45" s="3085"/>
      <c r="I45" s="3085"/>
      <c r="J45" s="3085"/>
      <c r="K45" s="3084"/>
      <c r="L45" s="3084"/>
      <c r="M45" s="3082"/>
      <c r="N45" s="3082"/>
      <c r="O45" s="3082"/>
      <c r="P45" s="3082"/>
      <c r="Q45" s="3082"/>
      <c r="R45" s="3082"/>
      <c r="S45" s="3082"/>
      <c r="T45" s="3082"/>
      <c r="U45" s="3082"/>
      <c r="V45" s="3082"/>
      <c r="W45" s="3082"/>
      <c r="X45" s="3082"/>
      <c r="Y45" s="3082"/>
      <c r="Z45" s="3082"/>
      <c r="AA45" s="3082"/>
      <c r="AB45" s="3082"/>
      <c r="AC45" s="3082"/>
      <c r="AD45" s="3082"/>
      <c r="AE45" s="3082"/>
      <c r="AF45" s="3082"/>
      <c r="AG45" s="3082"/>
      <c r="AH45" s="3082"/>
      <c r="AI45" s="3082"/>
      <c r="AJ45" s="3082"/>
      <c r="AK45" s="3082"/>
      <c r="AL45" s="3082"/>
      <c r="AM45" s="3082"/>
      <c r="AN45" s="3082"/>
      <c r="AO45" s="3082"/>
      <c r="AP45" s="3082"/>
      <c r="AQ45" s="3082"/>
      <c r="AR45" s="3082"/>
      <c r="AS45" s="3082"/>
      <c r="AT45" s="3082"/>
      <c r="AU45" s="3082"/>
      <c r="AV45" s="3082"/>
      <c r="AW45" s="3082"/>
      <c r="AX45" s="3082"/>
      <c r="AY45" s="3082"/>
      <c r="AZ45" s="3082"/>
    </row>
    <row r="46" spans="1:83" ht="14.25">
      <c r="A46" s="237" t="s">
        <v>287</v>
      </c>
      <c r="B46" s="238">
        <v>0.02</v>
      </c>
      <c r="C46" s="3103" t="s">
        <v>2927</v>
      </c>
      <c r="D46" s="3086"/>
      <c r="E46" s="3085"/>
      <c r="F46" s="3085"/>
      <c r="G46" s="3085"/>
      <c r="H46" s="3085"/>
      <c r="I46" s="3085"/>
      <c r="J46" s="3085"/>
      <c r="K46" s="3084"/>
      <c r="L46" s="3084"/>
      <c r="M46" s="3082"/>
      <c r="N46" s="3082"/>
      <c r="O46" s="3082"/>
      <c r="P46" s="3082"/>
      <c r="Q46" s="3082"/>
      <c r="R46" s="3082"/>
      <c r="S46" s="3082"/>
      <c r="T46" s="3082"/>
      <c r="U46" s="3082"/>
      <c r="V46" s="3082"/>
      <c r="W46" s="3082"/>
      <c r="X46" s="3082"/>
      <c r="Y46" s="3082"/>
      <c r="Z46" s="3082"/>
      <c r="AA46" s="3082"/>
      <c r="AB46" s="3082"/>
      <c r="AC46" s="3082"/>
      <c r="AD46" s="3082"/>
      <c r="AE46" s="3082"/>
      <c r="AF46" s="3082"/>
      <c r="AG46" s="3082"/>
      <c r="AH46" s="3082"/>
      <c r="AI46" s="3082"/>
      <c r="AJ46" s="3082"/>
      <c r="AK46" s="3082"/>
      <c r="AL46" s="3082"/>
      <c r="AM46" s="3082"/>
      <c r="AN46" s="3082"/>
      <c r="AO46" s="3082"/>
      <c r="AP46" s="3082"/>
      <c r="AQ46" s="3082"/>
      <c r="AR46" s="3082"/>
      <c r="AS46" s="3082"/>
      <c r="AT46" s="3082"/>
      <c r="AU46" s="3082"/>
      <c r="AV46" s="3082"/>
      <c r="AW46" s="3082"/>
      <c r="AX46" s="3082"/>
      <c r="AY46" s="3082"/>
      <c r="AZ46" s="3082"/>
    </row>
    <row r="47" spans="1:83" ht="15" thickBot="1">
      <c r="A47" s="241" t="s">
        <v>288</v>
      </c>
      <c r="B47" s="242"/>
      <c r="C47" s="3098" t="s">
        <v>2934</v>
      </c>
      <c r="D47" s="3086"/>
      <c r="E47" s="3085"/>
      <c r="F47" s="3085"/>
      <c r="G47" s="3085"/>
      <c r="H47" s="3085"/>
      <c r="I47" s="3085"/>
      <c r="J47" s="3085"/>
      <c r="K47" s="3084"/>
      <c r="L47" s="3084"/>
      <c r="M47" s="3082"/>
      <c r="N47" s="3082"/>
      <c r="O47" s="3082"/>
      <c r="P47" s="3082"/>
      <c r="Q47" s="3082"/>
      <c r="R47" s="3082"/>
      <c r="S47" s="3082"/>
      <c r="T47" s="3082"/>
      <c r="U47" s="3082"/>
      <c r="V47" s="3082"/>
      <c r="W47" s="3082"/>
      <c r="X47" s="3082"/>
      <c r="Y47" s="3082"/>
      <c r="Z47" s="3082"/>
      <c r="AA47" s="3082"/>
      <c r="AB47" s="3082"/>
      <c r="AC47" s="3082"/>
      <c r="AD47" s="3082"/>
      <c r="AE47" s="3082"/>
      <c r="AF47" s="3082"/>
      <c r="AG47" s="3082"/>
      <c r="AH47" s="3082"/>
      <c r="AI47" s="3082"/>
      <c r="AJ47" s="3082"/>
      <c r="AK47" s="3082"/>
      <c r="AL47" s="3082"/>
      <c r="AM47" s="3082"/>
      <c r="AN47" s="3082"/>
      <c r="AO47" s="3082"/>
      <c r="AP47" s="3082"/>
      <c r="AQ47" s="3082"/>
      <c r="AR47" s="3082"/>
      <c r="AS47" s="3082"/>
      <c r="AT47" s="3082"/>
      <c r="AU47" s="3082"/>
      <c r="AV47" s="3082"/>
      <c r="AW47" s="3082"/>
      <c r="AX47" s="3082"/>
      <c r="AY47" s="3082"/>
      <c r="AZ47" s="3082"/>
    </row>
    <row r="48" spans="1:83" ht="14.25">
      <c r="A48" s="243" t="s">
        <v>289</v>
      </c>
      <c r="B48" s="244">
        <v>0.03</v>
      </c>
      <c r="C48" s="3103" t="s">
        <v>2926</v>
      </c>
      <c r="D48" s="3086"/>
      <c r="E48" s="3085"/>
      <c r="F48" s="3085"/>
      <c r="G48" s="3085"/>
      <c r="H48" s="3085"/>
      <c r="I48" s="3085"/>
      <c r="J48" s="3085"/>
      <c r="K48" s="3084"/>
      <c r="L48" s="3084"/>
      <c r="M48" s="3082"/>
      <c r="N48" s="3082"/>
      <c r="O48" s="3082"/>
      <c r="P48" s="3082"/>
      <c r="Q48" s="3082"/>
      <c r="R48" s="3082"/>
      <c r="S48" s="3082"/>
      <c r="T48" s="3082"/>
      <c r="U48" s="3082"/>
      <c r="V48" s="3082"/>
      <c r="W48" s="3082"/>
      <c r="X48" s="3082"/>
      <c r="Y48" s="3082"/>
      <c r="Z48" s="3082"/>
      <c r="AA48" s="3082"/>
      <c r="AB48" s="3082"/>
      <c r="AC48" s="3082"/>
      <c r="AD48" s="3082"/>
      <c r="AE48" s="3082"/>
      <c r="AF48" s="3082"/>
      <c r="AG48" s="3082"/>
      <c r="AH48" s="3082"/>
      <c r="AI48" s="3082"/>
      <c r="AJ48" s="3082"/>
      <c r="AK48" s="3082"/>
      <c r="AL48" s="3082"/>
      <c r="AM48" s="3082"/>
      <c r="AN48" s="3082"/>
      <c r="AO48" s="3082"/>
      <c r="AP48" s="3082"/>
      <c r="AQ48" s="3082"/>
      <c r="AR48" s="3082"/>
      <c r="AS48" s="3082"/>
      <c r="AT48" s="3082"/>
      <c r="AU48" s="3082"/>
      <c r="AV48" s="3082"/>
      <c r="AW48" s="3082"/>
      <c r="AX48" s="3082"/>
      <c r="AY48" s="3082"/>
      <c r="AZ48" s="3082"/>
    </row>
    <row r="49" spans="1:52" ht="15" thickBot="1">
      <c r="A49" s="235" t="s">
        <v>290</v>
      </c>
      <c r="B49" s="238">
        <v>5.0000000000000001E-4</v>
      </c>
      <c r="C49" s="3103" t="s">
        <v>2928</v>
      </c>
      <c r="D49" s="3086"/>
      <c r="E49" s="3085"/>
      <c r="F49" s="3085"/>
      <c r="G49" s="3085"/>
      <c r="H49" s="3085"/>
      <c r="I49" s="3085"/>
      <c r="J49" s="3085"/>
      <c r="K49" s="3084"/>
      <c r="L49" s="3084"/>
      <c r="M49" s="3082"/>
      <c r="N49" s="3082"/>
      <c r="O49" s="3082"/>
      <c r="P49" s="3082"/>
      <c r="Q49" s="3082"/>
      <c r="R49" s="3082"/>
      <c r="S49" s="3082"/>
      <c r="T49" s="3082"/>
      <c r="U49" s="3082"/>
      <c r="V49" s="3082"/>
      <c r="W49" s="3082"/>
      <c r="X49" s="3082"/>
      <c r="Y49" s="3082"/>
      <c r="Z49" s="3082"/>
      <c r="AA49" s="3082"/>
      <c r="AB49" s="3082"/>
      <c r="AC49" s="3082"/>
      <c r="AD49" s="3082"/>
      <c r="AE49" s="3082"/>
      <c r="AF49" s="3082"/>
      <c r="AG49" s="3082"/>
      <c r="AH49" s="3082"/>
      <c r="AI49" s="3082"/>
      <c r="AJ49" s="3082"/>
      <c r="AK49" s="3082"/>
      <c r="AL49" s="3082"/>
      <c r="AM49" s="3082"/>
      <c r="AN49" s="3082"/>
      <c r="AO49" s="3082"/>
      <c r="AP49" s="3082"/>
      <c r="AQ49" s="3082"/>
      <c r="AR49" s="3082"/>
      <c r="AS49" s="3082"/>
      <c r="AT49" s="3082"/>
      <c r="AU49" s="3082"/>
      <c r="AV49" s="3082"/>
      <c r="AW49" s="3082"/>
      <c r="AX49" s="3082"/>
      <c r="AY49" s="3082"/>
      <c r="AZ49" s="3082"/>
    </row>
    <row r="50" spans="1:52" ht="14.25">
      <c r="A50" s="245" t="s">
        <v>291</v>
      </c>
      <c r="B50" s="246">
        <v>1.2E-2</v>
      </c>
      <c r="C50" s="3091"/>
      <c r="D50" s="3086"/>
      <c r="E50" s="3085"/>
      <c r="F50" s="3085"/>
      <c r="G50" s="3085"/>
      <c r="H50" s="3085"/>
      <c r="I50" s="3085"/>
      <c r="J50" s="3085"/>
      <c r="K50" s="3084"/>
      <c r="L50" s="3084"/>
      <c r="M50" s="3082"/>
      <c r="N50" s="3082"/>
      <c r="O50" s="3082"/>
      <c r="P50" s="3082"/>
      <c r="Q50" s="3082"/>
      <c r="R50" s="3082"/>
      <c r="S50" s="3082"/>
      <c r="T50" s="3082"/>
      <c r="U50" s="3082"/>
      <c r="V50" s="3082"/>
      <c r="W50" s="3082"/>
      <c r="X50" s="3082"/>
      <c r="Y50" s="3082"/>
      <c r="Z50" s="3082"/>
      <c r="AA50" s="3082"/>
      <c r="AB50" s="3082"/>
      <c r="AC50" s="3082"/>
      <c r="AD50" s="3082"/>
      <c r="AE50" s="3082"/>
      <c r="AF50" s="3082"/>
      <c r="AG50" s="3082"/>
      <c r="AH50" s="3082"/>
      <c r="AI50" s="3082"/>
      <c r="AJ50" s="3082"/>
      <c r="AK50" s="3082"/>
      <c r="AL50" s="3082"/>
      <c r="AM50" s="3082"/>
      <c r="AN50" s="3082"/>
      <c r="AO50" s="3082"/>
      <c r="AP50" s="3082"/>
      <c r="AQ50" s="3082"/>
      <c r="AR50" s="3082"/>
      <c r="AS50" s="3082"/>
      <c r="AT50" s="3082"/>
      <c r="AU50" s="3082"/>
      <c r="AV50" s="3082"/>
      <c r="AW50" s="3082"/>
      <c r="AX50" s="3082"/>
      <c r="AY50" s="3082"/>
      <c r="AZ50" s="3082"/>
    </row>
    <row r="51" spans="1:52" ht="15" thickBot="1">
      <c r="A51" s="229" t="s">
        <v>292</v>
      </c>
      <c r="B51" s="247">
        <v>0.12</v>
      </c>
      <c r="C51" s="3091"/>
      <c r="D51" s="3086"/>
      <c r="E51" s="3085"/>
      <c r="F51" s="3085"/>
      <c r="G51" s="3085"/>
      <c r="H51" s="3085"/>
      <c r="I51" s="3085"/>
      <c r="J51" s="3085"/>
      <c r="K51" s="3084"/>
      <c r="L51" s="3084"/>
      <c r="M51" s="3082"/>
      <c r="N51" s="3082"/>
      <c r="O51" s="3082"/>
      <c r="P51" s="3082"/>
      <c r="Q51" s="3082"/>
      <c r="R51" s="3082"/>
      <c r="S51" s="3082"/>
      <c r="T51" s="3082"/>
      <c r="U51" s="3082"/>
      <c r="V51" s="3082"/>
      <c r="W51" s="3082"/>
      <c r="X51" s="3082"/>
      <c r="Y51" s="3082"/>
      <c r="Z51" s="3082"/>
      <c r="AA51" s="3082"/>
      <c r="AB51" s="3082"/>
      <c r="AC51" s="3082"/>
      <c r="AD51" s="3082"/>
      <c r="AE51" s="3082"/>
      <c r="AF51" s="3082"/>
      <c r="AG51" s="3082"/>
      <c r="AH51" s="3082"/>
      <c r="AI51" s="3082"/>
      <c r="AJ51" s="3082"/>
      <c r="AK51" s="3082"/>
      <c r="AL51" s="3082"/>
      <c r="AM51" s="3082"/>
      <c r="AN51" s="3082"/>
      <c r="AO51" s="3082"/>
      <c r="AP51" s="3082"/>
      <c r="AQ51" s="3082"/>
      <c r="AR51" s="3082"/>
      <c r="AS51" s="3082"/>
      <c r="AT51" s="3082"/>
      <c r="AU51" s="3082"/>
      <c r="AV51" s="3082"/>
      <c r="AW51" s="3082"/>
      <c r="AX51" s="3082"/>
      <c r="AY51" s="3082"/>
      <c r="AZ51" s="3082"/>
    </row>
    <row r="52" spans="1:52" ht="14.25">
      <c r="A52" s="245" t="s">
        <v>293</v>
      </c>
      <c r="B52" s="248">
        <f>SUMIF(A54:A63,B53,B54:B63)</f>
        <v>1.5</v>
      </c>
      <c r="C52" s="3091"/>
      <c r="D52" s="3086"/>
      <c r="E52" s="3085"/>
      <c r="F52" s="3085"/>
      <c r="G52" s="3085"/>
      <c r="H52" s="3085"/>
      <c r="I52" s="3085"/>
      <c r="J52" s="3085"/>
      <c r="K52" s="3084"/>
      <c r="L52" s="3084"/>
      <c r="M52" s="3082"/>
      <c r="N52" s="3082"/>
      <c r="O52" s="3082"/>
      <c r="P52" s="3082"/>
      <c r="Q52" s="3082"/>
      <c r="R52" s="3082"/>
      <c r="S52" s="3082"/>
      <c r="T52" s="3082"/>
      <c r="U52" s="3082"/>
      <c r="V52" s="3082"/>
      <c r="W52" s="3082"/>
      <c r="X52" s="3082"/>
      <c r="Y52" s="3082"/>
      <c r="Z52" s="3082"/>
      <c r="AA52" s="3082"/>
      <c r="AB52" s="3082"/>
      <c r="AC52" s="3082"/>
      <c r="AD52" s="3082"/>
      <c r="AE52" s="3082"/>
      <c r="AF52" s="3082"/>
      <c r="AG52" s="3082"/>
      <c r="AH52" s="3082"/>
      <c r="AI52" s="3082"/>
      <c r="AJ52" s="3082"/>
      <c r="AK52" s="3082"/>
      <c r="AL52" s="3082"/>
      <c r="AM52" s="3082"/>
      <c r="AN52" s="3082"/>
      <c r="AO52" s="3082"/>
      <c r="AP52" s="3082"/>
      <c r="AQ52" s="3082"/>
      <c r="AR52" s="3082"/>
      <c r="AS52" s="3082"/>
      <c r="AT52" s="3082"/>
      <c r="AU52" s="3082"/>
      <c r="AV52" s="3082"/>
      <c r="AW52" s="3082"/>
      <c r="AX52" s="3082"/>
      <c r="AY52" s="3082"/>
      <c r="AZ52" s="3082"/>
    </row>
    <row r="53" spans="1:52" ht="27">
      <c r="A53" s="226" t="s">
        <v>294</v>
      </c>
      <c r="B53" s="249" t="s">
        <v>1400</v>
      </c>
      <c r="C53" s="3093" t="s">
        <v>2824</v>
      </c>
      <c r="D53" s="3104" t="s">
        <v>2931</v>
      </c>
      <c r="E53" s="3085"/>
      <c r="F53" s="3085"/>
      <c r="G53" s="3085"/>
      <c r="H53" s="3085"/>
      <c r="I53" s="3085"/>
      <c r="J53" s="3085"/>
      <c r="K53" s="3084"/>
      <c r="L53" s="3084"/>
      <c r="M53" s="3082"/>
      <c r="N53" s="3082"/>
      <c r="O53" s="3082"/>
      <c r="P53" s="3082"/>
      <c r="Q53" s="3082"/>
      <c r="R53" s="3082"/>
      <c r="S53" s="3082"/>
      <c r="T53" s="3082"/>
      <c r="U53" s="3082"/>
      <c r="V53" s="3082"/>
      <c r="W53" s="3082"/>
      <c r="X53" s="3082"/>
      <c r="Y53" s="3082"/>
      <c r="Z53" s="3082"/>
      <c r="AA53" s="3082"/>
      <c r="AB53" s="3082"/>
      <c r="AC53" s="3082"/>
      <c r="AD53" s="3082"/>
      <c r="AE53" s="3082"/>
      <c r="AF53" s="3082"/>
      <c r="AG53" s="3082"/>
      <c r="AH53" s="3082"/>
      <c r="AI53" s="3082"/>
      <c r="AJ53" s="3082"/>
      <c r="AK53" s="3082"/>
      <c r="AL53" s="3082"/>
      <c r="AM53" s="3082"/>
      <c r="AN53" s="3082"/>
      <c r="AO53" s="3082"/>
      <c r="AP53" s="3082"/>
      <c r="AQ53" s="3082"/>
      <c r="AR53" s="3082"/>
      <c r="AS53" s="3082"/>
      <c r="AT53" s="3082"/>
      <c r="AU53" s="3082"/>
      <c r="AV53" s="3082"/>
      <c r="AW53" s="3082"/>
      <c r="AX53" s="3082"/>
      <c r="AY53" s="3082"/>
      <c r="AZ53" s="3082"/>
    </row>
    <row r="54" spans="1:52" ht="14.25">
      <c r="A54" s="2768" t="s">
        <v>2825</v>
      </c>
      <c r="B54" s="184"/>
      <c r="C54" s="3090">
        <v>30</v>
      </c>
      <c r="D54" s="3094"/>
      <c r="E54" s="3085"/>
      <c r="F54" s="3085"/>
      <c r="G54" s="3085"/>
      <c r="H54" s="3085"/>
      <c r="I54" s="3085"/>
      <c r="J54" s="3085"/>
      <c r="K54" s="3084"/>
      <c r="L54" s="3084"/>
      <c r="M54" s="3082"/>
      <c r="N54" s="3082"/>
      <c r="O54" s="3082"/>
      <c r="P54" s="3082"/>
      <c r="Q54" s="3082"/>
      <c r="R54" s="3082"/>
      <c r="S54" s="3082"/>
      <c r="T54" s="3082"/>
      <c r="U54" s="3082"/>
      <c r="V54" s="3082"/>
      <c r="W54" s="3082"/>
      <c r="X54" s="3082"/>
      <c r="Y54" s="3082"/>
      <c r="Z54" s="3082"/>
      <c r="AA54" s="3082"/>
      <c r="AB54" s="3082"/>
      <c r="AC54" s="3082"/>
      <c r="AD54" s="3082"/>
      <c r="AE54" s="3082"/>
      <c r="AF54" s="3082"/>
      <c r="AG54" s="3082"/>
      <c r="AH54" s="3082"/>
      <c r="AI54" s="3082"/>
      <c r="AJ54" s="3082"/>
      <c r="AK54" s="3082"/>
      <c r="AL54" s="3082"/>
      <c r="AM54" s="3082"/>
      <c r="AN54" s="3082"/>
      <c r="AO54" s="3082"/>
      <c r="AP54" s="3082"/>
      <c r="AQ54" s="3082"/>
      <c r="AR54" s="3082"/>
      <c r="AS54" s="3082"/>
      <c r="AT54" s="3082"/>
      <c r="AU54" s="3082"/>
      <c r="AV54" s="3082"/>
      <c r="AW54" s="3082"/>
      <c r="AX54" s="3082"/>
      <c r="AY54" s="3082"/>
      <c r="AZ54" s="3082"/>
    </row>
    <row r="55" spans="1:52" ht="14.25">
      <c r="A55" s="2768" t="s">
        <v>2826</v>
      </c>
      <c r="B55" s="184"/>
      <c r="C55" s="3090">
        <v>24</v>
      </c>
      <c r="D55" s="3094"/>
      <c r="E55" s="3085"/>
      <c r="F55" s="3085"/>
      <c r="G55" s="3085"/>
      <c r="H55" s="3085"/>
      <c r="I55" s="3095"/>
      <c r="J55" s="3085"/>
      <c r="K55" s="3084"/>
      <c r="L55" s="3084"/>
      <c r="M55" s="3082"/>
      <c r="N55" s="3082"/>
      <c r="O55" s="3082"/>
      <c r="P55" s="3082"/>
      <c r="Q55" s="3082"/>
      <c r="R55" s="3082"/>
      <c r="S55" s="3082"/>
      <c r="T55" s="3082"/>
      <c r="U55" s="3082"/>
      <c r="V55" s="3082"/>
      <c r="W55" s="3082"/>
      <c r="X55" s="3082"/>
      <c r="Y55" s="3082"/>
      <c r="Z55" s="3082"/>
      <c r="AA55" s="3082"/>
      <c r="AB55" s="3082"/>
      <c r="AC55" s="3082"/>
      <c r="AD55" s="3082"/>
      <c r="AE55" s="3082"/>
      <c r="AF55" s="3082"/>
      <c r="AG55" s="3082"/>
      <c r="AH55" s="3082"/>
      <c r="AI55" s="3082"/>
      <c r="AJ55" s="3082"/>
      <c r="AK55" s="3082"/>
      <c r="AL55" s="3082"/>
      <c r="AM55" s="3082"/>
      <c r="AN55" s="3082"/>
      <c r="AO55" s="3082"/>
      <c r="AP55" s="3082"/>
      <c r="AQ55" s="3082"/>
      <c r="AR55" s="3082"/>
      <c r="AS55" s="3082"/>
      <c r="AT55" s="3082"/>
      <c r="AU55" s="3082"/>
      <c r="AV55" s="3082"/>
      <c r="AW55" s="3082"/>
      <c r="AX55" s="3082"/>
      <c r="AY55" s="3082"/>
      <c r="AZ55" s="3082"/>
    </row>
    <row r="56" spans="1:52" ht="14.25">
      <c r="A56" s="2768" t="s">
        <v>2827</v>
      </c>
      <c r="B56" s="184"/>
      <c r="C56" s="3090">
        <v>18</v>
      </c>
      <c r="D56" s="3094"/>
      <c r="E56" s="3085"/>
      <c r="F56" s="3085"/>
      <c r="G56" s="3085"/>
      <c r="H56" s="3085"/>
      <c r="I56" s="3085"/>
      <c r="J56" s="3085"/>
      <c r="K56" s="3084"/>
      <c r="L56" s="3084"/>
      <c r="M56" s="3082"/>
      <c r="N56" s="3082"/>
      <c r="O56" s="3082"/>
      <c r="P56" s="3082"/>
      <c r="Q56" s="3082"/>
      <c r="R56" s="3082"/>
      <c r="S56" s="3082"/>
      <c r="T56" s="3082"/>
      <c r="U56" s="3082"/>
      <c r="V56" s="3082"/>
      <c r="W56" s="3082"/>
      <c r="X56" s="3082"/>
      <c r="Y56" s="3082"/>
      <c r="Z56" s="3082"/>
      <c r="AA56" s="3082"/>
      <c r="AB56" s="3082"/>
      <c r="AC56" s="3082"/>
      <c r="AD56" s="3082"/>
      <c r="AE56" s="3082"/>
      <c r="AF56" s="3082"/>
      <c r="AG56" s="3082"/>
      <c r="AH56" s="3082"/>
      <c r="AI56" s="3082"/>
      <c r="AJ56" s="3082"/>
      <c r="AK56" s="3082"/>
      <c r="AL56" s="3082"/>
      <c r="AM56" s="3082"/>
      <c r="AN56" s="3082"/>
      <c r="AO56" s="3082"/>
      <c r="AP56" s="3082"/>
      <c r="AQ56" s="3082"/>
      <c r="AR56" s="3082"/>
      <c r="AS56" s="3082"/>
      <c r="AT56" s="3082"/>
      <c r="AU56" s="3082"/>
      <c r="AV56" s="3082"/>
      <c r="AW56" s="3082"/>
      <c r="AX56" s="3082"/>
      <c r="AY56" s="3082"/>
      <c r="AZ56" s="3082"/>
    </row>
    <row r="57" spans="1:52" ht="14.25">
      <c r="A57" s="2768" t="s">
        <v>2828</v>
      </c>
      <c r="B57" s="184"/>
      <c r="C57" s="3090">
        <v>12</v>
      </c>
      <c r="D57" s="3094"/>
      <c r="E57" s="3085"/>
      <c r="F57" s="3085"/>
      <c r="G57" s="3085"/>
      <c r="H57" s="3085"/>
      <c r="I57" s="3085"/>
      <c r="J57" s="3085"/>
      <c r="K57" s="3084"/>
      <c r="L57" s="3084"/>
      <c r="M57" s="3082"/>
      <c r="N57" s="3082"/>
      <c r="O57" s="3082"/>
      <c r="P57" s="3082"/>
      <c r="Q57" s="3082"/>
      <c r="R57" s="3082"/>
      <c r="S57" s="3082"/>
      <c r="T57" s="3082"/>
      <c r="U57" s="3082"/>
      <c r="V57" s="3082"/>
      <c r="W57" s="3082"/>
      <c r="X57" s="3082"/>
      <c r="Y57" s="3082"/>
      <c r="Z57" s="3082"/>
      <c r="AA57" s="3082"/>
      <c r="AB57" s="3082"/>
      <c r="AC57" s="3082"/>
      <c r="AD57" s="3082"/>
      <c r="AE57" s="3082"/>
      <c r="AF57" s="3082"/>
      <c r="AG57" s="3082"/>
      <c r="AH57" s="3082"/>
      <c r="AI57" s="3082"/>
      <c r="AJ57" s="3082"/>
      <c r="AK57" s="3082"/>
      <c r="AL57" s="3082"/>
      <c r="AM57" s="3082"/>
      <c r="AN57" s="3082"/>
      <c r="AO57" s="3082"/>
      <c r="AP57" s="3082"/>
      <c r="AQ57" s="3082"/>
      <c r="AR57" s="3082"/>
      <c r="AS57" s="3082"/>
      <c r="AT57" s="3082"/>
      <c r="AU57" s="3082"/>
      <c r="AV57" s="3082"/>
      <c r="AW57" s="3082"/>
      <c r="AX57" s="3082"/>
      <c r="AY57" s="3082"/>
      <c r="AZ57" s="3082"/>
    </row>
    <row r="58" spans="1:52" ht="14.25">
      <c r="A58" s="2768" t="s">
        <v>2829</v>
      </c>
      <c r="B58" s="184"/>
      <c r="C58" s="3090">
        <v>3</v>
      </c>
      <c r="D58" s="3094"/>
      <c r="E58" s="3085"/>
      <c r="F58" s="3085"/>
      <c r="G58" s="3085"/>
      <c r="H58" s="3085"/>
      <c r="I58" s="3085"/>
      <c r="J58" s="3085"/>
      <c r="K58" s="3084"/>
      <c r="L58" s="3084"/>
      <c r="M58" s="3082"/>
      <c r="N58" s="3082"/>
      <c r="O58" s="3082"/>
      <c r="P58" s="3082"/>
      <c r="Q58" s="3082"/>
      <c r="R58" s="3082"/>
      <c r="S58" s="3082"/>
      <c r="T58" s="3082"/>
      <c r="U58" s="3082"/>
      <c r="V58" s="3082"/>
      <c r="W58" s="3082"/>
      <c r="X58" s="3082"/>
      <c r="Y58" s="3082"/>
      <c r="Z58" s="3082"/>
      <c r="AA58" s="3082"/>
      <c r="AB58" s="3082"/>
      <c r="AC58" s="3082"/>
      <c r="AD58" s="3082"/>
      <c r="AE58" s="3082"/>
      <c r="AF58" s="3082"/>
      <c r="AG58" s="3082"/>
      <c r="AH58" s="3082"/>
      <c r="AI58" s="3082"/>
      <c r="AJ58" s="3082"/>
      <c r="AK58" s="3082"/>
      <c r="AL58" s="3082"/>
      <c r="AM58" s="3082"/>
      <c r="AN58" s="3082"/>
      <c r="AO58" s="3082"/>
      <c r="AP58" s="3082"/>
      <c r="AQ58" s="3082"/>
      <c r="AR58" s="3082"/>
      <c r="AS58" s="3082"/>
      <c r="AT58" s="3082"/>
      <c r="AU58" s="3082"/>
      <c r="AV58" s="3082"/>
      <c r="AW58" s="3082"/>
      <c r="AX58" s="3082"/>
      <c r="AY58" s="3082"/>
      <c r="AZ58" s="3082"/>
    </row>
    <row r="59" spans="1:52" ht="14.25">
      <c r="A59" s="2768" t="s">
        <v>2830</v>
      </c>
      <c r="B59" s="184">
        <v>1.5</v>
      </c>
      <c r="C59" s="3090">
        <v>1.5</v>
      </c>
      <c r="D59" s="3094"/>
      <c r="E59" s="3085"/>
      <c r="F59" s="3085"/>
      <c r="G59" s="3085"/>
      <c r="H59" s="3085"/>
      <c r="I59" s="3085"/>
      <c r="J59" s="3085"/>
      <c r="K59" s="3084"/>
      <c r="L59" s="3084"/>
      <c r="M59" s="3082"/>
      <c r="N59" s="3082"/>
      <c r="O59" s="3082"/>
      <c r="P59" s="3082"/>
      <c r="Q59" s="3082"/>
      <c r="R59" s="3082"/>
      <c r="S59" s="3082"/>
      <c r="T59" s="3082"/>
      <c r="U59" s="3082"/>
      <c r="V59" s="3082"/>
      <c r="W59" s="3082"/>
      <c r="X59" s="3082"/>
      <c r="Y59" s="3082"/>
      <c r="Z59" s="3082"/>
      <c r="AA59" s="3082"/>
      <c r="AB59" s="3082"/>
      <c r="AC59" s="3082"/>
      <c r="AD59" s="3082"/>
      <c r="AE59" s="3082"/>
      <c r="AF59" s="3082"/>
      <c r="AG59" s="3082"/>
      <c r="AH59" s="3082"/>
      <c r="AI59" s="3082"/>
      <c r="AJ59" s="3082"/>
      <c r="AK59" s="3082"/>
      <c r="AL59" s="3082"/>
      <c r="AM59" s="3082"/>
      <c r="AN59" s="3082"/>
      <c r="AO59" s="3082"/>
      <c r="AP59" s="3082"/>
      <c r="AQ59" s="3082"/>
      <c r="AR59" s="3082"/>
      <c r="AS59" s="3082"/>
      <c r="AT59" s="3082"/>
      <c r="AU59" s="3082"/>
      <c r="AV59" s="3082"/>
      <c r="AW59" s="3082"/>
      <c r="AX59" s="3082"/>
      <c r="AY59" s="3082"/>
      <c r="AZ59" s="3082"/>
    </row>
    <row r="60" spans="1:52" ht="14.25">
      <c r="A60" s="2768" t="s">
        <v>2831</v>
      </c>
      <c r="B60" s="184"/>
      <c r="C60" s="3085"/>
      <c r="D60" s="3086"/>
      <c r="E60" s="3085"/>
      <c r="F60" s="3085"/>
      <c r="G60" s="3085"/>
      <c r="H60" s="3085"/>
      <c r="I60" s="3085"/>
      <c r="J60" s="3085"/>
      <c r="K60" s="3084"/>
      <c r="L60" s="3084"/>
      <c r="M60" s="3082"/>
      <c r="N60" s="3082"/>
      <c r="O60" s="3082"/>
      <c r="P60" s="3082"/>
      <c r="Q60" s="3082"/>
      <c r="R60" s="3082"/>
      <c r="S60" s="3082"/>
      <c r="T60" s="3082"/>
      <c r="U60" s="3082"/>
      <c r="V60" s="3082"/>
      <c r="W60" s="3082"/>
      <c r="X60" s="3082"/>
      <c r="Y60" s="3082"/>
      <c r="Z60" s="3082"/>
      <c r="AA60" s="3082"/>
      <c r="AB60" s="3082"/>
      <c r="AC60" s="3082"/>
      <c r="AD60" s="3082"/>
      <c r="AE60" s="3082"/>
      <c r="AF60" s="3082"/>
      <c r="AG60" s="3082"/>
      <c r="AH60" s="3082"/>
      <c r="AI60" s="3082"/>
      <c r="AJ60" s="3082"/>
      <c r="AK60" s="3082"/>
      <c r="AL60" s="3082"/>
      <c r="AM60" s="3082"/>
      <c r="AN60" s="3082"/>
      <c r="AO60" s="3082"/>
      <c r="AP60" s="3082"/>
      <c r="AQ60" s="3082"/>
      <c r="AR60" s="3082"/>
      <c r="AS60" s="3082"/>
      <c r="AT60" s="3082"/>
      <c r="AU60" s="3082"/>
      <c r="AV60" s="3082"/>
      <c r="AW60" s="3082"/>
      <c r="AX60" s="3082"/>
      <c r="AY60" s="3082"/>
      <c r="AZ60" s="3082"/>
    </row>
    <row r="61" spans="1:52" ht="14.25">
      <c r="A61" s="2768" t="s">
        <v>2832</v>
      </c>
      <c r="B61" s="184"/>
      <c r="C61" s="3085"/>
      <c r="D61" s="3086"/>
      <c r="E61" s="3085"/>
      <c r="F61" s="3085"/>
      <c r="G61" s="3085"/>
      <c r="H61" s="3085"/>
      <c r="I61" s="3085"/>
      <c r="J61" s="3085"/>
      <c r="K61" s="3084"/>
      <c r="L61" s="3084"/>
      <c r="M61" s="3082"/>
      <c r="N61" s="3082"/>
      <c r="O61" s="3082"/>
      <c r="P61" s="3082"/>
      <c r="Q61" s="3082"/>
      <c r="R61" s="3082"/>
      <c r="S61" s="3082"/>
      <c r="T61" s="3082"/>
      <c r="U61" s="3082"/>
      <c r="V61" s="3082"/>
      <c r="W61" s="3082"/>
      <c r="X61" s="3082"/>
      <c r="Y61" s="3082"/>
      <c r="Z61" s="3082"/>
      <c r="AA61" s="3082"/>
      <c r="AB61" s="3082"/>
      <c r="AC61" s="3082"/>
      <c r="AD61" s="3082"/>
      <c r="AE61" s="3082"/>
      <c r="AF61" s="3082"/>
      <c r="AG61" s="3082"/>
      <c r="AH61" s="3082"/>
      <c r="AI61" s="3082"/>
      <c r="AJ61" s="3082"/>
      <c r="AK61" s="3082"/>
      <c r="AL61" s="3082"/>
      <c r="AM61" s="3082"/>
      <c r="AN61" s="3082"/>
      <c r="AO61" s="3082"/>
      <c r="AP61" s="3082"/>
      <c r="AQ61" s="3082"/>
      <c r="AR61" s="3082"/>
      <c r="AS61" s="3082"/>
      <c r="AT61" s="3082"/>
      <c r="AU61" s="3082"/>
      <c r="AV61" s="3082"/>
      <c r="AW61" s="3082"/>
      <c r="AX61" s="3082"/>
      <c r="AY61" s="3082"/>
      <c r="AZ61" s="3082"/>
    </row>
    <row r="62" spans="1:52" ht="14.25">
      <c r="A62" s="2768" t="s">
        <v>2833</v>
      </c>
      <c r="B62" s="184"/>
      <c r="C62" s="3085"/>
      <c r="D62" s="3086"/>
      <c r="E62" s="3085"/>
      <c r="F62" s="3085"/>
      <c r="G62" s="3085"/>
      <c r="H62" s="3085"/>
      <c r="I62" s="3085"/>
      <c r="J62" s="3085"/>
      <c r="K62" s="3084"/>
      <c r="L62" s="3084"/>
      <c r="M62" s="3082"/>
      <c r="N62" s="3082"/>
      <c r="O62" s="3082"/>
      <c r="P62" s="3082"/>
      <c r="Q62" s="3082"/>
      <c r="R62" s="3082"/>
      <c r="S62" s="3082"/>
      <c r="T62" s="3082"/>
      <c r="U62" s="3082"/>
      <c r="V62" s="3082"/>
      <c r="W62" s="3082"/>
      <c r="X62" s="3082"/>
      <c r="Y62" s="3082"/>
      <c r="Z62" s="3082"/>
      <c r="AA62" s="3082"/>
      <c r="AB62" s="3082"/>
      <c r="AC62" s="3082"/>
      <c r="AD62" s="3082"/>
      <c r="AE62" s="3082"/>
      <c r="AF62" s="3082"/>
      <c r="AG62" s="3082"/>
      <c r="AH62" s="3082"/>
      <c r="AI62" s="3082"/>
      <c r="AJ62" s="3082"/>
      <c r="AK62" s="3082"/>
      <c r="AL62" s="3082"/>
      <c r="AM62" s="3082"/>
      <c r="AN62" s="3082"/>
      <c r="AO62" s="3082"/>
      <c r="AP62" s="3082"/>
      <c r="AQ62" s="3082"/>
      <c r="AR62" s="3082"/>
      <c r="AS62" s="3082"/>
      <c r="AT62" s="3082"/>
      <c r="AU62" s="3082"/>
      <c r="AV62" s="3082"/>
      <c r="AW62" s="3082"/>
      <c r="AX62" s="3082"/>
      <c r="AY62" s="3082"/>
      <c r="AZ62" s="3082"/>
    </row>
    <row r="63" spans="1:52" ht="15" thickBot="1">
      <c r="A63" s="2769" t="s">
        <v>2834</v>
      </c>
      <c r="B63" s="250"/>
      <c r="C63" s="3085"/>
      <c r="D63" s="3086"/>
      <c r="E63" s="3085"/>
      <c r="F63" s="3085"/>
      <c r="G63" s="3085"/>
      <c r="H63" s="3085"/>
      <c r="I63" s="3085"/>
      <c r="J63" s="3085"/>
      <c r="K63" s="3084"/>
      <c r="L63" s="3084"/>
      <c r="M63" s="3082"/>
      <c r="N63" s="3082"/>
      <c r="O63" s="3082"/>
      <c r="P63" s="3082"/>
      <c r="Q63" s="3082"/>
      <c r="R63" s="3082"/>
      <c r="S63" s="3082"/>
      <c r="T63" s="3082"/>
      <c r="U63" s="3082"/>
      <c r="V63" s="3082"/>
      <c r="W63" s="3082"/>
      <c r="X63" s="3082"/>
      <c r="Y63" s="3082"/>
      <c r="Z63" s="3082"/>
      <c r="AA63" s="3082"/>
      <c r="AB63" s="3082"/>
      <c r="AC63" s="3082"/>
      <c r="AD63" s="3082"/>
      <c r="AE63" s="3082"/>
      <c r="AF63" s="3082"/>
      <c r="AG63" s="3082"/>
      <c r="AH63" s="3082"/>
      <c r="AI63" s="3082"/>
      <c r="AJ63" s="3082"/>
      <c r="AK63" s="3082"/>
      <c r="AL63" s="3082"/>
      <c r="AM63" s="3082"/>
      <c r="AN63" s="3082"/>
      <c r="AO63" s="3082"/>
      <c r="AP63" s="3082"/>
      <c r="AQ63" s="3082"/>
      <c r="AR63" s="3082"/>
      <c r="AS63" s="3082"/>
      <c r="AT63" s="3082"/>
      <c r="AU63" s="3082"/>
      <c r="AV63" s="3082"/>
      <c r="AW63" s="3082"/>
      <c r="AX63" s="3082"/>
      <c r="AY63" s="3082"/>
      <c r="AZ63" s="3082"/>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1"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9" activePane="bottomRight" state="frozen"/>
      <selection activeCell="E29" sqref="E29"/>
      <selection pane="topRight" activeCell="E29" sqref="E29"/>
      <selection pane="bottomLeft" activeCell="E29" sqref="E29"/>
      <selection pane="bottomRight" activeCell="I25" sqref="I25"/>
    </sheetView>
  </sheetViews>
  <sheetFormatPr defaultColWidth="9" defaultRowHeight="13.5"/>
  <cols>
    <col min="1" max="1" width="9.5" style="3116" customWidth="1"/>
    <col min="2" max="2" width="23.5" style="3148" customWidth="1"/>
    <col min="3" max="3" width="32.125" style="3150" customWidth="1"/>
    <col min="4" max="4" width="2.625" style="3150" customWidth="1"/>
    <col min="5" max="5" width="5.875" style="3150" customWidth="1"/>
    <col min="6" max="6" width="23.625" style="3148" customWidth="1"/>
    <col min="7" max="7" width="33.375" style="3149" customWidth="1"/>
    <col min="8" max="8" width="11.875" style="3148" customWidth="1"/>
    <col min="9" max="9" width="16.625" style="3149" customWidth="1"/>
    <col min="10" max="10" width="2.625" style="3150" customWidth="1"/>
    <col min="11" max="11" width="11.875" style="3148" customWidth="1"/>
    <col min="12" max="12" width="16.625" style="3149" customWidth="1"/>
    <col min="13" max="13" width="2.625" style="3150" customWidth="1"/>
    <col min="14" max="14" width="11.875" style="3148" customWidth="1"/>
    <col min="15" max="15" width="16.625" style="3149" customWidth="1"/>
    <col min="16" max="16" width="2.625" style="3150" customWidth="1"/>
    <col min="17" max="17" width="11.875" style="3148" customWidth="1"/>
    <col min="18" max="18" width="16.625" style="3151" customWidth="1"/>
    <col min="19" max="16384" width="9" style="3116"/>
  </cols>
  <sheetData>
    <row r="1" spans="1:18" s="3110" customFormat="1" ht="19.5" thickBot="1">
      <c r="A1" s="3436" t="s">
        <v>1654</v>
      </c>
      <c r="B1" s="3437"/>
      <c r="C1" s="3437"/>
      <c r="D1" s="3437"/>
      <c r="E1" s="3437"/>
      <c r="F1" s="3437"/>
      <c r="G1" s="3437"/>
      <c r="H1" s="3105"/>
      <c r="I1" s="3106"/>
      <c r="J1" s="3107"/>
      <c r="K1" s="3105"/>
      <c r="L1" s="3106"/>
      <c r="M1" s="3107"/>
      <c r="N1" s="3105"/>
      <c r="O1" s="3106"/>
      <c r="P1" s="3107"/>
      <c r="Q1" s="3108"/>
      <c r="R1" s="3109"/>
    </row>
    <row r="2" spans="1:18" ht="14.25" thickBot="1">
      <c r="A2" s="3111"/>
      <c r="B2" s="3112"/>
      <c r="C2" s="3113" t="s">
        <v>1655</v>
      </c>
      <c r="D2" s="3114"/>
      <c r="E2" s="3111"/>
      <c r="F2" s="3115"/>
      <c r="G2" s="3113" t="s">
        <v>1656</v>
      </c>
      <c r="H2" s="3116"/>
      <c r="I2" s="3116"/>
      <c r="J2" s="3116"/>
      <c r="K2" s="3116"/>
      <c r="L2" s="3116"/>
      <c r="M2" s="3116"/>
      <c r="N2" s="3116"/>
      <c r="O2" s="3116"/>
      <c r="P2" s="3116"/>
      <c r="Q2" s="3116"/>
      <c r="R2" s="3116"/>
    </row>
    <row r="3" spans="1:18" ht="81">
      <c r="A3" s="3117" t="s">
        <v>1657</v>
      </c>
      <c r="B3" s="3118" t="s">
        <v>1644</v>
      </c>
      <c r="C3" s="3119" t="s">
        <v>2836</v>
      </c>
      <c r="D3" s="3120"/>
      <c r="E3" s="3121" t="s">
        <v>1657</v>
      </c>
      <c r="F3" s="3122" t="s">
        <v>1645</v>
      </c>
      <c r="G3" s="3345" t="s">
        <v>3170</v>
      </c>
      <c r="H3" s="3116"/>
      <c r="I3" s="3116"/>
      <c r="J3" s="3116"/>
      <c r="K3" s="3116"/>
      <c r="L3" s="3116"/>
      <c r="M3" s="3116"/>
      <c r="N3" s="3116"/>
      <c r="O3" s="3116"/>
      <c r="P3" s="3116"/>
      <c r="Q3" s="3116"/>
      <c r="R3" s="3116"/>
    </row>
    <row r="4" spans="1:18" ht="67.5">
      <c r="A4" s="3121"/>
      <c r="B4" s="3123" t="s">
        <v>1658</v>
      </c>
      <c r="C4" s="3124" t="s">
        <v>2837</v>
      </c>
      <c r="D4" s="3120"/>
      <c r="E4" s="3125"/>
      <c r="F4" s="3126" t="s">
        <v>1659</v>
      </c>
      <c r="G4" s="3344" t="s">
        <v>3177</v>
      </c>
      <c r="H4" s="3116"/>
      <c r="I4" s="3116"/>
      <c r="J4" s="3116"/>
      <c r="K4" s="3116"/>
      <c r="L4" s="3116"/>
      <c r="M4" s="3116"/>
      <c r="N4" s="3116"/>
      <c r="O4" s="3116"/>
      <c r="P4" s="3116"/>
      <c r="Q4" s="3116"/>
      <c r="R4" s="3116"/>
    </row>
    <row r="5" spans="1:18" ht="41.25">
      <c r="A5" s="3121"/>
      <c r="B5" s="3123" t="s">
        <v>1660</v>
      </c>
      <c r="C5" s="3124" t="s">
        <v>2838</v>
      </c>
      <c r="D5" s="3120"/>
      <c r="E5" s="3125"/>
      <c r="F5" s="3123" t="s">
        <v>2480</v>
      </c>
      <c r="G5" s="3127" t="str">
        <f>C7</f>
        <v>估价对象所在区域公共配套设施齐备情况一般</v>
      </c>
      <c r="H5" s="3116"/>
      <c r="I5" s="3116"/>
      <c r="J5" s="3116"/>
      <c r="K5" s="3116"/>
      <c r="L5" s="3116"/>
      <c r="M5" s="3116"/>
      <c r="N5" s="3116"/>
      <c r="O5" s="3116"/>
      <c r="P5" s="3116"/>
      <c r="Q5" s="3116"/>
      <c r="R5" s="3116"/>
    </row>
    <row r="6" spans="1:18" ht="67.5">
      <c r="A6" s="3121"/>
      <c r="B6" s="3123" t="s">
        <v>1646</v>
      </c>
      <c r="C6" s="3344" t="s">
        <v>3177</v>
      </c>
      <c r="D6" s="3120"/>
      <c r="E6" s="3125"/>
      <c r="F6" s="3123" t="s">
        <v>2481</v>
      </c>
      <c r="G6" s="3344" t="s">
        <v>3179</v>
      </c>
      <c r="H6" s="3116"/>
      <c r="I6" s="3116"/>
      <c r="J6" s="3116"/>
      <c r="K6" s="3116"/>
      <c r="L6" s="3116"/>
      <c r="M6" s="3116"/>
      <c r="N6" s="3116"/>
      <c r="O6" s="3116"/>
      <c r="P6" s="3116"/>
      <c r="Q6" s="3116"/>
      <c r="R6" s="3116"/>
    </row>
    <row r="7" spans="1:18" ht="41.25" thickBot="1">
      <c r="A7" s="3121"/>
      <c r="B7" s="3123" t="s">
        <v>2480</v>
      </c>
      <c r="C7" s="3344" t="s">
        <v>3178</v>
      </c>
      <c r="D7" s="3128"/>
      <c r="E7" s="3129"/>
      <c r="F7" s="3130" t="s">
        <v>1661</v>
      </c>
      <c r="G7" s="3697" t="s">
        <v>3180</v>
      </c>
      <c r="H7" s="3116"/>
      <c r="I7" s="3116"/>
      <c r="J7" s="3116"/>
      <c r="K7" s="3116"/>
      <c r="L7" s="3116"/>
      <c r="M7" s="3116"/>
      <c r="N7" s="3116"/>
      <c r="O7" s="3116"/>
      <c r="P7" s="3116"/>
      <c r="Q7" s="3116"/>
      <c r="R7" s="3116"/>
    </row>
    <row r="8" spans="1:18">
      <c r="A8" s="3121"/>
      <c r="B8" s="3123" t="s">
        <v>2481</v>
      </c>
      <c r="C8" s="3127" t="s">
        <v>2835</v>
      </c>
      <c r="D8" s="3128"/>
      <c r="E8" s="3128"/>
      <c r="F8" s="3131"/>
      <c r="G8" s="3131"/>
      <c r="H8" s="3116"/>
      <c r="I8" s="3116"/>
      <c r="J8" s="3116"/>
      <c r="K8" s="3116"/>
      <c r="L8" s="3116"/>
      <c r="M8" s="3116"/>
      <c r="N8" s="3116"/>
      <c r="O8" s="3116"/>
      <c r="P8" s="3116"/>
      <c r="Q8" s="3116"/>
      <c r="R8" s="3116"/>
    </row>
    <row r="9" spans="1:18" ht="40.5">
      <c r="A9" s="3121"/>
      <c r="B9" s="3123" t="s">
        <v>1647</v>
      </c>
      <c r="C9" s="3346" t="s">
        <v>3171</v>
      </c>
      <c r="D9" s="3120"/>
      <c r="E9" s="3128"/>
      <c r="F9" s="3131"/>
      <c r="G9" s="3131"/>
      <c r="H9" s="3116"/>
      <c r="I9" s="3116"/>
      <c r="J9" s="3116"/>
      <c r="K9" s="3116"/>
      <c r="L9" s="3116"/>
      <c r="M9" s="3116"/>
      <c r="N9" s="3116"/>
      <c r="O9" s="3116"/>
      <c r="P9" s="3116"/>
      <c r="Q9" s="3116"/>
      <c r="R9" s="3116"/>
    </row>
    <row r="10" spans="1:18" s="3137" customFormat="1" ht="14.25" thickBot="1">
      <c r="A10" s="3132"/>
      <c r="B10" s="3133" t="s">
        <v>1662</v>
      </c>
      <c r="C10" s="3698" t="s">
        <v>3182</v>
      </c>
      <c r="D10" s="3120"/>
      <c r="E10" s="3120"/>
      <c r="F10" s="3131"/>
      <c r="G10" s="3131"/>
      <c r="H10" s="3134"/>
      <c r="I10" s="3135"/>
      <c r="J10" s="3136"/>
      <c r="K10" s="3134"/>
      <c r="L10" s="3135"/>
      <c r="M10" s="3136"/>
      <c r="N10" s="3134"/>
      <c r="O10" s="3135"/>
      <c r="P10" s="3136"/>
      <c r="Q10" s="3134"/>
      <c r="R10" s="3135"/>
    </row>
    <row r="11" spans="1:18" s="3137" customFormat="1">
      <c r="A11" s="3138"/>
      <c r="B11" s="3128"/>
      <c r="C11" s="3120"/>
      <c r="D11" s="3120"/>
      <c r="E11" s="3120"/>
      <c r="F11" s="3128"/>
      <c r="G11" s="3139"/>
      <c r="H11" s="3134"/>
      <c r="I11" s="3135"/>
      <c r="J11" s="3136"/>
      <c r="K11" s="3134"/>
      <c r="L11" s="3135"/>
      <c r="M11" s="3136"/>
      <c r="N11" s="3134"/>
      <c r="O11" s="3135"/>
      <c r="P11" s="3136"/>
      <c r="Q11" s="3134"/>
      <c r="R11" s="3135"/>
    </row>
    <row r="12" spans="1:18" s="3110" customFormat="1" ht="18.75">
      <c r="A12" s="3138"/>
      <c r="B12" s="3128"/>
      <c r="C12" s="3120"/>
      <c r="D12" s="3140"/>
      <c r="E12" s="3120"/>
      <c r="F12" s="3128"/>
      <c r="G12" s="3139"/>
      <c r="H12" s="3141"/>
      <c r="I12" s="3142"/>
      <c r="J12" s="3141"/>
      <c r="K12" s="3141"/>
      <c r="L12" s="3143"/>
      <c r="M12" s="3141"/>
      <c r="N12" s="3144"/>
      <c r="O12" s="3145"/>
      <c r="P12" s="3146"/>
      <c r="Q12" s="3144"/>
      <c r="R12" s="3109"/>
    </row>
    <row r="13" spans="1:18" ht="19.5" thickBot="1">
      <c r="A13" s="3147" t="s">
        <v>1663</v>
      </c>
      <c r="B13" s="3140"/>
      <c r="C13" s="3140"/>
      <c r="D13" s="3114"/>
      <c r="E13" s="3140"/>
      <c r="F13" s="3140"/>
      <c r="G13" s="3140"/>
    </row>
    <row r="14" spans="1:18" ht="14.25" thickBot="1">
      <c r="A14" s="3152"/>
      <c r="B14" s="3152"/>
      <c r="C14" s="3153" t="s">
        <v>1655</v>
      </c>
      <c r="D14" s="3120"/>
      <c r="E14" s="3154"/>
      <c r="F14" s="3154"/>
      <c r="G14" s="3113" t="s">
        <v>1656</v>
      </c>
    </row>
    <row r="15" spans="1:18" ht="81">
      <c r="A15" s="3155" t="s">
        <v>1648</v>
      </c>
      <c r="B15" s="3156" t="s">
        <v>1644</v>
      </c>
      <c r="C15" s="3157" t="str">
        <f>C3</f>
        <v>估价对象周边居住用地比例、居住小区规模和社区发展完善程度，综合评价居住社区成熟度一般</v>
      </c>
      <c r="D15" s="3120"/>
      <c r="E15" s="3158" t="s">
        <v>1649</v>
      </c>
      <c r="F15" s="3156" t="s">
        <v>1664</v>
      </c>
      <c r="G15" s="3159" t="str">
        <f>G3</f>
        <v>估价对象现状周边以产业用地为主，邻近周边有乐铁设备(北京)有限公司、综合信兴物流(南法信卫生院东北)、安博北京首都机场第二物流中心等，物流企业较多，产业集聚程度较好。</v>
      </c>
    </row>
    <row r="16" spans="1:18" ht="40.5">
      <c r="A16" s="3160"/>
      <c r="B16" s="3161" t="s">
        <v>1658</v>
      </c>
      <c r="C16" s="3162" t="str">
        <f>C4</f>
        <v>估价对象位于XX商圈，周边商业氛围成熟，人流量大，商业繁华度好</v>
      </c>
      <c r="D16" s="3120"/>
      <c r="E16" s="3163"/>
      <c r="F16" s="3164" t="s">
        <v>1659</v>
      </c>
      <c r="G16" s="3165" t="str">
        <f>G4</f>
        <v>估价对象周边有顺2路、顺27路、顺28路、顺38路、顺43路、顺59路、顺60路等多条公交线路，距地铁15号线（南法信站）约500米，综合评价交通便捷度较好</v>
      </c>
    </row>
    <row r="17" spans="1:7" ht="40.5">
      <c r="A17" s="3160"/>
      <c r="B17" s="3161" t="s">
        <v>1660</v>
      </c>
      <c r="C17" s="3162" t="str">
        <f>C5</f>
        <v>估价对象位于XX商圈，周边办公楼项目较多，入驻率高，办公集聚程度较好</v>
      </c>
      <c r="D17" s="3128"/>
      <c r="E17" s="3163"/>
      <c r="F17" s="3164" t="s">
        <v>1665</v>
      </c>
      <c r="G17" s="3699" t="s">
        <v>3183</v>
      </c>
    </row>
    <row r="18" spans="1:7" ht="67.5">
      <c r="A18" s="3160"/>
      <c r="B18" s="3164" t="s">
        <v>1646</v>
      </c>
      <c r="C18" s="3165" t="str">
        <f>C6</f>
        <v>估价对象周边有顺2路、顺27路、顺28路、顺38路、顺43路、顺59路、顺60路等多条公交线路，距地铁15号线（南法信站）约500米，综合评价交通便捷度较好</v>
      </c>
      <c r="D18" s="3128"/>
      <c r="E18" s="3163"/>
      <c r="F18" s="3164" t="s">
        <v>1661</v>
      </c>
      <c r="G18" s="3165" t="str">
        <f>G7</f>
        <v>区域自然环境：小众河；人文环境：国家新闻出版广电总局研修学院；综合评价环境状况一般</v>
      </c>
    </row>
    <row r="19" spans="1:7" ht="27">
      <c r="A19" s="3160"/>
      <c r="B19" s="3164" t="s">
        <v>1650</v>
      </c>
      <c r="C19" s="3166"/>
      <c r="D19" s="3120"/>
      <c r="E19" s="3163"/>
      <c r="F19" s="3123" t="s">
        <v>2480</v>
      </c>
      <c r="G19" s="3165" t="str">
        <f>G5</f>
        <v>估价对象所在区域公共配套设施齐备情况一般</v>
      </c>
    </row>
    <row r="20" spans="1:7" ht="40.5">
      <c r="A20" s="3160"/>
      <c r="B20" s="3164" t="s">
        <v>1651</v>
      </c>
      <c r="C20" s="3162" t="str">
        <f>C9</f>
        <v>区域自然环境：小众和；人文环境：国家新闻出版广电总局研修学院；综合评价环境状况一般</v>
      </c>
      <c r="D20" s="3128"/>
      <c r="E20" s="3163"/>
      <c r="F20" s="3123" t="s">
        <v>2481</v>
      </c>
      <c r="G20" s="3165" t="str">
        <f>G6</f>
        <v>估价对象所在区域内基础设施配套条件达到“五通”（包括通路、通电、通讯、通上水、通下水），基本能够保证工作、生产需要，基础设施配套完善度一般。</v>
      </c>
    </row>
    <row r="21" spans="1:7" ht="27">
      <c r="A21" s="3160"/>
      <c r="B21" s="3123" t="s">
        <v>2480</v>
      </c>
      <c r="C21" s="3165" t="str">
        <f>C7</f>
        <v>估价对象所在区域公共配套设施齐备情况一般</v>
      </c>
      <c r="D21" s="3120"/>
      <c r="E21" s="3163"/>
      <c r="F21" s="3164" t="s">
        <v>1652</v>
      </c>
      <c r="G21" s="3167" t="s">
        <v>3184</v>
      </c>
    </row>
    <row r="22" spans="1:7" ht="14.25">
      <c r="A22" s="3160"/>
      <c r="B22" s="3123" t="s">
        <v>2481</v>
      </c>
      <c r="C22" s="3165" t="str">
        <f>C8</f>
        <v>估价对象所在区域基础设施水平</v>
      </c>
      <c r="D22" s="3120"/>
      <c r="E22" s="3163"/>
      <c r="F22" s="3164" t="s">
        <v>1662</v>
      </c>
      <c r="G22" s="3166" t="str">
        <f>C10</f>
        <v>城市次干道——顺余路</v>
      </c>
    </row>
    <row r="23" spans="1:7" ht="15" thickBot="1">
      <c r="A23" s="3160"/>
      <c r="B23" s="3164" t="s">
        <v>1652</v>
      </c>
      <c r="C23" s="3167"/>
      <c r="E23" s="3168"/>
      <c r="F23" s="3169" t="s">
        <v>1666</v>
      </c>
      <c r="G23" s="3170"/>
    </row>
    <row r="24" spans="1:7" ht="14.25" thickBot="1">
      <c r="A24" s="3171"/>
      <c r="B24" s="3169" t="s">
        <v>1653</v>
      </c>
      <c r="C24" s="3172" t="str">
        <f>C10</f>
        <v>城市次干道——顺余路</v>
      </c>
      <c r="E24" s="3173"/>
      <c r="F24" s="3173"/>
      <c r="G24" s="3174"/>
    </row>
    <row r="25" spans="1:7">
      <c r="E25" s="3116"/>
      <c r="F25" s="3116"/>
      <c r="G25" s="3116"/>
    </row>
    <row r="26" spans="1:7">
      <c r="E26" s="3116"/>
      <c r="F26" s="3116"/>
      <c r="G26" s="3116"/>
    </row>
    <row r="27" spans="1:7">
      <c r="E27" s="3116"/>
      <c r="F27" s="3116"/>
      <c r="G27" s="3116"/>
    </row>
    <row r="28" spans="1:7">
      <c r="E28" s="3116"/>
      <c r="F28" s="3116"/>
      <c r="G28" s="3116"/>
    </row>
    <row r="29" spans="1:7">
      <c r="E29" s="3116"/>
      <c r="F29" s="3116"/>
      <c r="G29" s="3116"/>
    </row>
    <row r="30" spans="1:7">
      <c r="E30" s="3116"/>
      <c r="F30" s="3116"/>
      <c r="G30" s="3116"/>
    </row>
    <row r="31" spans="1:7">
      <c r="E31" s="3116"/>
      <c r="F31" s="3116"/>
      <c r="G31" s="3116"/>
    </row>
    <row r="32" spans="1:7">
      <c r="E32" s="3116"/>
      <c r="F32" s="3116"/>
      <c r="G32" s="3116"/>
    </row>
    <row r="33" spans="5:7">
      <c r="E33" s="3116"/>
      <c r="F33" s="3116"/>
      <c r="G33" s="3116"/>
    </row>
    <row r="34" spans="5:7">
      <c r="E34" s="3116"/>
      <c r="F34" s="3116"/>
      <c r="G34" s="3116"/>
    </row>
    <row r="35" spans="5:7">
      <c r="E35" s="3116"/>
      <c r="F35" s="3116"/>
      <c r="G35" s="3116"/>
    </row>
    <row r="36" spans="5:7">
      <c r="E36" s="3116"/>
      <c r="F36" s="3116"/>
      <c r="G36" s="3116"/>
    </row>
    <row r="37" spans="5:7">
      <c r="E37" s="3116"/>
      <c r="F37" s="3116"/>
      <c r="G37" s="3116"/>
    </row>
  </sheetData>
  <sheetProtection password="CEE9" sheet="1" objects="1" scenarios="1" formatCells="0" formatColumns="0" formatRows="0"/>
  <mergeCells count="1">
    <mergeCell ref="A1:G1"/>
  </mergeCells>
  <phoneticPr fontId="19"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E6" sqref="E6"/>
    </sheetView>
  </sheetViews>
  <sheetFormatPr defaultColWidth="14.625" defaultRowHeight="13.5"/>
  <cols>
    <col min="1" max="1" width="24.375" style="3176" customWidth="1"/>
    <col min="2" max="16384" width="14.625" style="3176"/>
  </cols>
  <sheetData>
    <row r="1" spans="1:10" ht="16.5">
      <c r="A1" s="3175" t="s">
        <v>2775</v>
      </c>
      <c r="B1" s="3175">
        <f>SUM(B14:B23)</f>
        <v>6546.1</v>
      </c>
      <c r="C1" s="3184"/>
      <c r="D1" s="3184"/>
      <c r="E1" s="3184"/>
      <c r="F1" s="3184"/>
      <c r="G1" s="3185"/>
      <c r="H1" s="3185"/>
      <c r="I1" s="3185"/>
      <c r="J1" s="3185"/>
    </row>
    <row r="2" spans="1:10" ht="16.5">
      <c r="A2" s="3175" t="s">
        <v>2776</v>
      </c>
      <c r="B2" s="3175">
        <f>SUM(C14:C23)</f>
        <v>22121.8</v>
      </c>
      <c r="C2" s="3184"/>
      <c r="D2" s="3184"/>
      <c r="E2" s="3184"/>
      <c r="F2" s="3184"/>
      <c r="G2" s="3185"/>
      <c r="H2" s="3185"/>
      <c r="I2" s="3185"/>
      <c r="J2" s="3185"/>
    </row>
    <row r="3" spans="1:10" ht="16.5">
      <c r="A3" s="3175" t="s">
        <v>2777</v>
      </c>
      <c r="B3" s="3177">
        <f>项目基本情况!D3</f>
        <v>44097</v>
      </c>
      <c r="C3" s="3184"/>
      <c r="D3" s="3184"/>
      <c r="E3" s="3184"/>
      <c r="F3" s="3184"/>
      <c r="G3" s="3185"/>
      <c r="H3" s="3185"/>
      <c r="I3" s="3185"/>
      <c r="J3" s="3185"/>
    </row>
    <row r="4" spans="1:10" ht="33">
      <c r="A4" s="3175" t="s">
        <v>2778</v>
      </c>
      <c r="B4" s="3175" t="s">
        <v>2779</v>
      </c>
      <c r="C4" s="3175" t="s">
        <v>2780</v>
      </c>
      <c r="D4" s="3175" t="s">
        <v>2781</v>
      </c>
      <c r="E4" s="3184"/>
      <c r="F4" s="3184"/>
      <c r="G4" s="3185"/>
      <c r="H4" s="3185"/>
      <c r="I4" s="3185"/>
      <c r="J4" s="3185"/>
    </row>
    <row r="5" spans="1:10" ht="16.5">
      <c r="A5" s="3175" t="s">
        <v>2782</v>
      </c>
      <c r="B5" s="3175">
        <f ca="1">SUM(D14:D23)</f>
        <v>6227</v>
      </c>
      <c r="C5" s="3175">
        <f ca="1">ROUND(B5*10000/$B$1,0)</f>
        <v>9513</v>
      </c>
      <c r="D5" s="3175">
        <f ca="1">ROUND(B5*10000/$B$2,0)</f>
        <v>2815</v>
      </c>
      <c r="E5" s="3184"/>
      <c r="F5" s="3184"/>
      <c r="G5" s="3185"/>
      <c r="H5" s="3185"/>
      <c r="I5" s="3185"/>
      <c r="J5" s="3185"/>
    </row>
    <row r="6" spans="1:10" ht="16.5">
      <c r="A6" s="3175" t="s">
        <v>2783</v>
      </c>
      <c r="B6" s="3175">
        <f>SUM(G14:G23)</f>
        <v>0</v>
      </c>
      <c r="C6" s="3175">
        <f>ROUND(B6*10000/$B$1,0)</f>
        <v>0</v>
      </c>
      <c r="D6" s="3175">
        <f>ROUND(B6*10000/$B$2,0)</f>
        <v>0</v>
      </c>
      <c r="E6" s="3184"/>
      <c r="F6" s="3184"/>
      <c r="G6" s="3185"/>
      <c r="H6" s="3185"/>
      <c r="I6" s="3185"/>
      <c r="J6" s="3185"/>
    </row>
    <row r="7" spans="1:10" ht="16.5">
      <c r="A7" s="3175" t="s">
        <v>2784</v>
      </c>
      <c r="B7" s="3175">
        <f ca="1">SUM(H14:H23)</f>
        <v>6227</v>
      </c>
      <c r="C7" s="3175">
        <f ca="1">ROUND(B7*10000/$B$1,0)</f>
        <v>9513</v>
      </c>
      <c r="D7" s="3175">
        <f ca="1">ROUND(B7*10000/$B$2,0)</f>
        <v>2815</v>
      </c>
      <c r="E7" s="3184"/>
      <c r="F7" s="3184"/>
      <c r="G7" s="3185"/>
      <c r="H7" s="3185"/>
      <c r="I7" s="3185"/>
      <c r="J7" s="3185"/>
    </row>
    <row r="8" spans="1:10" ht="16.5">
      <c r="A8" s="3175" t="s">
        <v>2785</v>
      </c>
      <c r="B8" s="3175">
        <f>SUM(I14:I23)</f>
        <v>0</v>
      </c>
      <c r="C8" s="3175">
        <f>ROUND(B8*10000/$B$1,0)</f>
        <v>0</v>
      </c>
      <c r="D8" s="3175">
        <f>ROUND(B8*10000/$B$2,0)</f>
        <v>0</v>
      </c>
      <c r="E8" s="3184"/>
      <c r="F8" s="3184"/>
      <c r="G8" s="3185"/>
      <c r="H8" s="3185"/>
      <c r="I8" s="3185"/>
      <c r="J8" s="3185"/>
    </row>
    <row r="9" spans="1:10" ht="16.5">
      <c r="A9" s="3175" t="s">
        <v>2786</v>
      </c>
      <c r="B9" s="3183"/>
      <c r="C9" s="3184"/>
      <c r="D9" s="3184"/>
      <c r="E9" s="3184"/>
      <c r="F9" s="3184"/>
      <c r="G9" s="3185"/>
      <c r="H9" s="3185"/>
      <c r="I9" s="3185"/>
      <c r="J9" s="3185"/>
    </row>
    <row r="10" spans="1:10" ht="16.5">
      <c r="A10" s="3175" t="s">
        <v>2787</v>
      </c>
      <c r="B10" s="3183"/>
      <c r="C10" s="3184"/>
      <c r="D10" s="3184"/>
      <c r="E10" s="3184"/>
      <c r="F10" s="3184"/>
      <c r="G10" s="3185"/>
      <c r="H10" s="3185"/>
      <c r="I10" s="3185"/>
      <c r="J10" s="3185"/>
    </row>
    <row r="11" spans="1:10" ht="16.5">
      <c r="A11" s="3175" t="s">
        <v>2804</v>
      </c>
      <c r="B11" s="3183"/>
      <c r="C11" s="3184"/>
      <c r="D11" s="3184"/>
      <c r="E11" s="3184"/>
      <c r="F11" s="3184"/>
      <c r="G11" s="3185"/>
      <c r="H11" s="3185"/>
      <c r="I11" s="3185"/>
      <c r="J11" s="3185"/>
    </row>
    <row r="12" spans="1:10" ht="16.5">
      <c r="A12" s="3184"/>
      <c r="B12" s="3184"/>
      <c r="C12" s="3184"/>
      <c r="D12" s="3184"/>
      <c r="E12" s="3184"/>
      <c r="F12" s="3184"/>
      <c r="G12" s="3185"/>
      <c r="H12" s="3185"/>
      <c r="I12" s="3185"/>
      <c r="J12" s="3185"/>
    </row>
    <row r="13" spans="1:10" ht="33">
      <c r="A13" s="3178" t="s">
        <v>2803</v>
      </c>
      <c r="B13" s="3179" t="s">
        <v>2775</v>
      </c>
      <c r="C13" s="3179" t="s">
        <v>2776</v>
      </c>
      <c r="D13" s="3179" t="s">
        <v>2788</v>
      </c>
      <c r="E13" s="3175" t="s">
        <v>2802</v>
      </c>
      <c r="F13" s="3175" t="s">
        <v>2781</v>
      </c>
      <c r="G13" s="3179" t="s">
        <v>2789</v>
      </c>
      <c r="H13" s="3179" t="s">
        <v>2790</v>
      </c>
      <c r="I13" s="3179" t="s">
        <v>2791</v>
      </c>
      <c r="J13" s="3185"/>
    </row>
    <row r="14" spans="1:10" ht="16.5">
      <c r="A14" s="3180" t="s">
        <v>2801</v>
      </c>
      <c r="B14" s="3181">
        <f>结果表!L38</f>
        <v>6546.1</v>
      </c>
      <c r="C14" s="3181">
        <f>结果表!K38</f>
        <v>22121.8</v>
      </c>
      <c r="D14" s="3181">
        <f ca="1">结果表!C42</f>
        <v>6227</v>
      </c>
      <c r="E14" s="3181">
        <f ca="1">ROUND(D14*10000/B14,0)</f>
        <v>9513</v>
      </c>
      <c r="F14" s="3181">
        <f ca="1">ROUND(D14*10000/C14,0)</f>
        <v>2815</v>
      </c>
      <c r="G14" s="3181" t="str">
        <f>结果表!C44</f>
        <v>——</v>
      </c>
      <c r="H14" s="3181">
        <f ca="1">结果表!C45</f>
        <v>6227</v>
      </c>
      <c r="I14" s="3181" t="str">
        <f>结果表!C46</f>
        <v>——</v>
      </c>
      <c r="J14" s="3185"/>
    </row>
    <row r="15" spans="1:10" ht="16.5">
      <c r="A15" s="3180" t="s">
        <v>2792</v>
      </c>
      <c r="B15" s="3182"/>
      <c r="C15" s="3182"/>
      <c r="D15" s="3182"/>
      <c r="E15" s="3181" t="e">
        <f t="shared" ref="E15:E23" si="0">ROUND(D15*10000/B15,0)</f>
        <v>#DIV/0!</v>
      </c>
      <c r="F15" s="3181" t="e">
        <f t="shared" ref="F15:F23" si="1">ROUND(D15*10000/C15,0)</f>
        <v>#DIV/0!</v>
      </c>
      <c r="G15" s="2751"/>
      <c r="H15" s="2751"/>
      <c r="I15" s="3182"/>
      <c r="J15" s="3185"/>
    </row>
    <row r="16" spans="1:10" ht="16.5">
      <c r="A16" s="3180" t="s">
        <v>2793</v>
      </c>
      <c r="B16" s="3182"/>
      <c r="C16" s="3182"/>
      <c r="D16" s="3182"/>
      <c r="E16" s="3181" t="e">
        <f t="shared" si="0"/>
        <v>#DIV/0!</v>
      </c>
      <c r="F16" s="3181" t="e">
        <f t="shared" si="1"/>
        <v>#DIV/0!</v>
      </c>
      <c r="G16" s="2751"/>
      <c r="H16" s="2751"/>
      <c r="I16" s="3182"/>
      <c r="J16" s="3185"/>
    </row>
    <row r="17" spans="1:10" ht="16.5">
      <c r="A17" s="3180" t="s">
        <v>2794</v>
      </c>
      <c r="B17" s="3182"/>
      <c r="C17" s="3182"/>
      <c r="D17" s="3182"/>
      <c r="E17" s="3181" t="e">
        <f t="shared" si="0"/>
        <v>#DIV/0!</v>
      </c>
      <c r="F17" s="3181" t="e">
        <f t="shared" si="1"/>
        <v>#DIV/0!</v>
      </c>
      <c r="G17" s="2751"/>
      <c r="H17" s="2751"/>
      <c r="I17" s="3182"/>
      <c r="J17" s="3185"/>
    </row>
    <row r="18" spans="1:10" ht="16.5">
      <c r="A18" s="3180" t="s">
        <v>2795</v>
      </c>
      <c r="B18" s="3182"/>
      <c r="C18" s="3182"/>
      <c r="D18" s="3182"/>
      <c r="E18" s="3181" t="e">
        <f t="shared" si="0"/>
        <v>#DIV/0!</v>
      </c>
      <c r="F18" s="3181" t="e">
        <f t="shared" si="1"/>
        <v>#DIV/0!</v>
      </c>
      <c r="G18" s="3182"/>
      <c r="H18" s="3182"/>
      <c r="I18" s="3182"/>
      <c r="J18" s="3185"/>
    </row>
    <row r="19" spans="1:10" ht="16.5">
      <c r="A19" s="3180" t="s">
        <v>2796</v>
      </c>
      <c r="B19" s="3182"/>
      <c r="C19" s="3182"/>
      <c r="D19" s="3182"/>
      <c r="E19" s="3181" t="e">
        <f t="shared" si="0"/>
        <v>#DIV/0!</v>
      </c>
      <c r="F19" s="3181" t="e">
        <f t="shared" si="1"/>
        <v>#DIV/0!</v>
      </c>
      <c r="G19" s="3182"/>
      <c r="H19" s="3182"/>
      <c r="I19" s="3182"/>
      <c r="J19" s="3185"/>
    </row>
    <row r="20" spans="1:10" ht="16.5">
      <c r="A20" s="3180" t="s">
        <v>2797</v>
      </c>
      <c r="B20" s="3182"/>
      <c r="C20" s="3182"/>
      <c r="D20" s="3182"/>
      <c r="E20" s="3181" t="e">
        <f t="shared" si="0"/>
        <v>#DIV/0!</v>
      </c>
      <c r="F20" s="3181" t="e">
        <f t="shared" si="1"/>
        <v>#DIV/0!</v>
      </c>
      <c r="G20" s="3182"/>
      <c r="H20" s="3182"/>
      <c r="I20" s="3182"/>
      <c r="J20" s="3185"/>
    </row>
    <row r="21" spans="1:10" ht="16.5">
      <c r="A21" s="3180" t="s">
        <v>2798</v>
      </c>
      <c r="B21" s="3182"/>
      <c r="C21" s="3182"/>
      <c r="D21" s="3182"/>
      <c r="E21" s="3181" t="e">
        <f t="shared" si="0"/>
        <v>#DIV/0!</v>
      </c>
      <c r="F21" s="3181" t="e">
        <f t="shared" si="1"/>
        <v>#DIV/0!</v>
      </c>
      <c r="G21" s="3182"/>
      <c r="H21" s="3182"/>
      <c r="I21" s="3182"/>
      <c r="J21" s="3185"/>
    </row>
    <row r="22" spans="1:10" ht="16.5">
      <c r="A22" s="3180" t="s">
        <v>2799</v>
      </c>
      <c r="B22" s="3182"/>
      <c r="C22" s="3182"/>
      <c r="D22" s="3182"/>
      <c r="E22" s="3181" t="e">
        <f t="shared" si="0"/>
        <v>#DIV/0!</v>
      </c>
      <c r="F22" s="3181" t="e">
        <f t="shared" si="1"/>
        <v>#DIV/0!</v>
      </c>
      <c r="G22" s="3182"/>
      <c r="H22" s="3182"/>
      <c r="I22" s="3182"/>
      <c r="J22" s="3185"/>
    </row>
    <row r="23" spans="1:10" ht="16.5">
      <c r="A23" s="3180" t="s">
        <v>2800</v>
      </c>
      <c r="B23" s="3182"/>
      <c r="C23" s="3182"/>
      <c r="D23" s="3182"/>
      <c r="E23" s="3183" t="e">
        <f t="shared" si="0"/>
        <v>#DIV/0!</v>
      </c>
      <c r="F23" s="3183" t="e">
        <f t="shared" si="1"/>
        <v>#DIV/0!</v>
      </c>
      <c r="G23" s="3182"/>
      <c r="H23" s="3182"/>
      <c r="I23" s="3182"/>
      <c r="J23" s="3185"/>
    </row>
    <row r="24" spans="1:10">
      <c r="A24" s="3185"/>
      <c r="B24" s="3185"/>
      <c r="C24" s="3185"/>
      <c r="D24" s="3185"/>
      <c r="E24" s="3185"/>
      <c r="F24" s="3185"/>
      <c r="G24" s="3185"/>
      <c r="H24" s="3185"/>
      <c r="I24" s="3185"/>
      <c r="J24" s="3185"/>
    </row>
    <row r="25" spans="1:10">
      <c r="A25" s="3185"/>
      <c r="B25" s="3185"/>
      <c r="C25" s="3185"/>
      <c r="D25" s="3185"/>
      <c r="E25" s="3185"/>
      <c r="F25" s="3185"/>
      <c r="G25" s="3185"/>
      <c r="H25" s="3185"/>
      <c r="I25" s="3185"/>
      <c r="J25" s="3185"/>
    </row>
    <row r="26" spans="1:10">
      <c r="A26" s="3185"/>
      <c r="B26" s="3185"/>
      <c r="C26" s="3185"/>
      <c r="D26" s="3185"/>
      <c r="E26" s="3185"/>
      <c r="F26" s="3185"/>
      <c r="G26" s="3185"/>
      <c r="H26" s="3185"/>
      <c r="I26" s="3185"/>
      <c r="J26" s="3185"/>
    </row>
  </sheetData>
  <sheetProtection password="CEE9" sheet="1" objects="1" scenarios="1" formatCells="0" formatColumns="0" formatRows="0"/>
  <phoneticPr fontId="161"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SheetLayoutView="85" zoomScalePageLayoutView="80" workbookViewId="0">
      <selection activeCell="E18" sqref="E18:I18"/>
    </sheetView>
  </sheetViews>
  <sheetFormatPr defaultColWidth="12.625" defaultRowHeight="21.75" customHeight="1"/>
  <cols>
    <col min="1" max="2" width="12.625" style="1204" bestFit="1" customWidth="1"/>
    <col min="3" max="4" width="12.625" style="1204" customWidth="1"/>
    <col min="5" max="9" width="12.625" style="1204" bestFit="1" customWidth="1"/>
    <col min="10" max="10" width="2.125" style="255" customWidth="1"/>
    <col min="11" max="12" width="12.625" style="255" customWidth="1"/>
    <col min="13" max="13" width="12.625" style="255"/>
    <col min="14" max="14" width="15.625" style="255" bestFit="1" customWidth="1"/>
    <col min="15" max="19" width="12.625" style="255" bestFit="1" customWidth="1"/>
    <col min="20" max="26" width="12.625" style="255"/>
    <col min="27" max="16384" width="12.625" style="1204"/>
  </cols>
  <sheetData>
    <row r="1" spans="1:22" ht="21.75" customHeight="1" thickBot="1">
      <c r="A1" s="1690" t="s">
        <v>2002</v>
      </c>
      <c r="B1" s="1691"/>
      <c r="C1" s="1719" t="s">
        <v>2003</v>
      </c>
      <c r="D1" s="1720"/>
      <c r="E1" s="1719" t="s">
        <v>2004</v>
      </c>
      <c r="F1" s="1721"/>
      <c r="G1" s="309"/>
      <c r="H1" s="309"/>
      <c r="I1" s="309"/>
      <c r="J1" s="1911"/>
      <c r="K1" s="1911"/>
      <c r="L1" s="1911"/>
      <c r="M1" s="1911"/>
      <c r="N1" s="1911"/>
      <c r="O1" s="1911"/>
      <c r="P1" s="1911"/>
      <c r="Q1" s="1911"/>
      <c r="R1" s="1911"/>
      <c r="S1" s="1911"/>
      <c r="T1" s="1911"/>
      <c r="U1" s="1911"/>
      <c r="V1" s="1911"/>
    </row>
    <row r="2" spans="1:22" ht="21.75" customHeight="1" thickBot="1">
      <c r="A2" s="3448" t="str">
        <f>项目基本情况!K2</f>
        <v>北京市划拨国有建设用地使用权</v>
      </c>
      <c r="B2" s="3449"/>
      <c r="C2" s="3450"/>
      <c r="D2" s="3450"/>
      <c r="E2" s="3450"/>
      <c r="F2" s="3450"/>
      <c r="G2" s="3449"/>
      <c r="H2" s="3449"/>
      <c r="I2" s="3451"/>
      <c r="J2" s="1912"/>
      <c r="K2" s="1911"/>
      <c r="L2" s="1911"/>
      <c r="M2" s="1911"/>
      <c r="N2" s="1911"/>
      <c r="O2" s="1911"/>
      <c r="P2" s="1911"/>
      <c r="Q2" s="1911"/>
      <c r="R2" s="1911"/>
      <c r="S2" s="1911"/>
      <c r="T2" s="1911"/>
      <c r="U2" s="1911"/>
      <c r="V2" s="1911"/>
    </row>
    <row r="3" spans="1:22" ht="14.25">
      <c r="A3" s="3457" t="s">
        <v>298</v>
      </c>
      <c r="B3" s="3458"/>
      <c r="C3" s="3458"/>
      <c r="D3" s="3458"/>
      <c r="E3" s="3458"/>
      <c r="F3" s="3458"/>
      <c r="G3" s="3458"/>
      <c r="H3" s="3458"/>
      <c r="I3" s="3458"/>
      <c r="J3" s="1912"/>
      <c r="K3" s="1911"/>
      <c r="L3" s="1911"/>
      <c r="M3" s="1911"/>
      <c r="N3" s="1911"/>
      <c r="O3" s="1911"/>
      <c r="P3" s="1911"/>
      <c r="Q3" s="1911"/>
      <c r="R3" s="1911"/>
      <c r="S3" s="1911"/>
      <c r="T3" s="1911"/>
      <c r="U3" s="1911"/>
      <c r="V3" s="1911"/>
    </row>
    <row r="4" spans="1:22" ht="14.25">
      <c r="A4" s="256" t="s">
        <v>299</v>
      </c>
      <c r="B4" s="257" t="s">
        <v>300</v>
      </c>
      <c r="C4" s="258" t="s">
        <v>3127</v>
      </c>
      <c r="D4" s="258" t="s">
        <v>3128</v>
      </c>
      <c r="E4" s="3459" t="s">
        <v>301</v>
      </c>
      <c r="F4" s="3460"/>
      <c r="G4" s="3460"/>
      <c r="H4" s="3460"/>
      <c r="I4" s="3461"/>
      <c r="J4" s="1912"/>
      <c r="K4" s="1911"/>
      <c r="L4" s="3186"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452" t="s">
        <v>302</v>
      </c>
      <c r="B5" s="3443">
        <v>25</v>
      </c>
      <c r="C5" s="3441">
        <v>1</v>
      </c>
      <c r="D5" s="3445">
        <v>1</v>
      </c>
      <c r="E5" s="259" t="s">
        <v>303</v>
      </c>
      <c r="F5" s="260"/>
      <c r="G5" s="260"/>
      <c r="H5" s="260"/>
      <c r="I5" s="261"/>
      <c r="J5" s="1912"/>
      <c r="K5" s="1911"/>
      <c r="L5" s="1911"/>
      <c r="M5" s="1911"/>
      <c r="N5" s="1911"/>
      <c r="O5" s="1911"/>
      <c r="P5" s="1911"/>
      <c r="Q5" s="1911"/>
      <c r="R5" s="1911"/>
      <c r="S5" s="1911"/>
      <c r="T5" s="1911"/>
      <c r="U5" s="1911"/>
      <c r="V5" s="1911"/>
    </row>
    <row r="6" spans="1:22" ht="14.25">
      <c r="A6" s="3452"/>
      <c r="B6" s="3443"/>
      <c r="C6" s="3444"/>
      <c r="D6" s="3445"/>
      <c r="E6" s="259" t="s">
        <v>304</v>
      </c>
      <c r="F6" s="260"/>
      <c r="G6" s="260"/>
      <c r="H6" s="260"/>
      <c r="I6" s="261"/>
      <c r="J6" s="1912"/>
      <c r="K6" s="1911"/>
      <c r="L6" s="1911"/>
      <c r="M6" s="1911"/>
      <c r="N6" s="1911"/>
      <c r="O6" s="1911"/>
      <c r="P6" s="1911"/>
      <c r="Q6" s="1911"/>
      <c r="R6" s="1911"/>
      <c r="S6" s="1911"/>
      <c r="T6" s="1911"/>
      <c r="U6" s="1911"/>
      <c r="V6" s="1911"/>
    </row>
    <row r="7" spans="1:22" ht="14.25">
      <c r="A7" s="3452"/>
      <c r="B7" s="3443"/>
      <c r="C7" s="3442"/>
      <c r="D7" s="3445"/>
      <c r="E7" s="259" t="s">
        <v>305</v>
      </c>
      <c r="F7" s="260"/>
      <c r="G7" s="260"/>
      <c r="H7" s="260"/>
      <c r="I7" s="261"/>
      <c r="J7" s="1912"/>
      <c r="K7" s="1911"/>
      <c r="L7" s="1911"/>
      <c r="M7" s="1911"/>
      <c r="N7" s="1911"/>
      <c r="O7" s="1911"/>
      <c r="P7" s="1911"/>
      <c r="Q7" s="1911"/>
      <c r="R7" s="1911"/>
      <c r="S7" s="1911"/>
      <c r="T7" s="1911"/>
      <c r="U7" s="1911"/>
      <c r="V7" s="1911"/>
    </row>
    <row r="8" spans="1:22" ht="14.25">
      <c r="A8" s="3452" t="s">
        <v>306</v>
      </c>
      <c r="B8" s="3443">
        <v>15</v>
      </c>
      <c r="C8" s="3441"/>
      <c r="D8" s="3445"/>
      <c r="E8" s="259" t="s">
        <v>307</v>
      </c>
      <c r="F8" s="260"/>
      <c r="G8" s="260"/>
      <c r="H8" s="260"/>
      <c r="I8" s="261"/>
      <c r="J8" s="1912"/>
      <c r="K8" s="1911"/>
      <c r="L8" s="1911"/>
      <c r="M8" s="1911"/>
      <c r="N8" s="1911"/>
      <c r="O8" s="1911"/>
      <c r="P8" s="1911"/>
      <c r="Q8" s="1911"/>
      <c r="R8" s="1911"/>
      <c r="S8" s="1911"/>
      <c r="T8" s="1911"/>
      <c r="U8" s="1911"/>
      <c r="V8" s="1911"/>
    </row>
    <row r="9" spans="1:22" ht="14.25">
      <c r="A9" s="3452"/>
      <c r="B9" s="3443"/>
      <c r="C9" s="3442"/>
      <c r="D9" s="3445"/>
      <c r="E9" s="259" t="s">
        <v>308</v>
      </c>
      <c r="F9" s="260"/>
      <c r="G9" s="260"/>
      <c r="H9" s="260"/>
      <c r="I9" s="261"/>
      <c r="J9" s="1912"/>
      <c r="K9" s="1911"/>
      <c r="L9" s="1911"/>
      <c r="M9" s="1911"/>
      <c r="N9" s="1911"/>
      <c r="O9" s="1911"/>
      <c r="P9" s="1911"/>
      <c r="Q9" s="1911"/>
      <c r="R9" s="1911"/>
      <c r="S9" s="1911"/>
      <c r="T9" s="1911"/>
      <c r="U9" s="1911"/>
      <c r="V9" s="1911"/>
    </row>
    <row r="10" spans="1:22" ht="14.25">
      <c r="A10" s="3452" t="s">
        <v>309</v>
      </c>
      <c r="B10" s="3443">
        <v>15</v>
      </c>
      <c r="C10" s="3441"/>
      <c r="D10" s="3445"/>
      <c r="E10" s="259" t="s">
        <v>310</v>
      </c>
      <c r="F10" s="260"/>
      <c r="G10" s="260"/>
      <c r="H10" s="260"/>
      <c r="I10" s="261"/>
      <c r="J10" s="1912"/>
      <c r="K10" s="1911"/>
      <c r="L10" s="1911"/>
      <c r="M10" s="1911"/>
      <c r="N10" s="1911"/>
      <c r="O10" s="1911"/>
      <c r="P10" s="1911"/>
      <c r="Q10" s="1911"/>
      <c r="R10" s="1911"/>
      <c r="S10" s="1911"/>
      <c r="T10" s="1911"/>
      <c r="U10" s="1911"/>
      <c r="V10" s="1911"/>
    </row>
    <row r="11" spans="1:22" ht="14.25">
      <c r="A11" s="3452"/>
      <c r="B11" s="3443"/>
      <c r="C11" s="3442"/>
      <c r="D11" s="3445"/>
      <c r="E11" s="259" t="s">
        <v>311</v>
      </c>
      <c r="F11" s="260"/>
      <c r="G11" s="260"/>
      <c r="H11" s="260"/>
      <c r="I11" s="261"/>
      <c r="J11" s="1912"/>
      <c r="K11" s="1911"/>
      <c r="L11" s="1911"/>
      <c r="M11" s="1911"/>
      <c r="N11" s="1911"/>
      <c r="O11" s="1911"/>
      <c r="P11" s="1911"/>
      <c r="Q11" s="1911"/>
      <c r="R11" s="1911"/>
      <c r="S11" s="1911"/>
      <c r="T11" s="1911"/>
      <c r="U11" s="1911"/>
      <c r="V11" s="1911"/>
    </row>
    <row r="12" spans="1:22" ht="14.25">
      <c r="A12" s="3452" t="s">
        <v>312</v>
      </c>
      <c r="B12" s="3443">
        <v>15</v>
      </c>
      <c r="C12" s="3441"/>
      <c r="D12" s="3445"/>
      <c r="E12" s="259" t="s">
        <v>313</v>
      </c>
      <c r="F12" s="260"/>
      <c r="G12" s="260"/>
      <c r="H12" s="260"/>
      <c r="I12" s="261"/>
      <c r="J12" s="1912"/>
      <c r="K12" s="1911"/>
      <c r="L12" s="1911"/>
      <c r="M12" s="1911"/>
      <c r="N12" s="1911"/>
      <c r="O12" s="1911"/>
      <c r="P12" s="1911"/>
      <c r="Q12" s="1911"/>
      <c r="R12" s="1911"/>
      <c r="S12" s="1911"/>
      <c r="T12" s="1911"/>
      <c r="U12" s="1911"/>
      <c r="V12" s="1911"/>
    </row>
    <row r="13" spans="1:22" ht="14.25">
      <c r="A13" s="3452"/>
      <c r="B13" s="3443"/>
      <c r="C13" s="3442"/>
      <c r="D13" s="3445"/>
      <c r="E13" s="259" t="s">
        <v>314</v>
      </c>
      <c r="F13" s="260"/>
      <c r="G13" s="260"/>
      <c r="H13" s="260"/>
      <c r="I13" s="261"/>
      <c r="J13" s="1912"/>
      <c r="K13" s="1911"/>
      <c r="L13" s="1911"/>
      <c r="M13" s="1911"/>
      <c r="N13" s="1911"/>
      <c r="O13" s="1911"/>
      <c r="P13" s="1911"/>
      <c r="Q13" s="1911"/>
      <c r="R13" s="1911"/>
      <c r="S13" s="1911"/>
      <c r="T13" s="1911"/>
      <c r="U13" s="1911"/>
      <c r="V13" s="1911"/>
    </row>
    <row r="14" spans="1:22" ht="14.25">
      <c r="A14" s="3452" t="s">
        <v>315</v>
      </c>
      <c r="B14" s="3443">
        <v>30</v>
      </c>
      <c r="C14" s="3441"/>
      <c r="D14" s="3445"/>
      <c r="E14" s="259" t="s">
        <v>316</v>
      </c>
      <c r="F14" s="260"/>
      <c r="G14" s="260"/>
      <c r="H14" s="260"/>
      <c r="I14" s="261"/>
      <c r="J14" s="1912"/>
      <c r="K14" s="1911"/>
      <c r="L14" s="1911"/>
      <c r="M14" s="1911"/>
      <c r="N14" s="1911"/>
      <c r="O14" s="1911"/>
      <c r="P14" s="1911"/>
      <c r="Q14" s="1911"/>
      <c r="R14" s="1911"/>
      <c r="S14" s="1911"/>
      <c r="T14" s="1911"/>
      <c r="U14" s="1911"/>
      <c r="V14" s="1911"/>
    </row>
    <row r="15" spans="1:22" ht="14.25">
      <c r="A15" s="3452"/>
      <c r="B15" s="3443"/>
      <c r="C15" s="3444"/>
      <c r="D15" s="3445"/>
      <c r="E15" s="259" t="s">
        <v>317</v>
      </c>
      <c r="F15" s="260"/>
      <c r="G15" s="260"/>
      <c r="H15" s="260"/>
      <c r="I15" s="261"/>
      <c r="J15" s="1912"/>
      <c r="K15" s="1911"/>
      <c r="L15" s="1911"/>
      <c r="M15" s="1911"/>
      <c r="N15" s="1911"/>
      <c r="O15" s="1911"/>
      <c r="P15" s="1911"/>
      <c r="Q15" s="1911"/>
      <c r="R15" s="1911"/>
      <c r="S15" s="1911"/>
      <c r="T15" s="1911"/>
      <c r="U15" s="1911"/>
      <c r="V15" s="1911"/>
    </row>
    <row r="16" spans="1:22" ht="14.25">
      <c r="A16" s="3452"/>
      <c r="B16" s="3443"/>
      <c r="C16" s="3442"/>
      <c r="D16" s="3445"/>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1</v>
      </c>
      <c r="D17" s="263">
        <f>SUM(D5:D16)</f>
        <v>1</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0.5</v>
      </c>
      <c r="D18" s="265">
        <f>1-C18</f>
        <v>0.5</v>
      </c>
      <c r="E18" s="3446" t="s">
        <v>2908</v>
      </c>
      <c r="F18" s="3447"/>
      <c r="G18" s="3447"/>
      <c r="H18" s="3447"/>
      <c r="I18" s="3447"/>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11465</v>
      </c>
      <c r="D19" s="269">
        <f ca="1">SUMIF(INDIRECT("'"&amp;D4&amp;"'"&amp;"!A:A"),结果表!B19,INDIRECT("'"&amp;D4&amp;"'"&amp;"!B:B"))</f>
        <v>988</v>
      </c>
      <c r="E19" s="266" t="s">
        <v>323</v>
      </c>
      <c r="F19" s="267" t="s">
        <v>322</v>
      </c>
      <c r="G19" s="270">
        <f ca="1">ROUND(C19*$C$18+D19*$D$18,0)</f>
        <v>6227</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17514</v>
      </c>
      <c r="D20" s="275">
        <f ca="1">SUMIF(INDIRECT("'"&amp;D4&amp;"'"&amp;"!A:A"),结果表!B20,INDIRECT("'"&amp;D4&amp;"'"&amp;"!B:B"))</f>
        <v>1509</v>
      </c>
      <c r="E20" s="272"/>
      <c r="F20" s="273" t="s">
        <v>325</v>
      </c>
      <c r="G20" s="276">
        <f ca="1">ROUND(C20*$C$18+D20*$D$18,0)</f>
        <v>9512</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5183</v>
      </c>
      <c r="D21" s="149">
        <f ca="1">SUMIF(INDIRECT("'"&amp;D4&amp;"'"&amp;"!A:A"),结果表!B21,INDIRECT("'"&amp;D4&amp;"'"&amp;"!B:B"))</f>
        <v>447</v>
      </c>
      <c r="E21" s="272"/>
      <c r="F21" s="278" t="s">
        <v>327</v>
      </c>
      <c r="G21" s="280">
        <f ca="1">ROUND(C21*$C$18+D21*$D$18,0)</f>
        <v>2815</v>
      </c>
      <c r="H21" s="1205" t="s">
        <v>326</v>
      </c>
      <c r="I21" s="309"/>
      <c r="J21" s="1911"/>
      <c r="K21" s="1911"/>
      <c r="L21" s="1911"/>
      <c r="M21" s="1911"/>
      <c r="N21" s="1911"/>
      <c r="O21" s="1911"/>
      <c r="P21" s="1911"/>
      <c r="Q21" s="1911"/>
      <c r="R21" s="1911"/>
      <c r="S21" s="1911"/>
      <c r="T21" s="1911"/>
      <c r="U21" s="1911"/>
      <c r="V21" s="1911"/>
    </row>
    <row r="22" spans="1:26" ht="15.75" thickBot="1">
      <c r="A22" s="126" t="s">
        <v>328</v>
      </c>
      <c r="B22" s="1206"/>
      <c r="C22" s="1207"/>
      <c r="D22" s="281">
        <f ca="1">IF(C19&lt;D19,D19/C19-1,C19/D19-1)</f>
        <v>10.604251012145749</v>
      </c>
      <c r="E22" s="282"/>
      <c r="F22" s="283"/>
      <c r="G22" s="284">
        <f ca="1">ROUND(G19/('数据-汇总表'!D3/666.67),0)</f>
        <v>188</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87"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93"/>
      <c r="B25" s="1275" t="s">
        <v>331</v>
      </c>
      <c r="C25" s="288">
        <f>IF(B30=0,0,C30)</f>
        <v>0</v>
      </c>
      <c r="D25" s="289"/>
      <c r="E25" s="309"/>
      <c r="F25" s="309"/>
      <c r="G25" s="309"/>
      <c r="H25" s="309"/>
      <c r="I25" s="309"/>
      <c r="J25" s="1911"/>
      <c r="K25" s="1209" t="str">
        <f ca="1">项目基本情况!B16&amp;"国有建设用地使用权价格："&amp;O38&amp;"万元"</f>
        <v>划拨国有建设用地使用权价格：6227万元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str">
        <f ca="1">"大写金额：人民币"&amp;NUMBERSTRING(INT(O38*10000),2)&amp;"元整"</f>
        <v>大写金额：人民币陆仟贰佰贰拾柒万元整</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str">
        <f ca="1">"单位面积地价："&amp;M38&amp;"元/平方米"</f>
        <v>单位面积地价：2815元/平方米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楼面地价：9513元/平方米</v>
      </c>
      <c r="L28" s="1206"/>
      <c r="M28" s="1206"/>
      <c r="N28" s="1206"/>
      <c r="O28" s="1205"/>
      <c r="P28" s="1911"/>
      <c r="V28" s="1911"/>
    </row>
    <row r="29" spans="1:26" ht="18">
      <c r="A29" s="291"/>
      <c r="B29" s="292"/>
      <c r="C29" s="292"/>
      <c r="D29" s="293"/>
      <c r="E29" s="309"/>
      <c r="F29" s="309"/>
      <c r="G29" s="309"/>
      <c r="H29" s="309"/>
      <c r="I29" s="309"/>
      <c r="J29" s="1911"/>
      <c r="K29" s="1212" t="str">
        <f>IF(OR(项目基本情况!E8="抵押价格",项目基本情况!E8="已注销及未注销"),"抵押价格："&amp;O39&amp;"万元","——")</f>
        <v>——</v>
      </c>
      <c r="L29" s="1206"/>
      <c r="M29" s="1206"/>
      <c r="N29" s="1206"/>
      <c r="O29" s="1205"/>
      <c r="P29" s="1911"/>
      <c r="V29" s="1911"/>
    </row>
    <row r="30" spans="1:26" ht="18.75" thickBot="1">
      <c r="A30" s="2794" t="s">
        <v>336</v>
      </c>
      <c r="B30" s="307"/>
      <c r="C30" s="307"/>
      <c r="D30" s="308"/>
      <c r="E30" s="2997" t="s">
        <v>2909</v>
      </c>
      <c r="F30" s="309"/>
      <c r="G30" s="309"/>
      <c r="H30" s="309"/>
      <c r="I30" s="309"/>
      <c r="J30" s="1911"/>
      <c r="K30" s="1212" t="str">
        <f>IF(K29="——","——","大写金额：人民币"&amp;NUMBERSTRING(INT(O39*10000),2)&amp;"元整")</f>
        <v>——</v>
      </c>
      <c r="L30" s="1206"/>
      <c r="M30" s="1206"/>
      <c r="N30" s="1206"/>
      <c r="O30" s="1205"/>
      <c r="P30" s="1911"/>
      <c r="V30" s="1911"/>
    </row>
    <row r="31" spans="1:26" ht="24" customHeight="1" thickBot="1">
      <c r="A31" s="3456" t="s">
        <v>2910</v>
      </c>
      <c r="B31" s="3456"/>
      <c r="C31" s="3456"/>
      <c r="D31" s="3456"/>
      <c r="E31" s="3456"/>
      <c r="F31" s="3456"/>
      <c r="G31" s="3456"/>
      <c r="H31" s="3456"/>
      <c r="I31" s="3456"/>
      <c r="J31" s="1911"/>
      <c r="K31" s="2322" t="str">
        <f ca="1">IF(项目基本情况!E8="抵押价格","——","抵押担保权已注销时的抵押价格："&amp;O40&amp;"万元")</f>
        <v>抵押担保权已注销时的抵押价格：6227万元</v>
      </c>
      <c r="L31" s="2318"/>
      <c r="M31" s="2318"/>
      <c r="N31" s="2318"/>
      <c r="O31" s="2319"/>
      <c r="P31" s="1911"/>
      <c r="V31" s="1911"/>
    </row>
    <row r="32" spans="1:26" ht="19.5" thickTop="1" thickBot="1">
      <c r="A32" s="272" t="s">
        <v>337</v>
      </c>
      <c r="B32" s="2998" t="s">
        <v>1679</v>
      </c>
      <c r="C32" s="264">
        <f ca="1">G19-C24</f>
        <v>6227</v>
      </c>
      <c r="D32" s="2999" t="s">
        <v>1680</v>
      </c>
      <c r="E32" s="309"/>
      <c r="F32" s="309"/>
      <c r="G32" s="309"/>
      <c r="H32" s="309"/>
      <c r="I32" s="309"/>
      <c r="J32" s="1911"/>
      <c r="K32" s="2317" t="str">
        <f ca="1">IF(K31="——","——","大写金额：人民币"&amp;NUMBERSTRING(INT(O40*10000),2)&amp;"元整")</f>
        <v>大写金额：人民币陆仟贰佰贰拾柒万元整</v>
      </c>
      <c r="L32" s="2320"/>
      <c r="M32" s="2320"/>
      <c r="N32" s="2320"/>
      <c r="O32" s="2321"/>
      <c r="P32" s="1911"/>
      <c r="V32" s="1911"/>
    </row>
    <row r="33" spans="1:26" ht="18.75" thickBot="1">
      <c r="A33" s="296" t="s">
        <v>340</v>
      </c>
      <c r="B33" s="1333" t="s">
        <v>1681</v>
      </c>
      <c r="C33" s="262">
        <f ca="1">ROUND(C32*10000/'数据-汇总表'!E3,0)</f>
        <v>9513</v>
      </c>
      <c r="D33" s="1334" t="s">
        <v>1682</v>
      </c>
      <c r="E33" s="3487" t="s">
        <v>338</v>
      </c>
      <c r="F33" s="294" t="s">
        <v>339</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5" t="s">
        <v>1683</v>
      </c>
      <c r="C34" s="262">
        <f ca="1">ROUND(C32*10000/'数据-汇总表'!D3,0)</f>
        <v>2815</v>
      </c>
      <c r="D34" s="1336" t="s">
        <v>1682</v>
      </c>
      <c r="E34" s="3488"/>
      <c r="F34" s="127" t="s">
        <v>341</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7"/>
      <c r="C35" s="1338">
        <f ca="1">ROUND(C32/('数据-汇总表'!D3/666.67),0)</f>
        <v>188</v>
      </c>
      <c r="D35" s="1339" t="s">
        <v>1684</v>
      </c>
      <c r="E35" s="3489"/>
      <c r="F35" s="299" t="s">
        <v>342</v>
      </c>
      <c r="G35" s="970"/>
      <c r="H35" s="969" t="s">
        <v>343</v>
      </c>
      <c r="I35" s="309"/>
      <c r="J35" s="1911"/>
      <c r="K35" s="3438" t="s">
        <v>350</v>
      </c>
      <c r="L35" s="3438" t="s">
        <v>351</v>
      </c>
      <c r="M35" s="1218" t="s">
        <v>352</v>
      </c>
      <c r="N35" s="3438" t="s">
        <v>353</v>
      </c>
      <c r="O35" s="3438" t="s">
        <v>354</v>
      </c>
      <c r="P35" s="1911"/>
      <c r="V35" s="1911"/>
    </row>
    <row r="36" spans="1:26" ht="16.5" customHeight="1">
      <c r="A36" s="301" t="s">
        <v>344</v>
      </c>
      <c r="B36" s="302" t="s">
        <v>333</v>
      </c>
      <c r="C36" s="303" t="s">
        <v>345</v>
      </c>
      <c r="D36" s="303" t="s">
        <v>346</v>
      </c>
      <c r="E36" s="304" t="s">
        <v>347</v>
      </c>
      <c r="F36" s="309"/>
      <c r="G36" s="309"/>
      <c r="H36" s="309"/>
      <c r="I36" s="309"/>
      <c r="J36" s="1913"/>
      <c r="K36" s="3439"/>
      <c r="L36" s="3439"/>
      <c r="M36" s="1220" t="s">
        <v>355</v>
      </c>
      <c r="N36" s="3439"/>
      <c r="O36" s="3439"/>
      <c r="P36" s="1911"/>
      <c r="V36" s="1911"/>
    </row>
    <row r="37" spans="1:26" ht="16.5" customHeight="1" thickBot="1">
      <c r="A37" s="1214" t="s">
        <v>348</v>
      </c>
      <c r="B37" s="305"/>
      <c r="C37" s="292"/>
      <c r="D37" s="292"/>
      <c r="E37" s="293"/>
      <c r="F37" s="309"/>
      <c r="G37" s="309"/>
      <c r="H37" s="309"/>
      <c r="I37" s="309"/>
      <c r="J37" s="1913"/>
      <c r="K37" s="3440"/>
      <c r="L37" s="3440"/>
      <c r="M37" s="1221"/>
      <c r="N37" s="3440"/>
      <c r="O37" s="3440"/>
      <c r="P37" s="1911"/>
      <c r="V37" s="1911"/>
    </row>
    <row r="38" spans="1:26" ht="16.5" customHeight="1" thickBot="1">
      <c r="A38" s="1214" t="s">
        <v>349</v>
      </c>
      <c r="B38" s="305"/>
      <c r="C38" s="292"/>
      <c r="D38" s="292"/>
      <c r="E38" s="293"/>
      <c r="F38" s="309"/>
      <c r="G38" s="309"/>
      <c r="H38" s="309"/>
      <c r="I38" s="309"/>
      <c r="J38" s="1913"/>
      <c r="K38" s="1222">
        <f>'数据-汇总表'!D3</f>
        <v>22121.8</v>
      </c>
      <c r="L38" s="1223">
        <f>'数据-汇总表'!E3</f>
        <v>6546.1</v>
      </c>
      <c r="M38" s="1223">
        <f ca="1">C34</f>
        <v>2815</v>
      </c>
      <c r="N38" s="1223">
        <f ca="1">C33</f>
        <v>9513</v>
      </c>
      <c r="O38" s="1224">
        <f ca="1">C32</f>
        <v>6227</v>
      </c>
      <c r="P38" s="1911"/>
      <c r="V38" s="1911"/>
    </row>
    <row r="39" spans="1:26" ht="16.5" customHeight="1" thickBot="1">
      <c r="A39" s="1219"/>
      <c r="B39" s="306"/>
      <c r="C39" s="307"/>
      <c r="D39" s="307"/>
      <c r="E39" s="308"/>
      <c r="F39" s="309"/>
      <c r="G39" s="309"/>
      <c r="H39" s="309"/>
      <c r="I39" s="309"/>
      <c r="J39" s="1913"/>
      <c r="K39" s="3507" t="str">
        <f>MID(A44,3,LEN(A44)-2)</f>
        <v/>
      </c>
      <c r="L39" s="3508"/>
      <c r="M39" s="3508"/>
      <c r="N39" s="3509"/>
      <c r="O39" s="1341" t="str">
        <f>C44</f>
        <v>——</v>
      </c>
      <c r="P39" s="1911"/>
      <c r="V39" s="1911"/>
    </row>
    <row r="40" spans="1:26" ht="19.5" thickBot="1">
      <c r="A40" s="104" t="s">
        <v>864</v>
      </c>
      <c r="B40" s="309"/>
      <c r="C40" s="309"/>
      <c r="D40" s="309"/>
      <c r="E40" s="309"/>
      <c r="F40" s="309"/>
      <c r="G40" s="309"/>
      <c r="H40" s="309"/>
      <c r="I40" s="309"/>
      <c r="J40" s="1913"/>
      <c r="K40" s="3507" t="str">
        <f>MID(A45,3,LEN(A45)-2)</f>
        <v>抵押担保权已注销时的抵押价格</v>
      </c>
      <c r="L40" s="3508"/>
      <c r="M40" s="3508"/>
      <c r="N40" s="3509"/>
      <c r="O40" s="1341">
        <f ca="1">C45</f>
        <v>6227</v>
      </c>
      <c r="P40" s="1911"/>
      <c r="V40" s="1911"/>
    </row>
    <row r="41" spans="1:26" ht="16.5" thickBot="1">
      <c r="A41" s="310" t="s">
        <v>356</v>
      </c>
      <c r="B41" s="311"/>
      <c r="C41" s="312" t="s">
        <v>357</v>
      </c>
      <c r="D41" s="313" t="s">
        <v>358</v>
      </c>
      <c r="E41" s="313" t="s">
        <v>359</v>
      </c>
      <c r="F41" s="314" t="s">
        <v>360</v>
      </c>
      <c r="G41" s="309"/>
      <c r="H41" s="309"/>
      <c r="I41" s="309"/>
      <c r="J41" s="1913"/>
      <c r="K41" s="3507" t="str">
        <f>MID(A46,3,LEN(A46)-2)</f>
        <v/>
      </c>
      <c r="L41" s="3508"/>
      <c r="M41" s="3508"/>
      <c r="N41" s="3509"/>
      <c r="O41" s="1341" t="str">
        <f>C46</f>
        <v>——</v>
      </c>
      <c r="P41" s="1911"/>
      <c r="V41" s="1911"/>
    </row>
    <row r="42" spans="1:26" ht="29.25">
      <c r="A42" s="3494" t="s">
        <v>2014</v>
      </c>
      <c r="B42" s="3495"/>
      <c r="C42" s="262">
        <f ca="1">C32</f>
        <v>6227</v>
      </c>
      <c r="D42" s="315">
        <f ca="1">C33</f>
        <v>9513</v>
      </c>
      <c r="E42" s="315">
        <f ca="1">C34</f>
        <v>2815</v>
      </c>
      <c r="F42" s="316">
        <f ca="1">C35</f>
        <v>188</v>
      </c>
      <c r="G42" s="309"/>
      <c r="H42" s="309"/>
      <c r="I42" s="317"/>
      <c r="J42" s="1913"/>
      <c r="K42" s="1225" t="s">
        <v>361</v>
      </c>
      <c r="L42" s="1930" t="s">
        <v>362</v>
      </c>
      <c r="M42" s="1226" t="s">
        <v>363</v>
      </c>
      <c r="N42" s="1931" t="s">
        <v>364</v>
      </c>
      <c r="O42" s="1932" t="s">
        <v>365</v>
      </c>
      <c r="P42" s="1911"/>
      <c r="V42" s="1911"/>
    </row>
    <row r="43" spans="1:26" ht="18">
      <c r="A43" s="3473" t="s">
        <v>2663</v>
      </c>
      <c r="B43" s="3474"/>
      <c r="C43" s="262">
        <f>IF(H33="正常操作",G33+G34+G35,G34+G35)</f>
        <v>0</v>
      </c>
      <c r="D43" s="315" t="s">
        <v>43</v>
      </c>
      <c r="E43" s="315" t="s">
        <v>44</v>
      </c>
      <c r="F43" s="316" t="s">
        <v>44</v>
      </c>
      <c r="G43" s="2580" t="s">
        <v>943</v>
      </c>
      <c r="H43" s="309"/>
      <c r="I43" s="317"/>
      <c r="J43" s="1913"/>
      <c r="K43" s="1227" t="str">
        <f>C4</f>
        <v>成本逼近法</v>
      </c>
      <c r="L43" s="1228">
        <f ca="1">IF(L42="估价结果/万元",C19,C20)</f>
        <v>11465</v>
      </c>
      <c r="M43" s="1229">
        <f>C18</f>
        <v>0.5</v>
      </c>
      <c r="N43" s="1230">
        <f ca="1">IF(N42="测算结果/万元",G19,G20)</f>
        <v>6227</v>
      </c>
      <c r="O43" s="1231">
        <f ca="1">IF(O42="最终结果/万元",C32,C33)</f>
        <v>6227</v>
      </c>
      <c r="P43" s="1911"/>
      <c r="V43" s="1911"/>
    </row>
    <row r="44" spans="1:26" ht="18.75" thickBot="1">
      <c r="A44" s="3494" t="str">
        <f>IF(OR(项目基本情况!E8="抵押价格",项目基本情况!E8="已注销及未注销"),"3.抵押价格","——")</f>
        <v>——</v>
      </c>
      <c r="B44" s="3495"/>
      <c r="C44" s="262" t="str">
        <f>IF(A44="——","——",C42-C43)</f>
        <v>——</v>
      </c>
      <c r="D44" s="315" t="e">
        <f>ROUND(C44*10000/'数据-汇总表'!E3,0)</f>
        <v>#VALUE!</v>
      </c>
      <c r="E44" s="315" t="e">
        <f>ROUND(C44*10000/'数据-汇总表'!D3,0)</f>
        <v>#VALUE!</v>
      </c>
      <c r="F44" s="316" t="e">
        <f>ROUND(C44/('数据-汇总表'!D3/666.67),0)</f>
        <v>#VALUE!</v>
      </c>
      <c r="G44" s="309"/>
      <c r="H44" s="309"/>
      <c r="I44" s="317"/>
      <c r="J44" s="1913"/>
      <c r="K44" s="1232" t="str">
        <f>D4</f>
        <v>基准地价</v>
      </c>
      <c r="L44" s="1233">
        <f ca="1">IF(L42="估价结果/万元",D19,D20)</f>
        <v>988</v>
      </c>
      <c r="M44" s="1234">
        <f>D18</f>
        <v>0.5</v>
      </c>
      <c r="N44" s="1235"/>
      <c r="O44" s="1236"/>
      <c r="P44" s="1911"/>
      <c r="V44" s="1911"/>
    </row>
    <row r="45" spans="1:26" ht="15">
      <c r="A45" s="3468" t="str">
        <f>IF(项目基本情况!E8="已注销及未注销","4.抵押担保权已注销时的抵押价格",IF(项目基本情况!E8="已注销","3.抵押担保权已注销时的抵押价格","——"))</f>
        <v>3.抵押担保权已注销时的抵押价格</v>
      </c>
      <c r="B45" s="3469"/>
      <c r="C45" s="1718">
        <f ca="1">IF(A45="——","——",IF(项目基本情况!E8="抵押价格","——",C32-G34-G35))</f>
        <v>6227</v>
      </c>
      <c r="D45" s="315">
        <f ca="1">ROUND(C45*10000/'数据-汇总表'!E3,0)</f>
        <v>9513</v>
      </c>
      <c r="E45" s="315">
        <f ca="1">ROUND(C45*10000/'数据-汇总表'!D3,0)</f>
        <v>2815</v>
      </c>
      <c r="F45" s="316">
        <f ca="1">ROUND(C45/('数据-汇总表'!D3/666.67),0)</f>
        <v>188</v>
      </c>
      <c r="G45" s="309"/>
      <c r="H45" s="309"/>
      <c r="I45" s="317"/>
      <c r="J45" s="1913"/>
      <c r="K45" s="1911"/>
      <c r="L45" s="1911"/>
      <c r="M45" s="1911"/>
      <c r="N45" s="1911"/>
      <c r="O45" s="1911"/>
      <c r="P45" s="1911"/>
      <c r="V45" s="1911"/>
    </row>
    <row r="46" spans="1:26" ht="15.75" thickBot="1">
      <c r="A46" s="3496" t="str">
        <f>IF(项目基本情况!E9="抵押净值",IF(A45="——","4.抵押净值","5.抵押净值"),"——")</f>
        <v>——</v>
      </c>
      <c r="B46" s="3497"/>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478" t="s">
        <v>374</v>
      </c>
      <c r="B63" s="3479"/>
      <c r="C63" s="3480"/>
      <c r="D63" s="339">
        <f ca="1">ROUND(C42*F63,0)</f>
        <v>6227</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70" t="s">
        <v>378</v>
      </c>
      <c r="B64" s="3471"/>
      <c r="C64" s="3471"/>
      <c r="D64" s="3471"/>
      <c r="E64" s="3471"/>
      <c r="F64" s="3471"/>
      <c r="G64" s="3472"/>
      <c r="H64" s="1242"/>
      <c r="I64" s="937"/>
      <c r="J64" s="1902"/>
      <c r="K64" s="1499"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3462" t="s">
        <v>386</v>
      </c>
      <c r="B66" s="3463"/>
      <c r="C66" s="3463"/>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7"/>
      <c r="K66" s="1245">
        <v>1</v>
      </c>
      <c r="L66" s="3513" t="s">
        <v>385</v>
      </c>
      <c r="M66" s="3514"/>
      <c r="N66" s="2312"/>
      <c r="O66" s="2313"/>
      <c r="P66" s="2314"/>
      <c r="Q66" s="1911"/>
      <c r="R66" s="1911"/>
      <c r="S66" s="1911"/>
      <c r="T66" s="1911"/>
      <c r="U66" s="1911"/>
      <c r="V66" s="1911"/>
    </row>
    <row r="67" spans="1:22" ht="25.5" customHeight="1">
      <c r="A67" s="350" t="s">
        <v>389</v>
      </c>
      <c r="B67" s="3454" t="s">
        <v>390</v>
      </c>
      <c r="C67" s="3454"/>
      <c r="D67" s="351">
        <v>0</v>
      </c>
      <c r="E67" s="41" t="s">
        <v>391</v>
      </c>
      <c r="F67" s="62" t="s">
        <v>21</v>
      </c>
      <c r="G67" s="3481"/>
      <c r="H67" s="3000" t="s">
        <v>2911</v>
      </c>
      <c r="I67" s="3002"/>
      <c r="J67" s="1918"/>
      <c r="K67" s="1890">
        <v>2</v>
      </c>
      <c r="L67" s="3510" t="s">
        <v>388</v>
      </c>
      <c r="M67" s="3510"/>
      <c r="N67" s="1279">
        <f>'数据-取费表'!B2</f>
        <v>44097</v>
      </c>
      <c r="O67" s="1279"/>
      <c r="P67" s="1279"/>
      <c r="Q67" s="1911"/>
      <c r="R67" s="1911"/>
      <c r="S67" s="1911"/>
      <c r="T67" s="1911"/>
      <c r="U67" s="1911"/>
      <c r="V67" s="1911"/>
    </row>
    <row r="68" spans="1:22" ht="25.5" customHeight="1">
      <c r="A68" s="352"/>
      <c r="B68" s="3454" t="s">
        <v>393</v>
      </c>
      <c r="C68" s="3454"/>
      <c r="D68" s="353"/>
      <c r="E68" s="77"/>
      <c r="F68" s="354"/>
      <c r="G68" s="3482"/>
      <c r="H68" s="3001" t="s">
        <v>2912</v>
      </c>
      <c r="I68" s="3002"/>
      <c r="J68" s="1918"/>
      <c r="K68" s="1890">
        <v>3</v>
      </c>
      <c r="L68" s="3510" t="s">
        <v>392</v>
      </c>
      <c r="M68" s="3510"/>
      <c r="N68" s="1247">
        <f ca="1">C42</f>
        <v>6227</v>
      </c>
      <c r="O68" s="1247"/>
      <c r="P68" s="1247"/>
      <c r="Q68" s="1911"/>
      <c r="R68" s="1911"/>
      <c r="S68" s="1911"/>
      <c r="T68" s="1911"/>
      <c r="U68" s="1911"/>
      <c r="V68" s="1911"/>
    </row>
    <row r="69" spans="1:22" ht="23.45" customHeight="1">
      <c r="A69" s="355"/>
      <c r="B69" s="3454" t="s">
        <v>394</v>
      </c>
      <c r="C69" s="3454"/>
      <c r="D69" s="356"/>
      <c r="E69" s="73"/>
      <c r="F69" s="354"/>
      <c r="G69" s="3483"/>
      <c r="H69" s="3001" t="s">
        <v>2913</v>
      </c>
      <c r="I69" s="3002"/>
      <c r="J69" s="1918"/>
      <c r="K69" s="1248">
        <v>4</v>
      </c>
      <c r="L69" s="3517" t="s">
        <v>2814</v>
      </c>
      <c r="M69" s="3518"/>
      <c r="N69" s="1249" t="str">
        <f>C44</f>
        <v>——</v>
      </c>
      <c r="O69" s="1249"/>
      <c r="P69" s="1249"/>
      <c r="Q69" s="1911"/>
      <c r="R69" s="1911"/>
      <c r="S69" s="1911"/>
      <c r="T69" s="1911"/>
      <c r="U69" s="1911"/>
      <c r="V69" s="1911"/>
    </row>
    <row r="70" spans="1:22" ht="24" customHeight="1">
      <c r="A70" s="357" t="s">
        <v>395</v>
      </c>
      <c r="B70" s="3454" t="s">
        <v>396</v>
      </c>
      <c r="C70" s="3454"/>
      <c r="D70" s="356">
        <f ca="1">ROUND(D63*'数据-取费表'!B41/(1+'数据-取费表'!C42),0)</f>
        <v>326</v>
      </c>
      <c r="E70" s="17" t="s">
        <v>397</v>
      </c>
      <c r="F70" s="358">
        <f>'数据-取费表'!B41</f>
        <v>5.5000000000000007E-2</v>
      </c>
      <c r="G70" s="359"/>
      <c r="H70" s="309"/>
      <c r="I70" s="1246"/>
      <c r="J70" s="1918"/>
      <c r="K70" s="2759"/>
      <c r="L70" s="2760"/>
      <c r="M70" s="2760"/>
      <c r="N70" s="2761" t="s">
        <v>2818</v>
      </c>
      <c r="O70" s="2760"/>
      <c r="P70" s="2762"/>
      <c r="Q70" s="1911"/>
      <c r="R70" s="1911"/>
      <c r="S70" s="1911"/>
      <c r="T70" s="1911"/>
      <c r="U70" s="1911"/>
      <c r="V70" s="1911"/>
    </row>
    <row r="71" spans="1:22" ht="12" customHeight="1">
      <c r="A71" s="357" t="s">
        <v>403</v>
      </c>
      <c r="B71" s="3453" t="s">
        <v>2942</v>
      </c>
      <c r="C71" s="3492"/>
      <c r="D71" s="356">
        <f ca="1">ROUND(D63*'数据-取费表'!B41/(1+'数据-取费表'!C42),0)</f>
        <v>326</v>
      </c>
      <c r="E71" s="17" t="s">
        <v>397</v>
      </c>
      <c r="F71" s="358">
        <f>'数据-取费表'!B41</f>
        <v>5.5000000000000007E-2</v>
      </c>
      <c r="G71" s="359"/>
      <c r="H71" s="309"/>
      <c r="I71" s="1246"/>
      <c r="J71" s="1918"/>
      <c r="K71" s="2758" t="s">
        <v>398</v>
      </c>
      <c r="L71" s="3519" t="s">
        <v>399</v>
      </c>
      <c r="M71" s="3519"/>
      <c r="N71" s="2758" t="s">
        <v>400</v>
      </c>
      <c r="O71" s="2758" t="s">
        <v>401</v>
      </c>
      <c r="P71" s="2758" t="s">
        <v>402</v>
      </c>
      <c r="Q71" s="1911"/>
      <c r="R71" s="1911"/>
      <c r="S71" s="1911"/>
      <c r="T71" s="1911"/>
      <c r="U71" s="1911"/>
      <c r="V71" s="1911"/>
    </row>
    <row r="72" spans="1:22" ht="12" customHeight="1">
      <c r="A72" s="357" t="s">
        <v>405</v>
      </c>
      <c r="B72" s="3453" t="s">
        <v>2943</v>
      </c>
      <c r="C72" s="3492"/>
      <c r="D72" s="356">
        <f ca="1">C86</f>
        <v>326</v>
      </c>
      <c r="E72" s="73" t="s">
        <v>406</v>
      </c>
      <c r="F72" s="358">
        <f>'数据-取费表'!B41</f>
        <v>5.5000000000000007E-2</v>
      </c>
      <c r="G72" s="359"/>
      <c r="H72" s="1252"/>
      <c r="I72" s="1246"/>
      <c r="J72" s="1918"/>
      <c r="K72" s="1890">
        <v>1</v>
      </c>
      <c r="L72" s="3506" t="s">
        <v>404</v>
      </c>
      <c r="M72" s="3506"/>
      <c r="N72" s="1250" t="b">
        <f>D66</f>
        <v>0</v>
      </c>
      <c r="O72" s="1773" t="str">
        <f>E66</f>
        <v>销售额×税（费）率</v>
      </c>
      <c r="P72" s="1251">
        <f>F66</f>
        <v>5.5000000000000007E-2</v>
      </c>
      <c r="Q72" s="1911"/>
      <c r="R72" s="1911"/>
      <c r="S72" s="1911"/>
      <c r="T72" s="1911"/>
      <c r="U72" s="1911"/>
      <c r="V72" s="1911"/>
    </row>
    <row r="73" spans="1:22" ht="24" customHeight="1">
      <c r="A73" s="3486" t="s">
        <v>408</v>
      </c>
      <c r="B73" s="3463"/>
      <c r="C73" s="3463"/>
      <c r="D73" s="360">
        <f ca="1">IF(H73="个人住宅",0,ROUND(D63*I73,0))</f>
        <v>3</v>
      </c>
      <c r="E73" s="17" t="s">
        <v>409</v>
      </c>
      <c r="F73" s="358" t="str">
        <f>IF(H73="正常",I73,"免征")</f>
        <v>免征</v>
      </c>
      <c r="G73" s="359"/>
      <c r="H73" s="189"/>
      <c r="I73" s="358">
        <f>'数据-取费表'!B49</f>
        <v>5.0000000000000001E-4</v>
      </c>
      <c r="J73" s="1918"/>
      <c r="K73" s="1890">
        <v>2</v>
      </c>
      <c r="L73" s="3506" t="s">
        <v>407</v>
      </c>
      <c r="M73" s="3506"/>
      <c r="N73" s="1250">
        <f t="shared" ref="N73:P74" ca="1" si="0">D73</f>
        <v>3</v>
      </c>
      <c r="O73" s="1773" t="str">
        <f t="shared" si="0"/>
        <v>销售额×税（费）率</v>
      </c>
      <c r="P73" s="1251" t="str">
        <f t="shared" si="0"/>
        <v>免征</v>
      </c>
      <c r="Q73" s="1911"/>
      <c r="R73" s="1911"/>
      <c r="S73" s="1911"/>
      <c r="T73" s="1911"/>
      <c r="U73" s="1911"/>
      <c r="V73" s="1911"/>
    </row>
    <row r="74" spans="1:22" ht="24.75">
      <c r="A74" s="3486" t="s">
        <v>411</v>
      </c>
      <c r="B74" s="3463"/>
      <c r="C74" s="3463"/>
      <c r="D74" s="360">
        <f ca="1">IF(H74="个人住宅",D75,D76)</f>
        <v>3530</v>
      </c>
      <c r="E74" s="17" t="s">
        <v>412</v>
      </c>
      <c r="F74" s="358" t="str">
        <f>IF(H74="正常",F76,"免征")</f>
        <v>免征</v>
      </c>
      <c r="G74" s="971" t="s">
        <v>413</v>
      </c>
      <c r="H74" s="361"/>
      <c r="I74" s="42"/>
      <c r="J74" s="1918"/>
      <c r="K74" s="1890">
        <v>3</v>
      </c>
      <c r="L74" s="3506" t="s">
        <v>410</v>
      </c>
      <c r="M74" s="3506"/>
      <c r="N74" s="1250">
        <f t="shared" ca="1" si="0"/>
        <v>3530</v>
      </c>
      <c r="O74" s="1773" t="str">
        <f t="shared" si="0"/>
        <v>增值额×税（费）率</v>
      </c>
      <c r="P74" s="1253" t="str">
        <f t="shared" si="0"/>
        <v>免征</v>
      </c>
      <c r="Q74" s="1911"/>
      <c r="R74" s="1911"/>
      <c r="S74" s="1911"/>
      <c r="T74" s="1911"/>
      <c r="U74" s="1911"/>
      <c r="V74" s="1911"/>
    </row>
    <row r="75" spans="1:22" ht="12.75">
      <c r="A75" s="357" t="s">
        <v>414</v>
      </c>
      <c r="B75" s="3459" t="s">
        <v>415</v>
      </c>
      <c r="C75" s="3461"/>
      <c r="D75" s="362">
        <v>0</v>
      </c>
      <c r="E75" s="41" t="s">
        <v>416</v>
      </c>
      <c r="F75" s="363"/>
      <c r="G75" s="359"/>
      <c r="H75" s="42"/>
      <c r="I75" s="42"/>
      <c r="J75" s="1918"/>
      <c r="K75" s="2752">
        <f>IF(H77="非个人房产","",4)</f>
        <v>4</v>
      </c>
      <c r="L75" s="3506" t="str">
        <f>IF(H77="非个人房产","——","个人所得税")</f>
        <v>个人所得税</v>
      </c>
      <c r="M75" s="3506"/>
      <c r="N75" s="1254">
        <f>D77</f>
        <v>0</v>
      </c>
      <c r="O75" s="1786" t="str">
        <f>E77</f>
        <v>差额计税</v>
      </c>
      <c r="P75" s="1255">
        <f>F77</f>
        <v>0.01</v>
      </c>
      <c r="Q75" s="1911"/>
      <c r="R75" s="1911"/>
      <c r="S75" s="1911"/>
      <c r="T75" s="1911"/>
      <c r="U75" s="1911"/>
      <c r="V75" s="1911"/>
    </row>
    <row r="76" spans="1:22" ht="24.75">
      <c r="A76" s="357" t="s">
        <v>395</v>
      </c>
      <c r="B76" s="3459" t="s">
        <v>418</v>
      </c>
      <c r="C76" s="3460"/>
      <c r="D76" s="360">
        <f ca="1">IF(H76="转让取得",C99,C115)</f>
        <v>3530</v>
      </c>
      <c r="E76" s="17" t="s">
        <v>419</v>
      </c>
      <c r="F76" s="53" t="s">
        <v>21</v>
      </c>
      <c r="G76" s="359"/>
      <c r="H76" s="361"/>
      <c r="I76" s="42"/>
      <c r="J76" s="1918"/>
      <c r="K76" s="2752" t="str">
        <f>IF(项目基本情况!K6="上海银行",IF(K75="",4,K75+1),"")</f>
        <v/>
      </c>
      <c r="L76" s="3501" t="str">
        <f>IF(项目基本情况!K6="上海银行","其他处置费用","")</f>
        <v/>
      </c>
      <c r="M76" s="3502"/>
      <c r="N76" s="1250" t="str">
        <f>IF(项目基本情况!K6="上海银行",N89,"")</f>
        <v/>
      </c>
      <c r="O76" s="3511" t="str">
        <f>IF(项目基本情况!K6="上海银行","包含处置中涉及的律师、诉讼、拍卖、评估等费用","")</f>
        <v/>
      </c>
      <c r="P76" s="3512"/>
      <c r="Q76" s="1911"/>
      <c r="R76" s="1911"/>
      <c r="S76" s="1911"/>
      <c r="T76" s="1911"/>
      <c r="U76" s="1911"/>
      <c r="V76" s="1911"/>
    </row>
    <row r="77" spans="1:22" ht="24.75" thickBot="1">
      <c r="A77" s="3490" t="s">
        <v>421</v>
      </c>
      <c r="B77" s="3491"/>
      <c r="C77" s="3491"/>
      <c r="D77" s="3005">
        <f>IF(H77="非个人房产","——",IF(H77="个人住宅（满五唯一有凭证）",0,IF(H77="个人其他（无凭证）",ROUND(D63*F77,0),ROUND(C84*F77,0))))</f>
        <v>0</v>
      </c>
      <c r="E77" s="3006" t="str">
        <f>IF(H77="非个人房产","——",IF(H77="个人其他（无凭证）","销售额×税（费）率",IF(H77="个人住宅（满五唯一有凭证）","免征","差额计税")))</f>
        <v>差额计税</v>
      </c>
      <c r="F77" s="3007">
        <f>IF(OR(H77="非个人房产",H77="个人住宅（满五唯一有凭证）"),"——",IF(H77="个人其他（有凭证）",20%,1%))</f>
        <v>0.01</v>
      </c>
      <c r="G77" s="972" t="s">
        <v>413</v>
      </c>
      <c r="H77" s="3004"/>
      <c r="I77" s="3003" t="s">
        <v>2914</v>
      </c>
      <c r="J77" s="1918"/>
      <c r="K77" s="3505">
        <f>IF(AND(K75="",K76=""),4,IF(项目基本情况!K6="上海银行",K76+1,K75+1))</f>
        <v>5</v>
      </c>
      <c r="L77" s="3506" t="s">
        <v>2815</v>
      </c>
      <c r="M77" s="2757" t="s">
        <v>417</v>
      </c>
      <c r="N77" s="1256"/>
      <c r="O77" s="1257">
        <f ca="1">SUMIF(N72:N76,"&lt;9e307")</f>
        <v>3533</v>
      </c>
      <c r="P77" s="1258"/>
      <c r="Q77" s="2755" t="e">
        <f ca="1">O77/N69</f>
        <v>#VALUE!</v>
      </c>
      <c r="R77" s="1911"/>
      <c r="S77" s="1911"/>
      <c r="T77" s="1911"/>
      <c r="U77" s="1911"/>
      <c r="V77" s="1911"/>
    </row>
    <row r="78" spans="1:22" ht="12" customHeight="1">
      <c r="A78" s="1259"/>
      <c r="B78" s="309"/>
      <c r="C78" s="309"/>
      <c r="D78" s="309"/>
      <c r="E78" s="42"/>
      <c r="F78" s="42"/>
      <c r="G78" s="42"/>
      <c r="H78" s="991"/>
      <c r="I78" s="309"/>
      <c r="J78" s="1918"/>
      <c r="K78" s="3505"/>
      <c r="L78" s="3506"/>
      <c r="M78" s="2757" t="s">
        <v>420</v>
      </c>
      <c r="N78" s="1256"/>
      <c r="O78" s="1257" t="str">
        <f ca="1">NUMBERSTRING(INT(O77*10000),2)&amp;"元整"</f>
        <v>叁仟伍佰叁拾叁万元整</v>
      </c>
      <c r="P78" s="1258"/>
      <c r="Q78" s="1911"/>
      <c r="R78" s="1911"/>
      <c r="S78" s="1911"/>
      <c r="T78" s="1911"/>
      <c r="U78" s="1911"/>
      <c r="V78" s="1911"/>
    </row>
    <row r="79" spans="1:22" ht="13.5" thickBot="1">
      <c r="A79" s="3475" t="s">
        <v>422</v>
      </c>
      <c r="B79" s="3475"/>
      <c r="C79" s="3475"/>
      <c r="D79" s="3475"/>
      <c r="E79" s="3475"/>
      <c r="F79" s="42"/>
      <c r="G79" s="42"/>
      <c r="H79" s="991"/>
      <c r="I79" s="309"/>
      <c r="J79" s="1918"/>
      <c r="K79" s="3515">
        <f>K77+1</f>
        <v>6</v>
      </c>
      <c r="L79" s="3506" t="s">
        <v>2816</v>
      </c>
      <c r="M79" s="2757" t="s">
        <v>417</v>
      </c>
      <c r="N79" s="1256"/>
      <c r="O79" s="1257" t="e">
        <f ca="1">N69-O77</f>
        <v>#VALUE!</v>
      </c>
      <c r="P79" s="1258"/>
      <c r="Q79" s="1911"/>
      <c r="R79" s="1911"/>
      <c r="S79" s="1911"/>
      <c r="T79" s="1911"/>
      <c r="U79" s="1911"/>
      <c r="V79" s="1911"/>
    </row>
    <row r="80" spans="1:22" ht="12.75">
      <c r="A80" s="3476" t="s">
        <v>423</v>
      </c>
      <c r="B80" s="3477"/>
      <c r="C80" s="982"/>
      <c r="D80" s="982" t="s">
        <v>424</v>
      </c>
      <c r="E80" s="364" t="s">
        <v>425</v>
      </c>
      <c r="F80" s="42"/>
      <c r="G80" s="42"/>
      <c r="H80" s="991"/>
      <c r="I80" s="309"/>
      <c r="J80" s="1911"/>
      <c r="K80" s="3516"/>
      <c r="L80" s="3506"/>
      <c r="M80" s="2757" t="s">
        <v>420</v>
      </c>
      <c r="N80" s="1256"/>
      <c r="O80" s="1257" t="e">
        <f ca="1">NUMBERSTRING(INT(O79*10000),2)&amp;"元整"</f>
        <v>#VALUE!</v>
      </c>
      <c r="P80" s="1258"/>
      <c r="Q80" s="1911"/>
      <c r="R80" s="1911"/>
      <c r="S80" s="1911"/>
      <c r="T80" s="1911"/>
      <c r="U80" s="1911"/>
      <c r="V80" s="1911"/>
    </row>
    <row r="81" spans="1:26" ht="13.5" thickBot="1">
      <c r="A81" s="375" t="s">
        <v>1775</v>
      </c>
      <c r="B81" s="365" t="s">
        <v>426</v>
      </c>
      <c r="C81" s="366">
        <f ca="1">ROUND((C82+C83)/(1+'数据-取费表'!C42),0)</f>
        <v>5930</v>
      </c>
      <c r="D81" s="367"/>
      <c r="E81" s="368"/>
      <c r="F81" s="42"/>
      <c r="G81" s="42"/>
      <c r="H81" s="991"/>
      <c r="I81" s="309"/>
      <c r="J81" s="1911"/>
      <c r="K81" s="2752">
        <f>K79+1</f>
        <v>7</v>
      </c>
      <c r="L81" s="3503" t="s">
        <v>2817</v>
      </c>
      <c r="M81" s="3504"/>
      <c r="N81" s="1260"/>
      <c r="O81" s="1261" t="e">
        <f ca="1">ROUND(O79*10000/'数据-汇总表'!E3,0)</f>
        <v>#VALUE!</v>
      </c>
      <c r="P81" s="1262"/>
      <c r="Q81" s="1911"/>
      <c r="R81" s="1911"/>
      <c r="S81" s="1911"/>
      <c r="T81" s="1911"/>
      <c r="U81" s="1911"/>
      <c r="V81" s="1911"/>
    </row>
    <row r="82" spans="1:26" ht="13.5" thickTop="1">
      <c r="A82" s="369" t="s">
        <v>1776</v>
      </c>
      <c r="B82" s="370" t="s">
        <v>427</v>
      </c>
      <c r="C82" s="371">
        <f ca="1">D63</f>
        <v>6227</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1777</v>
      </c>
      <c r="B83" s="370" t="s">
        <v>428</v>
      </c>
      <c r="C83" s="374"/>
      <c r="D83" s="372"/>
      <c r="E83" s="373"/>
      <c r="F83" s="42"/>
      <c r="G83" s="42"/>
      <c r="H83" s="991"/>
      <c r="I83" s="309"/>
      <c r="J83" s="1911"/>
      <c r="K83" s="3500" t="s">
        <v>2805</v>
      </c>
      <c r="L83" s="2763" t="s">
        <v>2806</v>
      </c>
      <c r="M83" s="2753" t="e">
        <f>IF(N69&gt;10000,N69*0.5%,IF(AND(N69&gt;1000,N69&lt;=10000),N69*1%,IF(AND(N69&gt;100,N69&lt;=1000),N69*3%,IF(AND(N69&gt;10,N69&lt;=100),N69*5%,N69*8%))))</f>
        <v>#VALUE!</v>
      </c>
      <c r="N83" s="53" t="e">
        <f>ROUND(M83,1)</f>
        <v>#VALUE!</v>
      </c>
      <c r="O83" s="2756"/>
      <c r="P83" s="1911"/>
      <c r="Q83" s="1911"/>
      <c r="R83" s="1911"/>
      <c r="S83" s="1911"/>
      <c r="T83" s="1911"/>
      <c r="U83" s="1911"/>
      <c r="V83" s="1911"/>
    </row>
    <row r="84" spans="1:26" ht="12.75">
      <c r="A84" s="375" t="s">
        <v>1778</v>
      </c>
      <c r="B84" s="376" t="s">
        <v>429</v>
      </c>
      <c r="C84" s="377"/>
      <c r="D84" s="378" t="s">
        <v>19</v>
      </c>
      <c r="E84" s="2781" t="s">
        <v>2855</v>
      </c>
      <c r="F84" s="42"/>
      <c r="G84" s="42"/>
      <c r="H84" s="991"/>
      <c r="I84" s="309"/>
      <c r="J84" s="1911"/>
      <c r="K84" s="3500"/>
      <c r="L84" s="2763" t="s">
        <v>2807</v>
      </c>
      <c r="M84" s="2753" t="e">
        <f>#VALUE!</f>
        <v>#VALUE!</v>
      </c>
      <c r="N84" s="53" t="e">
        <f>ROUND(M84,1)</f>
        <v>#VALUE!</v>
      </c>
      <c r="O84" s="1911" t="s">
        <v>2808</v>
      </c>
      <c r="P84" s="1911"/>
      <c r="Q84" s="1911"/>
      <c r="R84" s="1911"/>
      <c r="S84" s="1911"/>
      <c r="T84" s="1911"/>
      <c r="U84" s="1911"/>
      <c r="V84" s="1911"/>
    </row>
    <row r="85" spans="1:26" ht="12.75">
      <c r="A85" s="375" t="s">
        <v>1779</v>
      </c>
      <c r="B85" s="376" t="s">
        <v>430</v>
      </c>
      <c r="C85" s="379">
        <f ca="1">C81-C84</f>
        <v>5930</v>
      </c>
      <c r="D85" s="372" t="s">
        <v>19</v>
      </c>
      <c r="E85" s="373"/>
      <c r="F85" s="42"/>
      <c r="G85" s="42"/>
      <c r="H85" s="991"/>
      <c r="I85" s="309"/>
      <c r="J85" s="1911"/>
      <c r="K85" s="3500"/>
      <c r="L85" s="2763" t="s">
        <v>2809</v>
      </c>
      <c r="M85" s="2753" t="e">
        <f>IF(N69&gt;1000,N69*0.1%,IF(AND(N69&gt;500,N69&lt;=1000),N69*0.5%,IF(AND(N69&gt;50,N69&lt;=500),N69*1%,IF(AND(N69&gt;1,N69&lt;=50),N69*1.5%))))</f>
        <v>#VALUE!</v>
      </c>
      <c r="N85" s="53" t="e">
        <f>ROUND(M85,1)</f>
        <v>#VALUE!</v>
      </c>
      <c r="O85" s="1911" t="s">
        <v>2808</v>
      </c>
      <c r="P85" s="1911"/>
      <c r="Q85" s="1911"/>
      <c r="R85" s="1911"/>
      <c r="S85" s="1911"/>
      <c r="T85" s="1911"/>
      <c r="U85" s="1911"/>
      <c r="V85" s="1911"/>
    </row>
    <row r="86" spans="1:26" ht="13.5" thickBot="1">
      <c r="A86" s="380" t="s">
        <v>1780</v>
      </c>
      <c r="B86" s="381" t="s">
        <v>431</v>
      </c>
      <c r="C86" s="382">
        <f ca="1">IF(C85&lt;=0,0,ROUND(C85*D86,0))</f>
        <v>326</v>
      </c>
      <c r="D86" s="383">
        <f>'数据-取费表'!B41</f>
        <v>5.5000000000000007E-2</v>
      </c>
      <c r="E86" s="384"/>
      <c r="F86" s="42"/>
      <c r="G86" s="42"/>
      <c r="H86" s="991"/>
      <c r="I86" s="309"/>
      <c r="J86" s="1911"/>
      <c r="K86" s="3500"/>
      <c r="L86" s="2763" t="s">
        <v>2810</v>
      </c>
      <c r="M86" s="2753" t="e">
        <f>N69*0.5%</f>
        <v>#VALUE!</v>
      </c>
      <c r="N86" s="53" t="e">
        <f>IF(M86&gt;0.5,0.5,ROUND(M86,0))</f>
        <v>#VALUE!</v>
      </c>
      <c r="O86" s="1911" t="s">
        <v>2811</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500"/>
      <c r="L87" s="2763" t="s">
        <v>2812</v>
      </c>
      <c r="M87" s="2753" t="e">
        <f>IF(N69&gt;=10000,(8.25+(N69-10000)*0.01%),IF(AND(N69&gt;=8000,N69&lt;10000),(7.85+(N69-8000)*0.02%),IF(AND(N69&gt;=5000,N69&lt;8000),(6.65+(N69-5000)*0.04%),IF(AND(N69&gt;=2000,N69&lt;5000),(4.25+(#REF!-2000)*0.08%),IF(AND(N69&gt;=1000,N69&lt;2000),(2.75+(N69-1000)*0.15%),IF(AND(N69&gt;=100,N69&lt;1000),(0.5+(N69-100)*0.25%),IF(AND(N69&gt;0,N69&lt;100),N69*0.5%)))))))</f>
        <v>#VALUE!</v>
      </c>
      <c r="N87" s="53" t="e">
        <f>ROUND(M87*0.9,1)</f>
        <v>#VALUE!</v>
      </c>
      <c r="O87" s="2756"/>
      <c r="P87" s="1911"/>
      <c r="Q87" s="1911"/>
      <c r="R87" s="1911"/>
      <c r="S87" s="1911"/>
      <c r="T87" s="1911"/>
      <c r="U87" s="1911"/>
      <c r="V87" s="1911"/>
      <c r="W87" s="290"/>
      <c r="X87" s="290"/>
      <c r="Y87" s="290"/>
      <c r="Z87" s="290"/>
    </row>
    <row r="88" spans="1:26" s="1268" customFormat="1" ht="15" thickBot="1">
      <c r="A88" s="3498" t="s">
        <v>432</v>
      </c>
      <c r="B88" s="3499"/>
      <c r="C88" s="3499"/>
      <c r="D88" s="3499"/>
      <c r="E88" s="3499"/>
      <c r="F88" s="3499"/>
      <c r="G88" s="3499"/>
      <c r="H88" s="3499"/>
      <c r="I88" s="1269"/>
      <c r="J88" s="1919"/>
      <c r="K88" s="3500"/>
      <c r="L88" s="2763" t="s">
        <v>2813</v>
      </c>
      <c r="M88" s="2753" t="e">
        <f>IF(N69&gt;10000,N69*0.5%,IF(AND(N69&gt;5000,N69&lt;=10000),N69*1%,IF(AND(N69&gt;1000,N69&lt;=5000),N69*2%,IF(AND(N69&gt;200,N69&lt;=1000),N69*3%,N69*5%))))</f>
        <v>#VALUE!</v>
      </c>
      <c r="N88" s="53" t="e">
        <f>ROUND(M88,1)</f>
        <v>#VALUE!</v>
      </c>
      <c r="O88" s="2756"/>
      <c r="P88" s="1916"/>
      <c r="Q88" s="1916"/>
      <c r="R88" s="1916"/>
      <c r="S88" s="1916"/>
      <c r="T88" s="1916"/>
      <c r="U88" s="1916"/>
      <c r="V88" s="1916"/>
      <c r="W88" s="1920"/>
      <c r="X88" s="1920"/>
      <c r="Y88" s="1920"/>
      <c r="Z88" s="1920"/>
    </row>
    <row r="89" spans="1:26" s="1268" customFormat="1" ht="14.25">
      <c r="A89" s="3476" t="s">
        <v>423</v>
      </c>
      <c r="B89" s="3477"/>
      <c r="C89" s="982"/>
      <c r="D89" s="982" t="s">
        <v>424</v>
      </c>
      <c r="E89" s="385" t="s">
        <v>433</v>
      </c>
      <c r="F89" s="386"/>
      <c r="G89" s="386"/>
      <c r="H89" s="387"/>
      <c r="I89" s="1270"/>
      <c r="J89" s="1921"/>
      <c r="K89" s="3500"/>
      <c r="L89" s="2763" t="s">
        <v>27</v>
      </c>
      <c r="M89" s="2754"/>
      <c r="N89" s="53" t="e">
        <f>ROUND(SUM(N83:N88),0)</f>
        <v>#VALUE!</v>
      </c>
      <c r="O89" s="2764" t="e">
        <f>N89/N69</f>
        <v>#VALUE!</v>
      </c>
      <c r="P89" s="1916"/>
      <c r="Q89" s="1916"/>
      <c r="R89" s="1916"/>
      <c r="S89" s="1916"/>
      <c r="T89" s="1916"/>
      <c r="U89" s="1916"/>
      <c r="V89" s="1916"/>
      <c r="W89" s="1920"/>
      <c r="X89" s="1920"/>
      <c r="Y89" s="1920"/>
      <c r="Z89" s="1920"/>
    </row>
    <row r="90" spans="1:26" s="1268" customFormat="1" ht="14.25">
      <c r="A90" s="375" t="s">
        <v>1775</v>
      </c>
      <c r="B90" s="376" t="s">
        <v>434</v>
      </c>
      <c r="C90" s="379">
        <f ca="1">ROUND(D63/(1+'数据-取费表'!C42),0)</f>
        <v>5930</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1781</v>
      </c>
      <c r="B91" s="346" t="s">
        <v>435</v>
      </c>
      <c r="C91" s="379">
        <f ca="1">C92+C96</f>
        <v>30</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1782</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1783</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1784</v>
      </c>
      <c r="B94" s="394" t="s">
        <v>440</v>
      </c>
      <c r="C94" s="372">
        <f>IF(F93="购房发票",ROUND(C93*H93*5%,0),0)</f>
        <v>0</v>
      </c>
      <c r="D94" s="395">
        <v>0.05</v>
      </c>
      <c r="E94" s="3453" t="s">
        <v>441</v>
      </c>
      <c r="F94" s="3454"/>
      <c r="G94" s="3454"/>
      <c r="H94" s="3455"/>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1785</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1786</v>
      </c>
      <c r="B96" s="370" t="s">
        <v>444</v>
      </c>
      <c r="C96" s="399">
        <f ca="1">ROUND(D63*D96/(1+'数据-取费表'!C42),0)</f>
        <v>30</v>
      </c>
      <c r="D96" s="400">
        <f>'数据-取费表'!B43</f>
        <v>5.000000000000001E-3</v>
      </c>
      <c r="E96" s="3464" t="s">
        <v>2367</v>
      </c>
      <c r="F96" s="3465"/>
      <c r="G96" s="3465"/>
      <c r="H96" s="3466"/>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6" t="s">
        <v>1787</v>
      </c>
      <c r="B97" s="376" t="s">
        <v>445</v>
      </c>
      <c r="C97" s="379">
        <f ca="1">C90-C91</f>
        <v>5900</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6" t="s">
        <v>1788</v>
      </c>
      <c r="B98" s="376" t="s">
        <v>446</v>
      </c>
      <c r="C98" s="401">
        <f ca="1">IF(C97&lt;=0,0,C97/C91)</f>
        <v>196.66666666666666</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7" t="s">
        <v>1789</v>
      </c>
      <c r="B99" s="381" t="s">
        <v>447</v>
      </c>
      <c r="C99" s="402">
        <f ca="1">ROUND(IF(C97&lt;=0,0,IF(C98&gt;=200%,C97*60%-C91*35%,IF(C98&gt;=100%,C97*50%-C91*15%,IF(C98&gt;=50%,C97*40%-C91*5%,IF(C98&lt;50%,C97*30%,0))))),0)</f>
        <v>3530</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498" t="s">
        <v>448</v>
      </c>
      <c r="B101" s="3499"/>
      <c r="C101" s="3499"/>
      <c r="D101" s="3499"/>
      <c r="E101" s="3499"/>
      <c r="F101" s="3499"/>
      <c r="G101" s="3499"/>
      <c r="H101" s="3499"/>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476" t="s">
        <v>423</v>
      </c>
      <c r="B102" s="3477"/>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1775</v>
      </c>
      <c r="B103" s="376" t="s">
        <v>434</v>
      </c>
      <c r="C103" s="379">
        <f ca="1">ROUND(D63/(1+'数据-取费表'!C42),0)</f>
        <v>5930</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1781</v>
      </c>
      <c r="B104" s="346" t="s">
        <v>435</v>
      </c>
      <c r="C104" s="379">
        <f ca="1">IF(H106="仅含出让金",C105+C108+C109+C110+C111+C112,C105+C109+C110+C111+C112)</f>
        <v>30</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1782</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1783</v>
      </c>
      <c r="B106" s="370" t="s">
        <v>450</v>
      </c>
      <c r="C106" s="410"/>
      <c r="D106" s="400"/>
      <c r="E106" s="411" t="s">
        <v>451</v>
      </c>
      <c r="F106" s="974"/>
      <c r="G106" s="412" t="s">
        <v>452</v>
      </c>
      <c r="H106" s="413"/>
      <c r="I106" s="11"/>
      <c r="J106" s="1916"/>
      <c r="K106" s="3234" t="s">
        <v>2935</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1784</v>
      </c>
      <c r="B107" s="370" t="s">
        <v>442</v>
      </c>
      <c r="C107" s="399">
        <f>ROUND(C106*D107,0)</f>
        <v>0</v>
      </c>
      <c r="D107" s="400">
        <f>'数据-取费表'!B48+'数据-取费表'!B49</f>
        <v>3.0499999999999999E-2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1786</v>
      </c>
      <c r="B108" s="370" t="s">
        <v>454</v>
      </c>
      <c r="C108" s="410"/>
      <c r="D108" s="400"/>
      <c r="E108" s="411" t="str">
        <f>IF(H106="-","土地取得成本中已包含该笔费用"," ")</f>
        <v xml:space="preserve"> </v>
      </c>
      <c r="F108" s="974"/>
      <c r="G108" s="3484" t="s">
        <v>2905</v>
      </c>
      <c r="H108" s="3485"/>
      <c r="I108" s="2853"/>
      <c r="J108" s="1916"/>
      <c r="K108" s="3234" t="s">
        <v>2936</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8" t="s">
        <v>1790</v>
      </c>
      <c r="B109" s="370" t="s">
        <v>455</v>
      </c>
      <c r="C109" s="399">
        <f>IF(H109="——",IF(F1="现房",'剩余法-现房'!C18,0),I109)</f>
        <v>0</v>
      </c>
      <c r="D109" s="400"/>
      <c r="E109" s="3467" t="s">
        <v>456</v>
      </c>
      <c r="F109" s="3465"/>
      <c r="G109" s="3465"/>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8" t="s">
        <v>1791</v>
      </c>
      <c r="B110" s="370" t="s">
        <v>457</v>
      </c>
      <c r="C110" s="399">
        <f>ROUND((C105+C108+C109)*D110,0)</f>
        <v>0</v>
      </c>
      <c r="D110" s="3265">
        <v>0</v>
      </c>
      <c r="E110" s="3467" t="s">
        <v>458</v>
      </c>
      <c r="F110" s="3465"/>
      <c r="G110" s="3465"/>
      <c r="H110" s="3466"/>
      <c r="I110" s="11"/>
      <c r="J110" s="1916"/>
      <c r="K110" s="3235" t="s">
        <v>2937</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8" t="s">
        <v>1792</v>
      </c>
      <c r="B111" s="370" t="s">
        <v>444</v>
      </c>
      <c r="C111" s="399">
        <f ca="1">ROUND(D63*D111/(1+'数据-取费表'!C42),0)</f>
        <v>30</v>
      </c>
      <c r="D111" s="400">
        <f>'数据-取费表'!B43</f>
        <v>5.000000000000001E-3</v>
      </c>
      <c r="E111" s="3464" t="s">
        <v>2367</v>
      </c>
      <c r="F111" s="3465"/>
      <c r="G111" s="3465"/>
      <c r="H111" s="3466"/>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8" t="s">
        <v>1793</v>
      </c>
      <c r="B112" s="370" t="s">
        <v>459</v>
      </c>
      <c r="C112" s="399">
        <f>ROUND(C108*D112,0)</f>
        <v>0</v>
      </c>
      <c r="D112" s="400">
        <v>0.2</v>
      </c>
      <c r="E112" s="3467" t="s">
        <v>2390</v>
      </c>
      <c r="F112" s="3465"/>
      <c r="G112" s="3465"/>
      <c r="H112" s="3466"/>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6" t="s">
        <v>1787</v>
      </c>
      <c r="B113" s="376" t="s">
        <v>445</v>
      </c>
      <c r="C113" s="379">
        <f ca="1">ROUND(C103-C104,0)</f>
        <v>5900</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6" t="s">
        <v>1788</v>
      </c>
      <c r="B114" s="376" t="s">
        <v>446</v>
      </c>
      <c r="C114" s="401">
        <f ca="1">IF(C113&lt;=0,0,C113/C104)</f>
        <v>196.66666666666666</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7" t="s">
        <v>1789</v>
      </c>
      <c r="B115" s="381" t="s">
        <v>447</v>
      </c>
      <c r="C115" s="402">
        <f ca="1">ROUND(IF(C113&lt;=0,0,IF(C114&gt;=200%,C113*60%-C104*35%,IF(C114&gt;=100%,C113*50%-C104*15%,IF(C114&gt;=50%,C113*40%-C104*5%,IF(C114&lt;50%,C113*30%,0))))),0)</f>
        <v>3530</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O76:P76"/>
    <mergeCell ref="L66:M66"/>
    <mergeCell ref="K79:K80"/>
    <mergeCell ref="L79:L80"/>
    <mergeCell ref="L68:M68"/>
    <mergeCell ref="L69:M69"/>
    <mergeCell ref="L71:M71"/>
    <mergeCell ref="L72:M72"/>
    <mergeCell ref="L73:M73"/>
    <mergeCell ref="L75:M75"/>
    <mergeCell ref="K39:N39"/>
    <mergeCell ref="K40:N40"/>
    <mergeCell ref="K41:N41"/>
    <mergeCell ref="L67:M67"/>
    <mergeCell ref="L74:M74"/>
    <mergeCell ref="K83:K89"/>
    <mergeCell ref="L76:M76"/>
    <mergeCell ref="L81:M81"/>
    <mergeCell ref="K77:K78"/>
    <mergeCell ref="L77:L78"/>
    <mergeCell ref="E109:G109"/>
    <mergeCell ref="A88:H88"/>
    <mergeCell ref="B69:C69"/>
    <mergeCell ref="E110:H110"/>
    <mergeCell ref="A101:H101"/>
    <mergeCell ref="E96:H96"/>
    <mergeCell ref="A80:B80"/>
    <mergeCell ref="A74:C74"/>
    <mergeCell ref="A14:A16"/>
    <mergeCell ref="A73:C73"/>
    <mergeCell ref="B75:C75"/>
    <mergeCell ref="E33:E35"/>
    <mergeCell ref="A77:C77"/>
    <mergeCell ref="B76:C76"/>
    <mergeCell ref="B70:C70"/>
    <mergeCell ref="B71:C71"/>
    <mergeCell ref="B72:C72"/>
    <mergeCell ref="A24:A25"/>
    <mergeCell ref="A42:B42"/>
    <mergeCell ref="A44:B44"/>
    <mergeCell ref="A46:B46"/>
    <mergeCell ref="B8:B9"/>
    <mergeCell ref="C10:C11"/>
    <mergeCell ref="C8:C9"/>
    <mergeCell ref="E111:H111"/>
    <mergeCell ref="E112:H112"/>
    <mergeCell ref="A45:B45"/>
    <mergeCell ref="A64:G64"/>
    <mergeCell ref="A43:B43"/>
    <mergeCell ref="A79:E79"/>
    <mergeCell ref="A102:B102"/>
    <mergeCell ref="B68:C68"/>
    <mergeCell ref="A89:B89"/>
    <mergeCell ref="A63:C63"/>
    <mergeCell ref="G67:G69"/>
    <mergeCell ref="G108:H108"/>
    <mergeCell ref="A12:A13"/>
    <mergeCell ref="A2:I2"/>
    <mergeCell ref="A5:A7"/>
    <mergeCell ref="B5:B7"/>
    <mergeCell ref="E94:H94"/>
    <mergeCell ref="B67:C67"/>
    <mergeCell ref="A31:I31"/>
    <mergeCell ref="A3:I3"/>
    <mergeCell ref="C5:C7"/>
    <mergeCell ref="D5:D7"/>
    <mergeCell ref="E4:I4"/>
    <mergeCell ref="D10:D11"/>
    <mergeCell ref="A8:A9"/>
    <mergeCell ref="D8:D9"/>
    <mergeCell ref="A10:A11"/>
    <mergeCell ref="B10:B11"/>
    <mergeCell ref="A66:C66"/>
    <mergeCell ref="O35:O37"/>
    <mergeCell ref="C12:C13"/>
    <mergeCell ref="B14:B16"/>
    <mergeCell ref="C14:C16"/>
    <mergeCell ref="D14:D16"/>
    <mergeCell ref="D12:D13"/>
    <mergeCell ref="B12:B13"/>
    <mergeCell ref="N35:N37"/>
    <mergeCell ref="K35:K37"/>
    <mergeCell ref="E18:I18"/>
    <mergeCell ref="L35:L37"/>
  </mergeCells>
  <phoneticPr fontId="7"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13" sqref="C13"/>
    </sheetView>
  </sheetViews>
  <sheetFormatPr defaultColWidth="6.625" defaultRowHeight="12.75"/>
  <cols>
    <col min="1" max="1" width="9.625" style="2006" customWidth="1"/>
    <col min="2" max="2" width="25.62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3"/>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31" s="1924" customFormat="1" ht="18" customHeight="1">
      <c r="A2" s="1983" t="s">
        <v>461</v>
      </c>
      <c r="B2" s="1987">
        <f ca="1">C36</f>
        <v>2653</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f ca="1">ROUND(B2*10000/IF(B1="",'数据-汇总表'!E3,INDIRECT("'数据-取费表'!K"&amp;$K$1)),0)</f>
        <v>4053</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1199</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80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2" t="s">
        <v>1794</v>
      </c>
      <c r="B6" s="2543"/>
      <c r="C6" s="2544">
        <f ca="1">SUM(C10:K10)</f>
        <v>3396</v>
      </c>
      <c r="D6" s="2543"/>
      <c r="E6" s="2543"/>
      <c r="F6" s="2543"/>
      <c r="G6" s="2543"/>
      <c r="H6" s="2543"/>
      <c r="I6" s="2543"/>
      <c r="J6" s="2543"/>
      <c r="K6" s="2545"/>
      <c r="L6" s="3187"/>
      <c r="M6" s="3187"/>
      <c r="N6" s="3187"/>
      <c r="O6" s="3187"/>
      <c r="P6" s="3187"/>
      <c r="Q6" s="3187"/>
      <c r="R6" s="3187"/>
      <c r="S6" s="3187"/>
      <c r="T6" s="3187"/>
      <c r="U6" s="3187"/>
      <c r="V6" s="3187"/>
      <c r="W6" s="3187"/>
      <c r="X6" s="3187"/>
      <c r="Y6" s="3187"/>
      <c r="Z6" s="3187"/>
    </row>
    <row r="7" spans="1:31" s="1995" customFormat="1" ht="15">
      <c r="A7" s="2546" t="s">
        <v>464</v>
      </c>
      <c r="B7" s="2547" t="s">
        <v>465</v>
      </c>
      <c r="C7" s="430" t="s">
        <v>972</v>
      </c>
      <c r="D7" s="430"/>
      <c r="E7" s="430"/>
      <c r="F7" s="430"/>
      <c r="G7" s="430"/>
      <c r="H7" s="430"/>
      <c r="I7" s="430"/>
      <c r="J7" s="430"/>
      <c r="K7" s="431"/>
      <c r="AA7" s="1994"/>
      <c r="AB7" s="1994"/>
      <c r="AC7" s="1994"/>
      <c r="AD7" s="1994"/>
      <c r="AE7" s="1994"/>
    </row>
    <row r="8" spans="1:31" s="1997" customFormat="1" ht="13.5" customHeight="1">
      <c r="A8" s="793" t="s">
        <v>1797</v>
      </c>
      <c r="B8" s="259" t="s">
        <v>466</v>
      </c>
      <c r="C8" s="2548"/>
      <c r="D8" s="2548"/>
      <c r="E8" s="2548"/>
      <c r="F8" s="2548"/>
      <c r="G8" s="2548"/>
      <c r="H8" s="2548"/>
      <c r="I8" s="2548"/>
      <c r="J8" s="2548"/>
      <c r="K8" s="2549"/>
      <c r="AA8" s="1996"/>
      <c r="AB8" s="1996"/>
      <c r="AC8" s="1996"/>
      <c r="AD8" s="1996"/>
      <c r="AE8" s="1996"/>
    </row>
    <row r="9" spans="1:31" s="1997" customFormat="1" ht="13.5" customHeight="1">
      <c r="A9" s="793" t="s">
        <v>1798</v>
      </c>
      <c r="B9" s="259" t="s">
        <v>467</v>
      </c>
      <c r="C9" s="435">
        <f>SUMIF('数据-汇总表'!$C19:$C33,'剩余法-待开发'!C7,'数据-汇总表'!$E19:$E33)</f>
        <v>6546.1</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0" t="s">
        <v>1799</v>
      </c>
      <c r="B10" s="2536" t="s">
        <v>468</v>
      </c>
      <c r="C10" s="2736">
        <f ca="1">不动产收益法!B2</f>
        <v>3396</v>
      </c>
      <c r="D10" s="2736"/>
      <c r="E10" s="2736"/>
      <c r="F10" s="2551"/>
      <c r="G10" s="2551"/>
      <c r="H10" s="2551"/>
      <c r="I10" s="2551"/>
      <c r="J10" s="2551"/>
      <c r="K10" s="2552"/>
      <c r="AA10" s="1996"/>
      <c r="AB10" s="1996"/>
      <c r="AC10" s="1996"/>
      <c r="AD10" s="1996"/>
      <c r="AE10" s="1996"/>
    </row>
    <row r="11" spans="1:31" s="1993" customFormat="1" ht="16.5" customHeight="1">
      <c r="A11" s="2553" t="s">
        <v>1795</v>
      </c>
      <c r="B11" s="2543"/>
      <c r="C11" s="2543"/>
      <c r="D11" s="2543"/>
      <c r="E11" s="2543"/>
      <c r="F11" s="2543"/>
      <c r="G11" s="2543"/>
      <c r="H11" s="2543"/>
      <c r="I11" s="2543"/>
      <c r="J11" s="2543"/>
      <c r="K11" s="2545"/>
      <c r="L11" s="3187"/>
      <c r="M11" s="3187"/>
      <c r="N11" s="3187"/>
      <c r="O11" s="3187"/>
      <c r="P11" s="3187"/>
      <c r="Q11" s="3187"/>
      <c r="R11" s="3187"/>
      <c r="S11" s="3187"/>
      <c r="T11" s="3187"/>
      <c r="U11" s="3187"/>
      <c r="V11" s="3187"/>
      <c r="W11" s="3187"/>
      <c r="X11" s="3187"/>
      <c r="Y11" s="3187"/>
      <c r="Z11" s="3187"/>
    </row>
    <row r="12" spans="1:31" s="1967" customFormat="1" ht="13.5" customHeight="1">
      <c r="A12" s="2554" t="s">
        <v>464</v>
      </c>
      <c r="B12" s="2526" t="s">
        <v>465</v>
      </c>
      <c r="C12" s="2555" t="s">
        <v>469</v>
      </c>
      <c r="D12" s="2522" t="s">
        <v>470</v>
      </c>
      <c r="E12" s="2522" t="s">
        <v>471</v>
      </c>
      <c r="F12" s="2522" t="s">
        <v>472</v>
      </c>
      <c r="G12" s="2526"/>
      <c r="H12" s="2527"/>
      <c r="I12" s="2527"/>
      <c r="J12" s="2527"/>
      <c r="K12" s="2528"/>
      <c r="L12" s="3188"/>
      <c r="M12" s="3188"/>
      <c r="N12" s="3188"/>
      <c r="O12" s="3188"/>
      <c r="P12" s="3188"/>
      <c r="Q12" s="3188"/>
      <c r="R12" s="3188"/>
      <c r="S12" s="3188"/>
      <c r="T12" s="3188"/>
      <c r="U12" s="3188"/>
      <c r="V12" s="3188"/>
      <c r="W12" s="3188"/>
      <c r="X12" s="3188"/>
      <c r="Y12" s="3188"/>
      <c r="Z12" s="3188"/>
    </row>
    <row r="13" spans="1:31" s="1998" customFormat="1" ht="13.5" customHeight="1">
      <c r="A13" s="2556" t="s">
        <v>1800</v>
      </c>
      <c r="B13" s="2557" t="s">
        <v>473</v>
      </c>
      <c r="C13" s="444">
        <f ca="1">IF(B1="",'数据-取费表'!P16,INDIRECT("'数据-取费表'!p"&amp;$K$1)+INDIRECT("'数据-取费表'!t"&amp;$K$1))</f>
        <v>0</v>
      </c>
      <c r="D13" s="2558"/>
      <c r="E13" s="2559"/>
      <c r="F13" s="2560"/>
      <c r="G13" s="2526"/>
      <c r="H13" s="2527"/>
      <c r="I13" s="2527"/>
      <c r="J13" s="2527"/>
      <c r="K13" s="2528"/>
      <c r="L13" s="1999"/>
      <c r="M13" s="1999"/>
      <c r="N13" s="1999"/>
      <c r="O13" s="1999"/>
      <c r="P13" s="1999"/>
      <c r="Q13" s="1999"/>
      <c r="R13" s="1999"/>
      <c r="S13" s="1999"/>
      <c r="T13" s="1999"/>
      <c r="U13" s="1999"/>
      <c r="V13" s="1999"/>
      <c r="W13" s="1999"/>
      <c r="X13" s="1999"/>
      <c r="Y13" s="1999"/>
      <c r="Z13" s="1999"/>
    </row>
    <row r="14" spans="1:31" s="1998" customFormat="1" ht="13.5" customHeight="1">
      <c r="A14" s="2556" t="s">
        <v>1801</v>
      </c>
      <c r="B14" s="2557" t="s">
        <v>474</v>
      </c>
      <c r="C14" s="53">
        <f ca="1">ROUND(C13*F14,0)</f>
        <v>0</v>
      </c>
      <c r="D14" s="2558"/>
      <c r="E14" s="2559"/>
      <c r="F14" s="2561">
        <f>'数据-取费表'!B33</f>
        <v>0.03</v>
      </c>
      <c r="G14" s="2526" t="s">
        <v>475</v>
      </c>
      <c r="H14" s="2527"/>
      <c r="I14" s="2527"/>
      <c r="J14" s="2527"/>
      <c r="K14" s="2528"/>
      <c r="L14" s="1999"/>
      <c r="M14" s="1999"/>
      <c r="N14" s="1999"/>
      <c r="O14" s="1999"/>
      <c r="P14" s="1999"/>
      <c r="Q14" s="1999"/>
      <c r="R14" s="1999"/>
      <c r="S14" s="1999"/>
      <c r="T14" s="1999"/>
      <c r="U14" s="1999"/>
      <c r="V14" s="1999"/>
      <c r="W14" s="1999"/>
      <c r="X14" s="1999"/>
      <c r="Y14" s="1999"/>
      <c r="Z14" s="1999"/>
    </row>
    <row r="15" spans="1:31" s="1998" customFormat="1" ht="13.5" customHeight="1">
      <c r="A15" s="2556" t="s">
        <v>1802</v>
      </c>
      <c r="B15" s="2557" t="s">
        <v>476</v>
      </c>
      <c r="C15" s="53">
        <f ca="1">ROUND(IF(B1="",SUMIF('数据-取费表'!C:C,"住宅",'数据-取费表'!P:P)*F15,IF(INDIRECT("'数据-取费表'!c"&amp;$K$1)="住宅",INDIRECT("'数据-取费表'!P"&amp;$K$1)*F15,0)),0)</f>
        <v>0</v>
      </c>
      <c r="D15" s="2558"/>
      <c r="E15" s="2559"/>
      <c r="F15" s="2561">
        <f>'数据-取费表'!B34</f>
        <v>0</v>
      </c>
      <c r="G15" s="2526" t="s">
        <v>477</v>
      </c>
      <c r="H15" s="2527"/>
      <c r="I15" s="2527"/>
      <c r="J15" s="2527"/>
      <c r="K15" s="2528"/>
      <c r="L15" s="1999"/>
      <c r="M15" s="1999"/>
      <c r="N15" s="1999"/>
      <c r="O15" s="1999"/>
      <c r="P15" s="1999"/>
      <c r="Q15" s="1999"/>
      <c r="R15" s="1999"/>
      <c r="S15" s="1999"/>
      <c r="T15" s="1999"/>
      <c r="U15" s="1999"/>
      <c r="V15" s="1999"/>
      <c r="W15" s="1999"/>
      <c r="X15" s="1999"/>
      <c r="Y15" s="1999"/>
      <c r="Z15" s="1999"/>
    </row>
    <row r="16" spans="1:31" s="1999" customFormat="1" ht="13.5" customHeight="1">
      <c r="A16" s="2556" t="s">
        <v>1803</v>
      </c>
      <c r="B16" s="2557" t="s">
        <v>478</v>
      </c>
      <c r="C16" s="53">
        <f ca="1">ROUND(D16*E16/10000,0)</f>
        <v>118</v>
      </c>
      <c r="D16" s="2558">
        <f ca="1">IF(B1="",'数据-汇总表'!E3,INDIRECT("'数据-取费表'!K"&amp;$K$1)+INDIRECT("'数据-取费表'!S"&amp;$K$1))</f>
        <v>6546.1</v>
      </c>
      <c r="E16" s="53">
        <f>'数据-取费表'!B35</f>
        <v>180</v>
      </c>
      <c r="F16" s="2561"/>
      <c r="G16" s="2526"/>
      <c r="H16" s="2527"/>
      <c r="I16" s="2527"/>
      <c r="J16" s="2527"/>
      <c r="K16" s="2528"/>
      <c r="AA16" s="1998"/>
      <c r="AB16" s="1998"/>
      <c r="AC16" s="1998"/>
      <c r="AD16" s="1998"/>
      <c r="AE16" s="1998"/>
    </row>
    <row r="17" spans="1:26" s="1998" customFormat="1" ht="13.5" customHeight="1">
      <c r="A17" s="2556" t="s">
        <v>1804</v>
      </c>
      <c r="B17" s="2557" t="s">
        <v>479</v>
      </c>
      <c r="C17" s="2562">
        <f ca="1">ROUND(C13*F17,0)</f>
        <v>0</v>
      </c>
      <c r="D17" s="469"/>
      <c r="E17" s="2562"/>
      <c r="F17" s="2563">
        <f>'数据-取费表'!B36</f>
        <v>1.4999999999999999E-2</v>
      </c>
      <c r="G17" s="259" t="s">
        <v>480</v>
      </c>
      <c r="H17" s="2529"/>
      <c r="I17" s="2529"/>
      <c r="J17" s="2529"/>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4" t="s">
        <v>1805</v>
      </c>
      <c r="B18" s="2565" t="s">
        <v>481</v>
      </c>
      <c r="C18" s="2566">
        <f ca="1">SUM(C13:C17)</f>
        <v>118</v>
      </c>
      <c r="D18" s="2567"/>
      <c r="E18" s="462"/>
      <c r="F18" s="462"/>
      <c r="G18" s="2530" t="s">
        <v>2368</v>
      </c>
      <c r="H18" s="2531"/>
      <c r="I18" s="2531"/>
      <c r="J18" s="2531"/>
      <c r="K18" s="2532"/>
      <c r="L18" s="1999"/>
      <c r="M18" s="1999"/>
      <c r="N18" s="1999"/>
      <c r="O18" s="1999"/>
      <c r="P18" s="1999"/>
      <c r="Q18" s="1999"/>
      <c r="R18" s="1999"/>
      <c r="S18" s="1999"/>
      <c r="T18" s="1999"/>
      <c r="U18" s="1999"/>
      <c r="V18" s="1999"/>
      <c r="W18" s="1999"/>
      <c r="X18" s="1999"/>
      <c r="Y18" s="1999"/>
      <c r="Z18" s="1999"/>
    </row>
    <row r="19" spans="1:26" s="1998" customFormat="1" ht="13.5" customHeight="1">
      <c r="A19" s="2564" t="s">
        <v>1806</v>
      </c>
      <c r="B19" s="2565" t="s">
        <v>482</v>
      </c>
      <c r="C19" s="2522">
        <f ca="1">ROUND(D19*E19/10000,0)</f>
        <v>164</v>
      </c>
      <c r="D19" s="2568">
        <f ca="1">D16</f>
        <v>6546.1</v>
      </c>
      <c r="E19" s="2522">
        <f>'数据-取费表'!B32</f>
        <v>250</v>
      </c>
      <c r="F19" s="462"/>
      <c r="G19" s="2526" t="s">
        <v>483</v>
      </c>
      <c r="H19" s="2527"/>
      <c r="I19" s="2531"/>
      <c r="J19" s="2531"/>
      <c r="K19" s="2532"/>
      <c r="L19" s="1999"/>
      <c r="M19" s="1999"/>
      <c r="N19" s="1999"/>
      <c r="O19" s="1999"/>
      <c r="P19" s="1999"/>
      <c r="Q19" s="1999"/>
      <c r="R19" s="1999"/>
      <c r="S19" s="1999"/>
      <c r="T19" s="1999"/>
      <c r="U19" s="1999"/>
      <c r="V19" s="1999"/>
      <c r="W19" s="1999"/>
      <c r="X19" s="1999"/>
      <c r="Y19" s="1999"/>
      <c r="Z19" s="1999"/>
    </row>
    <row r="20" spans="1:26" s="1998" customFormat="1" ht="13.5" customHeight="1">
      <c r="A20" s="2564" t="s">
        <v>1807</v>
      </c>
      <c r="B20" s="2565" t="s">
        <v>484</v>
      </c>
      <c r="C20" s="2522">
        <f ca="1">C21+C22-IF(B1="",'数据-取费表'!B29,IF(G20="已全部缴纳",C21+C22,H20))</f>
        <v>-212</v>
      </c>
      <c r="D20" s="2568"/>
      <c r="E20" s="2522"/>
      <c r="F20" s="2569"/>
      <c r="G20" s="2770" t="s">
        <v>3275</v>
      </c>
      <c r="H20" s="2524"/>
      <c r="I20" s="2525" t="s">
        <v>2584</v>
      </c>
      <c r="J20" s="2531"/>
      <c r="K20" s="2532"/>
      <c r="L20" s="1999"/>
      <c r="M20" s="1999"/>
      <c r="N20" s="1999"/>
      <c r="O20" s="1999"/>
      <c r="P20" s="1999"/>
      <c r="Q20" s="1999"/>
      <c r="R20" s="1999"/>
      <c r="S20" s="1999"/>
      <c r="T20" s="1999"/>
      <c r="U20" s="1999"/>
      <c r="V20" s="1999"/>
      <c r="W20" s="1999"/>
      <c r="X20" s="1999"/>
      <c r="Y20" s="1999"/>
      <c r="Z20" s="1999"/>
    </row>
    <row r="21" spans="1:26" s="1998" customFormat="1" ht="13.5" customHeight="1">
      <c r="A21" s="2556" t="s">
        <v>1808</v>
      </c>
      <c r="B21" s="2557" t="s">
        <v>485</v>
      </c>
      <c r="C21" s="53">
        <f ca="1">ROUND(D21*E21/10000,0)</f>
        <v>0</v>
      </c>
      <c r="D21" s="2558">
        <f ca="1">IF(B1="",'数据-汇总表'!E5,IF(INDIRECT("'数据-取费表'!c"&amp;$K$1)="住宅",INDIRECT("'数据-取费表'!k"&amp;$K$1),0))</f>
        <v>0</v>
      </c>
      <c r="E21" s="53">
        <f>'数据-取费表'!B27</f>
        <v>0</v>
      </c>
      <c r="F21" s="2561"/>
      <c r="G21" s="26"/>
      <c r="H21" s="51"/>
      <c r="I21" s="51"/>
      <c r="J21" s="51"/>
      <c r="K21" s="2533"/>
      <c r="L21" s="1999"/>
      <c r="M21" s="1999"/>
      <c r="N21" s="1999"/>
      <c r="O21" s="1999"/>
      <c r="P21" s="1999"/>
      <c r="Q21" s="1999"/>
      <c r="R21" s="1999"/>
      <c r="S21" s="1999"/>
      <c r="T21" s="1999"/>
      <c r="U21" s="1999"/>
      <c r="V21" s="1999"/>
      <c r="W21" s="1999"/>
      <c r="X21" s="1999"/>
      <c r="Y21" s="1999"/>
      <c r="Z21" s="1999"/>
    </row>
    <row r="22" spans="1:26" s="1998" customFormat="1" ht="13.5" customHeight="1">
      <c r="A22" s="2556" t="s">
        <v>1809</v>
      </c>
      <c r="B22" s="2557" t="s">
        <v>486</v>
      </c>
      <c r="C22" s="53">
        <f ca="1">ROUND(D22*E22/10000,0)</f>
        <v>131</v>
      </c>
      <c r="D22" s="2558">
        <f ca="1">IF(B1="",'数据-汇总表'!E6,IF(INDIRECT("'数据-取费表'!c"&amp;$K$1)="住宅",INDIRECT("'数据-取费表'!s"&amp;$K$1),INDIRECT("'数据-取费表'!k"&amp;$K$1)+INDIRECT("'数据-取费表'!s"&amp;$K$1)))</f>
        <v>6546.1</v>
      </c>
      <c r="E22" s="53">
        <f>'数据-取费表'!B28</f>
        <v>200</v>
      </c>
      <c r="F22" s="2561"/>
      <c r="G22" s="26"/>
      <c r="H22" s="51"/>
      <c r="I22" s="51"/>
      <c r="J22" s="51"/>
      <c r="K22" s="2533"/>
      <c r="L22" s="1999"/>
      <c r="M22" s="1999"/>
      <c r="N22" s="1999"/>
      <c r="O22" s="1999"/>
      <c r="P22" s="1999"/>
      <c r="Q22" s="1999"/>
      <c r="R22" s="1999"/>
      <c r="S22" s="1999"/>
      <c r="T22" s="1999"/>
      <c r="U22" s="1999"/>
      <c r="V22" s="1999"/>
      <c r="W22" s="1999"/>
      <c r="X22" s="1999"/>
      <c r="Y22" s="1999"/>
      <c r="Z22" s="1999"/>
    </row>
    <row r="23" spans="1:26" s="1998" customFormat="1" ht="13.5" customHeight="1">
      <c r="A23" s="2564" t="s">
        <v>1810</v>
      </c>
      <c r="B23" s="2742" t="s">
        <v>2765</v>
      </c>
      <c r="C23" s="2566">
        <f ca="1">ROUND((C18+C19+C20)*F23,0)</f>
        <v>1</v>
      </c>
      <c r="D23" s="462"/>
      <c r="E23" s="462"/>
      <c r="F23" s="2570">
        <f>'数据-取费表'!B37</f>
        <v>0.02</v>
      </c>
      <c r="G23" s="2526" t="s">
        <v>2369</v>
      </c>
      <c r="H23" s="2527"/>
      <c r="I23" s="2527"/>
      <c r="J23" s="2527"/>
      <c r="K23" s="2528"/>
      <c r="L23" s="3189"/>
      <c r="M23" s="3189"/>
      <c r="N23" s="3189"/>
      <c r="O23" s="1999"/>
      <c r="P23" s="1999"/>
      <c r="Q23" s="1999"/>
      <c r="R23" s="1999"/>
      <c r="S23" s="1999"/>
      <c r="T23" s="1999"/>
      <c r="U23" s="1999"/>
      <c r="V23" s="1999"/>
      <c r="W23" s="1999"/>
      <c r="X23" s="1999"/>
      <c r="Y23" s="1999"/>
      <c r="Z23" s="1999"/>
    </row>
    <row r="24" spans="1:26" s="1998" customFormat="1" ht="13.5" customHeight="1">
      <c r="A24" s="2564" t="s">
        <v>1811</v>
      </c>
      <c r="B24" s="2742" t="s">
        <v>2768</v>
      </c>
      <c r="C24" s="2566">
        <f ca="1">ROUND(C6*F24,0)</f>
        <v>68</v>
      </c>
      <c r="D24" s="469"/>
      <c r="E24" s="467"/>
      <c r="F24" s="2570">
        <f>'数据-取费表'!B38</f>
        <v>0.02</v>
      </c>
      <c r="G24" s="2535" t="s">
        <v>493</v>
      </c>
      <c r="H24" s="2529"/>
      <c r="I24" s="2529"/>
      <c r="J24" s="2529"/>
      <c r="K24" s="277"/>
      <c r="L24" s="3189"/>
      <c r="M24" s="3189"/>
      <c r="N24" s="3189"/>
      <c r="O24" s="1999"/>
      <c r="P24" s="1999"/>
      <c r="Q24" s="1999"/>
      <c r="R24" s="1999"/>
      <c r="S24" s="1999"/>
      <c r="T24" s="1999"/>
      <c r="U24" s="1999"/>
      <c r="V24" s="1999"/>
      <c r="W24" s="1999"/>
      <c r="X24" s="1999"/>
      <c r="Y24" s="1999"/>
      <c r="Z24" s="1999"/>
    </row>
    <row r="25" spans="1:26" s="2001" customFormat="1" ht="13.5" customHeight="1">
      <c r="A25" s="2564" t="s">
        <v>1812</v>
      </c>
      <c r="B25" s="2742" t="s">
        <v>2766</v>
      </c>
      <c r="C25" s="3266">
        <f>F25</f>
        <v>3.0499999999999999E-2</v>
      </c>
      <c r="D25" s="456" t="s">
        <v>2760</v>
      </c>
      <c r="E25" s="463"/>
      <c r="F25" s="2570">
        <f>'数据-取费表'!B48+'数据-取费表'!B49</f>
        <v>3.0499999999999999E-2</v>
      </c>
      <c r="G25" s="2534" t="s">
        <v>2235</v>
      </c>
      <c r="H25" s="2527"/>
      <c r="I25" s="2527"/>
      <c r="J25" s="2527"/>
      <c r="K25" s="2528"/>
      <c r="L25" s="3190"/>
      <c r="M25" s="3190"/>
      <c r="N25" s="3190"/>
      <c r="O25" s="3190"/>
      <c r="P25" s="3190"/>
      <c r="Q25" s="3190"/>
      <c r="R25" s="3190"/>
      <c r="S25" s="3190"/>
      <c r="T25" s="3190"/>
      <c r="U25" s="3190"/>
      <c r="V25" s="3190"/>
      <c r="W25" s="3190"/>
      <c r="X25" s="3190"/>
      <c r="Y25" s="3190"/>
      <c r="Z25" s="3190"/>
    </row>
    <row r="26" spans="1:26" s="2000" customFormat="1" ht="13.5" customHeight="1">
      <c r="A26" s="2564" t="s">
        <v>1813</v>
      </c>
      <c r="B26" s="2743" t="s">
        <v>2767</v>
      </c>
      <c r="C26" s="2571">
        <f ca="1">C28</f>
        <v>0</v>
      </c>
      <c r="D26" s="461">
        <f ca="1">C27</f>
        <v>0</v>
      </c>
      <c r="E26" s="463" t="s">
        <v>489</v>
      </c>
      <c r="F26" s="465">
        <f ca="1">'数据-取费表'!B40</f>
        <v>4.7500000000000001E-2</v>
      </c>
      <c r="G26" s="2421" t="str">
        <f>IF('数据-取费表'!B22&lt;=1,"单利计息。","复利计息。")&amp;"后续开发成本、管理费用及销售费用产生的利息。"</f>
        <v>复利计息。后续开发成本、管理费用及销售费用产生的利息。</v>
      </c>
      <c r="H26" s="2531"/>
      <c r="I26" s="2531"/>
      <c r="J26" s="2531"/>
      <c r="K26" s="2532"/>
      <c r="L26" s="3189"/>
      <c r="M26" s="3189"/>
      <c r="N26" s="3189"/>
      <c r="O26" s="3189"/>
      <c r="P26" s="3189"/>
      <c r="Q26" s="3189"/>
      <c r="R26" s="3189"/>
      <c r="S26" s="3189"/>
      <c r="T26" s="3189"/>
      <c r="U26" s="3189"/>
      <c r="V26" s="3189"/>
      <c r="W26" s="3189"/>
      <c r="X26" s="3189"/>
      <c r="Y26" s="3189"/>
      <c r="Z26" s="3189"/>
    </row>
    <row r="27" spans="1:26" s="2002" customFormat="1" ht="13.5" customHeight="1">
      <c r="A27" s="793" t="s">
        <v>1808</v>
      </c>
      <c r="B27" s="2572" t="s">
        <v>490</v>
      </c>
      <c r="C27" s="2573">
        <f ca="1">ROUND(IF('数据-取费表'!B22&lt;=1,(1+C25)*F26*'数据-取费表'!B24,(1+C25)*(POWER((1+F26),'数据-取费表'!B24)-1)),4)</f>
        <v>0</v>
      </c>
      <c r="D27" s="466"/>
      <c r="E27" s="467"/>
      <c r="F27" s="468"/>
      <c r="G27" s="2421" t="str">
        <f>IF('数据-取费表'!B22&lt;=1,"（1+取得税费率/(1+5%)）×年利率×建设期","（1+取得税费率）/(1+5%)×((1+年利率)^建设期-1)")</f>
        <v>（1+取得税费率）/(1+5%)×((1+年利率)^建设期-1)</v>
      </c>
      <c r="H27" s="2529"/>
      <c r="I27" s="2529"/>
      <c r="J27" s="2529"/>
      <c r="K27" s="277"/>
      <c r="L27" s="3191"/>
      <c r="M27" s="3191"/>
      <c r="N27" s="3191"/>
      <c r="O27" s="3191"/>
      <c r="P27" s="3191"/>
      <c r="Q27" s="3191"/>
      <c r="R27" s="3191"/>
      <c r="S27" s="3191"/>
      <c r="T27" s="3191"/>
      <c r="U27" s="3191"/>
      <c r="V27" s="3191"/>
      <c r="W27" s="3191"/>
      <c r="X27" s="3191"/>
      <c r="Y27" s="3191"/>
      <c r="Z27" s="3191"/>
    </row>
    <row r="28" spans="1:26" s="2002" customFormat="1" ht="13.5" customHeight="1">
      <c r="A28" s="793" t="s">
        <v>1809</v>
      </c>
      <c r="B28" s="2572" t="s">
        <v>2769</v>
      </c>
      <c r="C28" s="2574">
        <f ca="1">ROUND(IF('数据-取费表'!B22&lt;=1,(C18+C19+C20+C23+C24)*F26*'数据-取费表'!B24/2,(C18+C19+C20+C23+C24)*(POWER((1+F26),'数据-取费表'!B24/2)-1)),0)</f>
        <v>0</v>
      </c>
      <c r="D28" s="466"/>
      <c r="E28" s="467"/>
      <c r="F28" s="468"/>
      <c r="G28" s="2421" t="str">
        <f>IF('数据-取费表'!B22&lt;=1,"（1）-（4）项×年利率×建设期÷2","（1）-（4）项×((1+年利率)^(建设期÷2)-1)")</f>
        <v>（1）-（4）项×((1+年利率)^(建设期÷2)-1)</v>
      </c>
      <c r="H28" s="2529"/>
      <c r="I28" s="2529"/>
      <c r="J28" s="2529"/>
      <c r="K28" s="277"/>
      <c r="L28" s="3191"/>
      <c r="M28" s="3191"/>
      <c r="N28" s="3191"/>
      <c r="O28" s="3191"/>
      <c r="P28" s="3191"/>
      <c r="Q28" s="3191"/>
      <c r="R28" s="3191"/>
      <c r="S28" s="3191"/>
      <c r="T28" s="3191"/>
      <c r="U28" s="3191"/>
      <c r="V28" s="3191"/>
      <c r="W28" s="3191"/>
      <c r="X28" s="3191"/>
      <c r="Y28" s="3191"/>
      <c r="Z28" s="3191"/>
    </row>
    <row r="29" spans="1:26" s="2002" customFormat="1" ht="13.5" customHeight="1">
      <c r="A29" s="2575" t="s">
        <v>1814</v>
      </c>
      <c r="B29" s="2565" t="s">
        <v>491</v>
      </c>
      <c r="C29" s="2566">
        <f ca="1">ROUND(C6*F29/(1+'数据-取费表'!C42),0)</f>
        <v>178</v>
      </c>
      <c r="D29" s="462"/>
      <c r="E29" s="462"/>
      <c r="F29" s="2744">
        <f>'数据-取费表'!B41</f>
        <v>5.5000000000000007E-2</v>
      </c>
      <c r="G29" s="2535" t="s">
        <v>492</v>
      </c>
      <c r="H29" s="2527"/>
      <c r="I29" s="2527"/>
      <c r="J29" s="2527"/>
      <c r="K29" s="2528"/>
      <c r="L29" s="3191"/>
      <c r="M29" s="3191"/>
      <c r="N29" s="3191"/>
      <c r="O29" s="3191"/>
      <c r="P29" s="3191"/>
      <c r="Q29" s="3191"/>
      <c r="R29" s="3191"/>
      <c r="S29" s="3191"/>
      <c r="T29" s="3191"/>
      <c r="U29" s="3191"/>
      <c r="V29" s="3191"/>
      <c r="W29" s="3191"/>
      <c r="X29" s="3191"/>
      <c r="Y29" s="3191"/>
      <c r="Z29" s="3191"/>
    </row>
    <row r="30" spans="1:26" s="2003" customFormat="1" ht="13.5" customHeight="1">
      <c r="A30" s="1564" t="s">
        <v>1815</v>
      </c>
      <c r="B30" s="2576" t="s">
        <v>494</v>
      </c>
      <c r="C30" s="2571">
        <f ca="1">C31</f>
        <v>317</v>
      </c>
      <c r="D30" s="471">
        <f ca="1">C32</f>
        <v>3.0499999999999999E-2</v>
      </c>
      <c r="E30" s="463" t="s">
        <v>489</v>
      </c>
      <c r="F30" s="465"/>
      <c r="G30" s="2534" t="s">
        <v>2882</v>
      </c>
      <c r="H30" s="2527"/>
      <c r="I30" s="2527"/>
      <c r="J30" s="2527"/>
      <c r="K30" s="2528"/>
      <c r="L30" s="3192"/>
      <c r="M30" s="3192"/>
      <c r="N30" s="3192"/>
      <c r="O30" s="3192"/>
      <c r="P30" s="3192"/>
      <c r="Q30" s="3192"/>
      <c r="R30" s="3192"/>
      <c r="S30" s="3192"/>
      <c r="T30" s="3192"/>
      <c r="U30" s="3192"/>
      <c r="V30" s="3192"/>
      <c r="W30" s="3192"/>
      <c r="X30" s="3192"/>
      <c r="Y30" s="3192"/>
      <c r="Z30" s="3192"/>
    </row>
    <row r="31" spans="1:26" s="2002" customFormat="1" ht="13.5" customHeight="1">
      <c r="A31" s="793" t="s">
        <v>1808</v>
      </c>
      <c r="B31" s="2572"/>
      <c r="C31" s="444">
        <f ca="1">C18+C19+C20+C23+C24+C26+C29</f>
        <v>317</v>
      </c>
      <c r="D31" s="466"/>
      <c r="E31" s="467"/>
      <c r="F31" s="468"/>
      <c r="G31" s="259"/>
      <c r="H31" s="2529"/>
      <c r="I31" s="2529"/>
      <c r="J31" s="2529"/>
      <c r="K31" s="277"/>
      <c r="L31" s="3191"/>
      <c r="M31" s="3191"/>
      <c r="N31" s="3191"/>
      <c r="O31" s="3191"/>
      <c r="P31" s="3191"/>
      <c r="Q31" s="3191"/>
      <c r="R31" s="3191"/>
      <c r="S31" s="3191"/>
      <c r="T31" s="3191"/>
      <c r="U31" s="3191"/>
      <c r="V31" s="3191"/>
      <c r="W31" s="3191"/>
      <c r="X31" s="3191"/>
      <c r="Y31" s="3191"/>
      <c r="Z31" s="3191"/>
    </row>
    <row r="32" spans="1:26" s="2002" customFormat="1" ht="13.5" customHeight="1">
      <c r="A32" s="793" t="s">
        <v>1809</v>
      </c>
      <c r="B32" s="2572"/>
      <c r="C32" s="53">
        <f ca="1">ROUND(C25+D26,4)</f>
        <v>3.0499999999999999E-2</v>
      </c>
      <c r="D32" s="466"/>
      <c r="E32" s="467"/>
      <c r="F32" s="468"/>
      <c r="G32" s="259"/>
      <c r="H32" s="2529"/>
      <c r="I32" s="2529"/>
      <c r="J32" s="2529"/>
      <c r="K32" s="277"/>
      <c r="L32" s="3191"/>
      <c r="M32" s="3191"/>
      <c r="N32" s="3191"/>
      <c r="O32" s="3191"/>
      <c r="P32" s="3191"/>
      <c r="Q32" s="3191"/>
      <c r="R32" s="3191"/>
      <c r="S32" s="3191"/>
      <c r="T32" s="3191"/>
      <c r="U32" s="3191"/>
      <c r="V32" s="3191"/>
      <c r="W32" s="3191"/>
      <c r="X32" s="3191"/>
      <c r="Y32" s="3191"/>
      <c r="Z32" s="3191"/>
    </row>
    <row r="33" spans="1:26" s="2004" customFormat="1" ht="13.5" customHeight="1">
      <c r="A33" s="2741" t="s">
        <v>2764</v>
      </c>
      <c r="B33" s="2739" t="s">
        <v>2762</v>
      </c>
      <c r="C33" s="472">
        <f ca="1">C35</f>
        <v>17</v>
      </c>
      <c r="D33" s="461">
        <f ca="1">C34</f>
        <v>0.1237</v>
      </c>
      <c r="E33" s="463" t="s">
        <v>489</v>
      </c>
      <c r="F33" s="473">
        <f ca="1">IF(B1="",'数据-取费表'!Q16,INDIRECT("'数据-取费表'!q"&amp;$K$1))</f>
        <v>0.12</v>
      </c>
      <c r="G33" s="2530"/>
      <c r="H33" s="2531"/>
      <c r="I33" s="2531"/>
      <c r="J33" s="2531"/>
      <c r="K33" s="2532"/>
      <c r="L33" s="3193"/>
      <c r="M33" s="3193"/>
      <c r="N33" s="3193"/>
      <c r="O33" s="3193"/>
      <c r="P33" s="3193"/>
      <c r="Q33" s="3193"/>
      <c r="R33" s="3193"/>
      <c r="S33" s="3193"/>
      <c r="T33" s="3193"/>
      <c r="U33" s="3193"/>
      <c r="V33" s="3193"/>
      <c r="W33" s="3193"/>
      <c r="X33" s="3193"/>
      <c r="Y33" s="3193"/>
      <c r="Z33" s="3193"/>
    </row>
    <row r="34" spans="1:26" s="2005" customFormat="1" ht="13.5" customHeight="1">
      <c r="A34" s="369" t="s">
        <v>1808</v>
      </c>
      <c r="B34" s="2577" t="s">
        <v>495</v>
      </c>
      <c r="C34" s="466">
        <f ca="1">ROUND((1+C25)*F33,4)</f>
        <v>0.1237</v>
      </c>
      <c r="D34" s="466"/>
      <c r="E34" s="467"/>
      <c r="F34" s="474"/>
      <c r="G34" s="259" t="s">
        <v>2236</v>
      </c>
      <c r="H34" s="2529"/>
      <c r="I34" s="2529"/>
      <c r="J34" s="2529"/>
      <c r="K34" s="277"/>
      <c r="L34" s="3194"/>
      <c r="M34" s="3194"/>
      <c r="N34" s="3194"/>
      <c r="O34" s="3194"/>
      <c r="P34" s="3194"/>
      <c r="Q34" s="3194"/>
      <c r="R34" s="3194"/>
      <c r="S34" s="3194"/>
      <c r="T34" s="3194"/>
      <c r="U34" s="3194"/>
      <c r="V34" s="3194"/>
      <c r="W34" s="3194"/>
      <c r="X34" s="3194"/>
      <c r="Y34" s="3194"/>
      <c r="Z34" s="3194"/>
    </row>
    <row r="35" spans="1:26" s="2005" customFormat="1" ht="13.5" customHeight="1" thickBot="1">
      <c r="A35" s="1565" t="s">
        <v>1809</v>
      </c>
      <c r="B35" s="2740" t="s">
        <v>2770</v>
      </c>
      <c r="C35" s="1557">
        <f ca="1">ROUND((C18+C19+C20+C23+C24)*F33,0)</f>
        <v>17</v>
      </c>
      <c r="D35" s="1558"/>
      <c r="E35" s="2578"/>
      <c r="F35" s="1559"/>
      <c r="G35" s="2536"/>
      <c r="H35" s="2537"/>
      <c r="I35" s="2537"/>
      <c r="J35" s="2537"/>
      <c r="K35" s="2538"/>
      <c r="L35" s="3194"/>
      <c r="M35" s="3194"/>
      <c r="N35" s="3194"/>
      <c r="O35" s="3194"/>
      <c r="P35" s="3194"/>
      <c r="Q35" s="3194"/>
      <c r="R35" s="3194"/>
      <c r="S35" s="3194"/>
      <c r="T35" s="3194"/>
      <c r="U35" s="3194"/>
      <c r="V35" s="3194"/>
      <c r="W35" s="3194"/>
      <c r="X35" s="3194"/>
      <c r="Y35" s="3194"/>
      <c r="Z35" s="3194"/>
    </row>
    <row r="36" spans="1:26" s="1967" customFormat="1" ht="13.5" customHeight="1" thickBot="1">
      <c r="A36" s="282" t="s">
        <v>1796</v>
      </c>
      <c r="B36" s="2540"/>
      <c r="C36" s="2579">
        <f ca="1">ROUND((C6-C30-C33)/(1+D30+D33),0)</f>
        <v>2653</v>
      </c>
      <c r="D36" s="2540"/>
      <c r="E36" s="2540"/>
      <c r="F36" s="2540"/>
      <c r="G36" s="2539" t="s">
        <v>2771</v>
      </c>
      <c r="H36" s="2540"/>
      <c r="I36" s="2540"/>
      <c r="J36" s="2540"/>
      <c r="K36" s="2541"/>
      <c r="L36" s="3188"/>
      <c r="M36" s="3188"/>
      <c r="N36" s="3188"/>
      <c r="O36" s="3188"/>
      <c r="P36" s="3188"/>
      <c r="Q36" s="3188"/>
      <c r="R36" s="3188"/>
      <c r="S36" s="3188"/>
      <c r="T36" s="3188"/>
      <c r="U36" s="3188"/>
      <c r="V36" s="3188"/>
      <c r="W36" s="3188"/>
      <c r="X36" s="3188"/>
      <c r="Y36" s="3188"/>
      <c r="Z36" s="3188"/>
    </row>
    <row r="37" spans="1:26" s="1997" customFormat="1">
      <c r="A37" s="3195"/>
      <c r="C37" s="3196"/>
      <c r="E37" s="3195"/>
    </row>
    <row r="38" spans="1:26" s="1997" customFormat="1" ht="12.75" customHeight="1">
      <c r="A38" s="3195"/>
      <c r="C38" s="3196"/>
      <c r="E38" s="3195"/>
    </row>
    <row r="39" spans="1:26" s="1997" customFormat="1">
      <c r="A39" s="3195"/>
      <c r="C39" s="3196"/>
      <c r="E39" s="3195"/>
    </row>
    <row r="40" spans="1:26" s="1997" customFormat="1">
      <c r="A40" s="3195"/>
      <c r="C40" s="3196"/>
      <c r="E40" s="3195"/>
    </row>
    <row r="41" spans="1:26" s="1997" customFormat="1">
      <c r="A41" s="3195"/>
      <c r="C41" s="3196"/>
      <c r="E41" s="3195"/>
    </row>
    <row r="42" spans="1:26" s="1997" customFormat="1">
      <c r="A42" s="3195"/>
      <c r="C42" s="3196"/>
      <c r="E42" s="3195"/>
    </row>
    <row r="43" spans="1:26" s="1997" customFormat="1">
      <c r="A43" s="3195"/>
      <c r="C43" s="3196"/>
      <c r="E43" s="3195"/>
    </row>
    <row r="44" spans="1:26" s="1997" customFormat="1">
      <c r="A44" s="3195"/>
      <c r="C44" s="3196"/>
      <c r="E44" s="3195"/>
    </row>
    <row r="45" spans="1:26" s="1997" customFormat="1">
      <c r="A45" s="3195"/>
      <c r="C45" s="3196"/>
      <c r="E45" s="3195"/>
    </row>
    <row r="46" spans="1:26" s="1997" customFormat="1">
      <c r="A46" s="3195"/>
      <c r="C46" s="3196"/>
      <c r="E46" s="3195"/>
    </row>
    <row r="47" spans="1:26" s="1997" customFormat="1">
      <c r="A47" s="3195"/>
      <c r="C47" s="3196"/>
      <c r="E47" s="3195"/>
    </row>
    <row r="48" spans="1:26" s="1997" customFormat="1">
      <c r="A48" s="3195"/>
      <c r="C48" s="3196"/>
      <c r="E48" s="3195"/>
    </row>
    <row r="49" spans="1:5" s="1997" customFormat="1">
      <c r="A49" s="3195"/>
      <c r="C49" s="3196"/>
      <c r="E49" s="3195"/>
    </row>
    <row r="50" spans="1:5" s="1997" customFormat="1">
      <c r="A50" s="3195"/>
      <c r="C50" s="3196"/>
      <c r="E50" s="3195"/>
    </row>
    <row r="51" spans="1:5" s="1997" customFormat="1">
      <c r="A51" s="3195"/>
      <c r="C51" s="3196"/>
      <c r="E51" s="3195"/>
    </row>
    <row r="52" spans="1:5" s="1997" customFormat="1">
      <c r="A52" s="3195"/>
      <c r="C52" s="3196"/>
      <c r="E52" s="3195"/>
    </row>
    <row r="53" spans="1:5" s="1997" customFormat="1">
      <c r="A53" s="3195"/>
      <c r="C53" s="3196"/>
      <c r="E53" s="3195"/>
    </row>
    <row r="54" spans="1:5" s="1997" customFormat="1">
      <c r="A54" s="3195"/>
      <c r="C54" s="3196"/>
      <c r="E54" s="3195"/>
    </row>
    <row r="55" spans="1:5" s="1997" customFormat="1">
      <c r="A55" s="3195"/>
      <c r="C55" s="3196"/>
      <c r="E55" s="3195"/>
    </row>
    <row r="56" spans="1:5" s="1997" customFormat="1">
      <c r="A56" s="3195"/>
      <c r="C56" s="3196"/>
      <c r="E56" s="3195"/>
    </row>
    <row r="57" spans="1:5" s="1997" customFormat="1">
      <c r="A57" s="3195"/>
      <c r="C57" s="3196"/>
      <c r="E57" s="3195"/>
    </row>
    <row r="58" spans="1:5" s="1997" customFormat="1">
      <c r="A58" s="3195"/>
      <c r="C58" s="3196"/>
      <c r="E58" s="3195"/>
    </row>
    <row r="59" spans="1:5" s="1997" customFormat="1">
      <c r="A59" s="3195"/>
      <c r="C59" s="3196"/>
      <c r="E59" s="3195"/>
    </row>
    <row r="60" spans="1:5" s="1997" customFormat="1">
      <c r="A60" s="3195"/>
      <c r="C60" s="3196"/>
      <c r="E60" s="3195"/>
    </row>
    <row r="61" spans="1:5" s="1997" customFormat="1">
      <c r="A61" s="3195"/>
      <c r="C61" s="3196"/>
      <c r="E61" s="3195"/>
    </row>
    <row r="62" spans="1:5" s="1997" customFormat="1">
      <c r="A62" s="3195"/>
      <c r="C62" s="3196"/>
      <c r="E62" s="3195"/>
    </row>
    <row r="63" spans="1:5" s="1997" customFormat="1">
      <c r="A63" s="3195"/>
      <c r="C63" s="3196"/>
      <c r="E63" s="3195"/>
    </row>
    <row r="64" spans="1:5" s="1997" customFormat="1">
      <c r="A64" s="3195"/>
      <c r="C64" s="3196"/>
      <c r="E64" s="3195"/>
    </row>
    <row r="65" spans="1:5" s="1997" customFormat="1">
      <c r="A65" s="3195"/>
      <c r="C65" s="3196"/>
      <c r="E65" s="3195"/>
    </row>
    <row r="66" spans="1:5" s="1997" customFormat="1">
      <c r="A66" s="3195"/>
      <c r="C66" s="3196"/>
      <c r="E66" s="3195"/>
    </row>
    <row r="67" spans="1:5" s="1997" customFormat="1">
      <c r="A67" s="3195"/>
      <c r="C67" s="3196"/>
      <c r="E67" s="3195"/>
    </row>
    <row r="68" spans="1:5" s="1997" customFormat="1">
      <c r="A68" s="3195"/>
      <c r="C68" s="3196"/>
      <c r="E68" s="3195"/>
    </row>
    <row r="69" spans="1:5" s="1997" customFormat="1">
      <c r="A69" s="3195"/>
      <c r="C69" s="3196"/>
      <c r="E69" s="3195"/>
    </row>
    <row r="70" spans="1:5" s="1997" customFormat="1">
      <c r="A70" s="3195"/>
      <c r="C70" s="3196"/>
      <c r="E70" s="3195"/>
    </row>
    <row r="71" spans="1:5" s="1997" customFormat="1">
      <c r="A71" s="3195"/>
      <c r="C71" s="3196"/>
      <c r="E71" s="3195"/>
    </row>
    <row r="72" spans="1:5" s="1997" customFormat="1">
      <c r="A72" s="3195"/>
      <c r="C72" s="3196"/>
      <c r="E72" s="3195"/>
    </row>
    <row r="73" spans="1:5" s="1997" customFormat="1">
      <c r="A73" s="3195"/>
      <c r="C73" s="3196"/>
      <c r="E73" s="3195"/>
    </row>
    <row r="74" spans="1:5" s="1997" customFormat="1">
      <c r="A74" s="3195"/>
      <c r="C74" s="3196"/>
      <c r="E74" s="3195"/>
    </row>
    <row r="75" spans="1:5" s="1997" customFormat="1">
      <c r="A75" s="3195"/>
      <c r="C75" s="3196"/>
      <c r="E75" s="3195"/>
    </row>
    <row r="76" spans="1:5" s="1997" customFormat="1">
      <c r="A76" s="3195"/>
      <c r="C76" s="3196"/>
      <c r="E76" s="3195"/>
    </row>
    <row r="77" spans="1:5" s="1997" customFormat="1">
      <c r="A77" s="3195"/>
      <c r="C77" s="3196"/>
      <c r="E77" s="3195"/>
    </row>
    <row r="78" spans="1:5" s="1997" customFormat="1">
      <c r="A78" s="3195"/>
      <c r="C78" s="3196"/>
      <c r="E78" s="3195"/>
    </row>
    <row r="79" spans="1:5" s="1997" customFormat="1">
      <c r="A79" s="3195"/>
      <c r="C79" s="3196"/>
      <c r="E79" s="3195"/>
    </row>
    <row r="80" spans="1:5" s="1997" customFormat="1">
      <c r="A80" s="3195"/>
      <c r="C80" s="3196"/>
      <c r="E80" s="3195"/>
    </row>
    <row r="81" spans="1:5" s="1997" customFormat="1">
      <c r="A81" s="3195"/>
      <c r="C81" s="3196"/>
      <c r="E81" s="3195"/>
    </row>
    <row r="82" spans="1:5" s="1997" customFormat="1">
      <c r="A82" s="3195"/>
      <c r="C82" s="3196"/>
      <c r="E82" s="3195"/>
    </row>
    <row r="83" spans="1:5" s="1997" customFormat="1">
      <c r="A83" s="3195"/>
      <c r="C83" s="3196"/>
      <c r="E83" s="3195"/>
    </row>
    <row r="84" spans="1:5" s="1997" customFormat="1">
      <c r="A84" s="3195"/>
      <c r="C84" s="3196"/>
      <c r="E84" s="3195"/>
    </row>
    <row r="85" spans="1:5" s="1997" customFormat="1">
      <c r="A85" s="3195"/>
      <c r="C85" s="3196"/>
      <c r="E85" s="3195"/>
    </row>
    <row r="86" spans="1:5" s="1997" customFormat="1">
      <c r="A86" s="3195"/>
      <c r="C86" s="3196"/>
      <c r="E86" s="3195"/>
    </row>
    <row r="87" spans="1:5" s="1997" customFormat="1">
      <c r="A87" s="3195"/>
      <c r="C87" s="3196"/>
      <c r="E87" s="3195"/>
    </row>
    <row r="88" spans="1:5" s="1997" customFormat="1">
      <c r="A88" s="3195"/>
      <c r="C88" s="3196"/>
      <c r="E88" s="3195"/>
    </row>
    <row r="89" spans="1:5" s="1997" customFormat="1">
      <c r="A89" s="3195"/>
      <c r="C89" s="3196"/>
      <c r="E89" s="3195"/>
    </row>
    <row r="90" spans="1:5" s="1997" customFormat="1">
      <c r="A90" s="3195"/>
      <c r="C90" s="3196"/>
      <c r="E90" s="3195"/>
    </row>
    <row r="91" spans="1:5" s="1997" customFormat="1">
      <c r="A91" s="3195"/>
      <c r="C91" s="3196"/>
      <c r="E91" s="3195"/>
    </row>
    <row r="92" spans="1:5" s="1997" customFormat="1">
      <c r="A92" s="3195"/>
      <c r="C92" s="3196"/>
      <c r="E92" s="3195"/>
    </row>
    <row r="93" spans="1:5" s="1997" customFormat="1">
      <c r="A93" s="3195"/>
      <c r="C93" s="3196"/>
      <c r="E93" s="3195"/>
    </row>
    <row r="94" spans="1:5" s="1997" customFormat="1">
      <c r="A94" s="3195"/>
      <c r="C94" s="3196"/>
      <c r="E94" s="3195"/>
    </row>
    <row r="95" spans="1:5" s="1997" customFormat="1">
      <c r="A95" s="3195"/>
      <c r="C95" s="3196"/>
      <c r="E95" s="3195"/>
    </row>
    <row r="96" spans="1:5" s="1997" customFormat="1">
      <c r="A96" s="3195"/>
      <c r="C96" s="3196"/>
      <c r="E96" s="3195"/>
    </row>
    <row r="97" spans="1:5" s="1997" customFormat="1">
      <c r="A97" s="3195"/>
      <c r="C97" s="3196"/>
      <c r="E97" s="3195"/>
    </row>
    <row r="98" spans="1:5" s="1997" customFormat="1">
      <c r="A98" s="3195"/>
      <c r="C98" s="3196"/>
      <c r="E98" s="3195"/>
    </row>
    <row r="99" spans="1:5" s="1997" customFormat="1">
      <c r="A99" s="3195"/>
      <c r="C99" s="3196"/>
      <c r="E99" s="3195"/>
    </row>
    <row r="100" spans="1:5" s="1997" customFormat="1">
      <c r="A100" s="3195"/>
      <c r="C100" s="3196"/>
      <c r="E100" s="3195"/>
    </row>
    <row r="101" spans="1:5" s="1997" customFormat="1">
      <c r="A101" s="3195"/>
      <c r="C101" s="3196"/>
      <c r="E101" s="3195"/>
    </row>
    <row r="102" spans="1:5" s="1997" customFormat="1">
      <c r="A102" s="3195"/>
      <c r="C102" s="3196"/>
      <c r="E102" s="3195"/>
    </row>
    <row r="103" spans="1:5" s="1997" customFormat="1">
      <c r="A103" s="3195"/>
      <c r="C103" s="3196"/>
      <c r="E103" s="3195"/>
    </row>
    <row r="104" spans="1:5" s="1997" customFormat="1">
      <c r="A104" s="3195"/>
      <c r="C104" s="3196"/>
      <c r="E104" s="3195"/>
    </row>
    <row r="105" spans="1:5" s="1997" customFormat="1">
      <c r="A105" s="3195"/>
      <c r="C105" s="3196"/>
      <c r="E105" s="3195"/>
    </row>
    <row r="106" spans="1:5" s="1997" customFormat="1">
      <c r="A106" s="3195"/>
      <c r="C106" s="3196"/>
      <c r="E106" s="3195"/>
    </row>
    <row r="107" spans="1:5" s="1997" customFormat="1">
      <c r="A107" s="3195"/>
      <c r="C107" s="3196"/>
      <c r="E107" s="3195"/>
    </row>
    <row r="108" spans="1:5" s="1997" customFormat="1">
      <c r="A108" s="3195"/>
      <c r="C108" s="3196"/>
      <c r="E108" s="3195"/>
    </row>
    <row r="109" spans="1:5" s="1997" customFormat="1">
      <c r="A109" s="3195"/>
      <c r="C109" s="3196"/>
      <c r="E109" s="3195"/>
    </row>
    <row r="110" spans="1:5" s="1997" customFormat="1">
      <c r="A110" s="3195"/>
      <c r="C110" s="3196"/>
      <c r="E110" s="3195"/>
    </row>
    <row r="111" spans="1:5" s="1997" customFormat="1">
      <c r="A111" s="3195"/>
      <c r="C111" s="3196"/>
      <c r="E111" s="3195"/>
    </row>
    <row r="112" spans="1:5" s="1997" customFormat="1">
      <c r="A112" s="3195"/>
      <c r="C112" s="3196"/>
      <c r="E112" s="3195"/>
    </row>
    <row r="113" spans="1:5" s="1997" customFormat="1">
      <c r="A113" s="3195"/>
      <c r="C113" s="3196"/>
      <c r="E113" s="3195"/>
    </row>
    <row r="114" spans="1:5" s="1997" customFormat="1">
      <c r="A114" s="3195"/>
      <c r="C114" s="3196"/>
      <c r="E114" s="3195"/>
    </row>
    <row r="115" spans="1:5" s="1997" customFormat="1">
      <c r="A115" s="3195"/>
      <c r="C115" s="3196"/>
      <c r="E115" s="3195"/>
    </row>
    <row r="116" spans="1:5" s="1997" customFormat="1">
      <c r="A116" s="3195"/>
      <c r="C116" s="3196"/>
      <c r="E116" s="3195"/>
    </row>
    <row r="117" spans="1:5" s="1997" customFormat="1">
      <c r="A117" s="3195"/>
      <c r="C117" s="3196"/>
      <c r="E117" s="3195"/>
    </row>
    <row r="118" spans="1:5" s="1997" customFormat="1">
      <c r="A118" s="3195"/>
      <c r="C118" s="3196"/>
      <c r="E118" s="3195"/>
    </row>
    <row r="119" spans="1:5" s="1997" customFormat="1">
      <c r="A119" s="3195"/>
      <c r="C119" s="3196"/>
      <c r="E119" s="3195"/>
    </row>
    <row r="120" spans="1:5" s="1997" customFormat="1">
      <c r="A120" s="3195"/>
      <c r="C120" s="3196"/>
      <c r="E120" s="3195"/>
    </row>
    <row r="121" spans="1:5" s="1997" customFormat="1">
      <c r="A121" s="3195"/>
      <c r="C121" s="3196"/>
      <c r="E121" s="3195"/>
    </row>
    <row r="122" spans="1:5" s="1997" customFormat="1">
      <c r="A122" s="3195"/>
      <c r="C122" s="3196"/>
      <c r="E122" s="3195"/>
    </row>
    <row r="123" spans="1:5" s="1997" customFormat="1">
      <c r="A123" s="3195"/>
      <c r="C123" s="3196"/>
      <c r="E123" s="3195"/>
    </row>
    <row r="124" spans="1:5" s="1997" customFormat="1">
      <c r="A124" s="3195"/>
      <c r="C124" s="3196"/>
      <c r="E124" s="3195"/>
    </row>
    <row r="125" spans="1:5" s="1997" customFormat="1">
      <c r="A125" s="3195"/>
      <c r="C125" s="3196"/>
      <c r="E125" s="3195"/>
    </row>
    <row r="126" spans="1:5" s="1997" customFormat="1">
      <c r="A126" s="3195"/>
      <c r="C126" s="3196"/>
      <c r="E126" s="3195"/>
    </row>
    <row r="127" spans="1:5" s="1997" customFormat="1">
      <c r="A127" s="3195"/>
      <c r="C127" s="3196"/>
      <c r="E127" s="3195"/>
    </row>
    <row r="128" spans="1:5" s="1997" customFormat="1">
      <c r="A128" s="3195"/>
      <c r="C128" s="3196"/>
      <c r="E128" s="3195"/>
    </row>
    <row r="129" spans="1:5" s="1997" customFormat="1">
      <c r="A129" s="3195"/>
      <c r="C129" s="3196"/>
      <c r="E129" s="3195"/>
    </row>
    <row r="130" spans="1:5" s="1997" customFormat="1">
      <c r="A130" s="3195"/>
      <c r="C130" s="3196"/>
      <c r="E130" s="3195"/>
    </row>
    <row r="131" spans="1:5" s="1997" customFormat="1">
      <c r="A131" s="3195"/>
      <c r="C131" s="3196"/>
      <c r="E131" s="3195"/>
    </row>
    <row r="132" spans="1:5" s="1997" customFormat="1">
      <c r="A132" s="3195"/>
      <c r="C132" s="3196"/>
      <c r="E132" s="3195"/>
    </row>
    <row r="133" spans="1:5" s="1997" customFormat="1">
      <c r="A133" s="3195"/>
      <c r="C133" s="3196"/>
      <c r="E133" s="3195"/>
    </row>
    <row r="134" spans="1:5" s="1997" customFormat="1">
      <c r="A134" s="3195"/>
      <c r="C134" s="3196"/>
      <c r="E134" s="3195"/>
    </row>
    <row r="135" spans="1:5" s="1997" customFormat="1">
      <c r="A135" s="3195"/>
      <c r="C135" s="3196"/>
      <c r="E135" s="3195"/>
    </row>
    <row r="136" spans="1:5" s="1997" customFormat="1">
      <c r="A136" s="3195"/>
      <c r="C136" s="3196"/>
      <c r="E136" s="3195"/>
    </row>
    <row r="137" spans="1:5" s="1997" customFormat="1">
      <c r="A137" s="3195"/>
      <c r="C137" s="3196"/>
      <c r="E137" s="3195"/>
    </row>
    <row r="138" spans="1:5" s="1997" customFormat="1">
      <c r="A138" s="3195"/>
      <c r="C138" s="3196"/>
      <c r="E138" s="3195"/>
    </row>
    <row r="139" spans="1:5" s="1997" customFormat="1">
      <c r="A139" s="3195"/>
      <c r="C139" s="3196"/>
      <c r="E139" s="3195"/>
    </row>
    <row r="140" spans="1:5" s="1997" customFormat="1">
      <c r="A140" s="3195"/>
      <c r="C140" s="3196"/>
      <c r="E140" s="3195"/>
    </row>
    <row r="141" spans="1:5" s="1997" customFormat="1">
      <c r="A141" s="3195"/>
      <c r="C141" s="3196"/>
      <c r="E141" s="3195"/>
    </row>
    <row r="142" spans="1:5" s="1997" customFormat="1">
      <c r="A142" s="3195"/>
      <c r="C142" s="3196"/>
      <c r="E142" s="3195"/>
    </row>
    <row r="143" spans="1:5" s="1997" customFormat="1">
      <c r="A143" s="3195"/>
      <c r="C143" s="3196"/>
      <c r="E143" s="3195"/>
    </row>
    <row r="144" spans="1:5" s="1997" customFormat="1">
      <c r="A144" s="3195"/>
      <c r="C144" s="3196"/>
      <c r="E144" s="3195"/>
    </row>
    <row r="145" spans="1:5" s="1997" customFormat="1">
      <c r="A145" s="3195"/>
      <c r="C145" s="3196"/>
      <c r="E145" s="3195"/>
    </row>
    <row r="146" spans="1:5" s="1997" customFormat="1">
      <c r="A146" s="3195"/>
      <c r="C146" s="3196"/>
      <c r="E146" s="3195"/>
    </row>
    <row r="147" spans="1:5" s="1997" customFormat="1">
      <c r="A147" s="3195"/>
      <c r="C147" s="3196"/>
      <c r="E147" s="3195"/>
    </row>
    <row r="148" spans="1:5" s="1997" customFormat="1">
      <c r="A148" s="3195"/>
      <c r="C148" s="3196"/>
      <c r="E148" s="3195"/>
    </row>
    <row r="149" spans="1:5" s="1997" customFormat="1">
      <c r="A149" s="3195"/>
      <c r="C149" s="3196"/>
      <c r="E149" s="3195"/>
    </row>
    <row r="150" spans="1:5" s="1997" customFormat="1">
      <c r="A150" s="3195"/>
      <c r="C150" s="3196"/>
      <c r="E150" s="3195"/>
    </row>
    <row r="151" spans="1:5" s="1997" customFormat="1">
      <c r="A151" s="3195"/>
      <c r="C151" s="3196"/>
      <c r="E151" s="3195"/>
    </row>
    <row r="152" spans="1:5" s="1997" customFormat="1">
      <c r="A152" s="3195"/>
      <c r="C152" s="3196"/>
      <c r="E152" s="3195"/>
    </row>
    <row r="153" spans="1:5" s="1997" customFormat="1">
      <c r="A153" s="3195"/>
      <c r="C153" s="3196"/>
      <c r="E153" s="3195"/>
    </row>
    <row r="154" spans="1:5" s="1997" customFormat="1">
      <c r="A154" s="3195"/>
      <c r="C154" s="3196"/>
      <c r="E154" s="3195"/>
    </row>
    <row r="155" spans="1:5" s="1997" customFormat="1">
      <c r="A155" s="3195"/>
      <c r="C155" s="3196"/>
      <c r="E155" s="3195"/>
    </row>
    <row r="156" spans="1:5" s="1997" customFormat="1">
      <c r="A156" s="3195"/>
      <c r="C156" s="3196"/>
      <c r="E156" s="3195"/>
    </row>
    <row r="157" spans="1:5" s="1997" customFormat="1">
      <c r="A157" s="3195"/>
      <c r="C157" s="3196"/>
      <c r="E157" s="3195"/>
    </row>
    <row r="158" spans="1:5" s="1997" customFormat="1">
      <c r="A158" s="3195"/>
      <c r="C158" s="3196"/>
      <c r="E158" s="3195"/>
    </row>
    <row r="159" spans="1:5" s="1997" customFormat="1">
      <c r="A159" s="3195"/>
      <c r="C159" s="3196"/>
      <c r="E159" s="3195"/>
    </row>
    <row r="160" spans="1:5" s="1997" customFormat="1">
      <c r="A160" s="3195"/>
      <c r="C160" s="3196"/>
      <c r="E160" s="3195"/>
    </row>
    <row r="161" spans="1:5" s="1997" customFormat="1">
      <c r="A161" s="3195"/>
      <c r="C161" s="3196"/>
      <c r="E161" s="3195"/>
    </row>
    <row r="162" spans="1:5" s="1997" customFormat="1">
      <c r="A162" s="3195"/>
      <c r="C162" s="3196"/>
      <c r="E162" s="3195"/>
    </row>
    <row r="163" spans="1:5" s="1997" customFormat="1">
      <c r="A163" s="3195"/>
      <c r="C163" s="3196"/>
      <c r="E163" s="3195"/>
    </row>
    <row r="164" spans="1:5" s="1997" customFormat="1">
      <c r="A164" s="3195"/>
      <c r="C164" s="3196"/>
      <c r="E164" s="3195"/>
    </row>
    <row r="165" spans="1:5" s="1997" customFormat="1">
      <c r="A165" s="3195"/>
      <c r="C165" s="3196"/>
      <c r="E165" s="3195"/>
    </row>
    <row r="166" spans="1:5" s="1997" customFormat="1">
      <c r="A166" s="3195"/>
      <c r="C166" s="3196"/>
      <c r="E166" s="3195"/>
    </row>
    <row r="167" spans="1:5" s="1997" customFormat="1">
      <c r="A167" s="3195"/>
      <c r="C167" s="3196"/>
      <c r="E167" s="3195"/>
    </row>
    <row r="168" spans="1:5" s="1997" customFormat="1">
      <c r="A168" s="3195"/>
      <c r="C168" s="3196"/>
      <c r="E168" s="3195"/>
    </row>
    <row r="169" spans="1:5" s="1997" customFormat="1">
      <c r="A169" s="3195"/>
      <c r="C169" s="3196"/>
      <c r="E169" s="3195"/>
    </row>
    <row r="170" spans="1:5" s="1997" customFormat="1">
      <c r="A170" s="3195"/>
      <c r="C170" s="3196"/>
      <c r="E170" s="3195"/>
    </row>
    <row r="171" spans="1:5" s="1997" customFormat="1">
      <c r="A171" s="3195"/>
      <c r="C171" s="3196"/>
      <c r="E171" s="3195"/>
    </row>
    <row r="172" spans="1:5" s="1997" customFormat="1">
      <c r="A172" s="3195"/>
      <c r="C172" s="3196"/>
      <c r="E172" s="3195"/>
    </row>
    <row r="173" spans="1:5" s="1997" customFormat="1">
      <c r="A173" s="3195"/>
      <c r="C173" s="3196"/>
      <c r="E173" s="3195"/>
    </row>
    <row r="174" spans="1:5" s="1997" customFormat="1">
      <c r="A174" s="3195"/>
      <c r="C174" s="3196"/>
      <c r="E174" s="3195"/>
    </row>
    <row r="175" spans="1:5" s="1997" customFormat="1">
      <c r="A175" s="3195"/>
      <c r="C175" s="3196"/>
      <c r="E175" s="3195"/>
    </row>
    <row r="176" spans="1:5" s="1997" customFormat="1">
      <c r="A176" s="3195"/>
      <c r="C176" s="3196"/>
      <c r="E176" s="3195"/>
    </row>
    <row r="177" spans="1:5" s="1997" customFormat="1">
      <c r="A177" s="3195"/>
      <c r="C177" s="3196"/>
      <c r="E177" s="3195"/>
    </row>
    <row r="178" spans="1:5" s="1997" customFormat="1">
      <c r="A178" s="3195"/>
      <c r="C178" s="3196"/>
      <c r="E178" s="3195"/>
    </row>
    <row r="179" spans="1:5" s="1997" customFormat="1">
      <c r="A179" s="3195"/>
      <c r="C179" s="3196"/>
      <c r="E179" s="3195"/>
    </row>
    <row r="180" spans="1:5" s="1997" customFormat="1">
      <c r="A180" s="3195"/>
      <c r="C180" s="3196"/>
      <c r="E180" s="3195"/>
    </row>
    <row r="181" spans="1:5" s="1997" customFormat="1">
      <c r="A181" s="3195"/>
      <c r="C181" s="3196"/>
      <c r="E181" s="3195"/>
    </row>
    <row r="182" spans="1:5" s="1997" customFormat="1">
      <c r="A182" s="3195"/>
      <c r="C182" s="3196"/>
      <c r="E182" s="3195"/>
    </row>
    <row r="183" spans="1:5" s="1997" customFormat="1">
      <c r="A183" s="3195"/>
      <c r="C183" s="3196"/>
      <c r="E183" s="3195"/>
    </row>
    <row r="184" spans="1:5" s="1997" customFormat="1">
      <c r="A184" s="3195"/>
      <c r="C184" s="3196"/>
      <c r="E184" s="3195"/>
    </row>
    <row r="185" spans="1:5" s="1997" customFormat="1">
      <c r="A185" s="3195"/>
      <c r="C185" s="3196"/>
      <c r="E185" s="3195"/>
    </row>
    <row r="186" spans="1:5" s="1997" customFormat="1">
      <c r="A186" s="3195"/>
      <c r="C186" s="3196"/>
      <c r="E186" s="3195"/>
    </row>
    <row r="187" spans="1:5" s="1997" customFormat="1">
      <c r="A187" s="3195"/>
      <c r="C187" s="3196"/>
      <c r="E187" s="3195"/>
    </row>
    <row r="188" spans="1:5" s="1997" customFormat="1">
      <c r="A188" s="3195"/>
      <c r="C188" s="3196"/>
      <c r="E188" s="3195"/>
    </row>
    <row r="189" spans="1:5" s="1997" customFormat="1">
      <c r="A189" s="3195"/>
      <c r="C189" s="3196"/>
      <c r="E189" s="3195"/>
    </row>
    <row r="190" spans="1:5" s="1997" customFormat="1">
      <c r="A190" s="3195"/>
      <c r="C190" s="3196"/>
      <c r="E190" s="3195"/>
    </row>
    <row r="191" spans="1:5" s="1997" customFormat="1">
      <c r="A191" s="3195"/>
      <c r="C191" s="3196"/>
      <c r="E191" s="3195"/>
    </row>
    <row r="192" spans="1:5" s="1997" customFormat="1">
      <c r="A192" s="3195"/>
      <c r="C192" s="3196"/>
      <c r="E192" s="3195"/>
    </row>
    <row r="193" spans="1:5" s="1997" customFormat="1">
      <c r="A193" s="3195"/>
      <c r="C193" s="3196"/>
      <c r="E193" s="3195"/>
    </row>
    <row r="194" spans="1:5" s="1997" customFormat="1">
      <c r="A194" s="3195"/>
      <c r="C194" s="3196"/>
      <c r="E194" s="3195"/>
    </row>
    <row r="195" spans="1:5" s="1997" customFormat="1">
      <c r="A195" s="3195"/>
      <c r="C195" s="3196"/>
      <c r="E195" s="3195"/>
    </row>
    <row r="196" spans="1:5" s="1997" customFormat="1">
      <c r="A196" s="3195"/>
      <c r="C196" s="3196"/>
      <c r="E196" s="3195"/>
    </row>
    <row r="197" spans="1:5" s="1997" customFormat="1">
      <c r="A197" s="3195"/>
      <c r="C197" s="3196"/>
      <c r="E197" s="3195"/>
    </row>
    <row r="198" spans="1:5" s="1997" customFormat="1">
      <c r="A198" s="3195"/>
      <c r="C198" s="3196"/>
      <c r="E198" s="3195"/>
    </row>
    <row r="199" spans="1:5" s="1997" customFormat="1">
      <c r="A199" s="3195"/>
      <c r="C199" s="3196"/>
      <c r="E199" s="3195"/>
    </row>
    <row r="200" spans="1:5" s="1997" customFormat="1">
      <c r="A200" s="3195"/>
      <c r="C200" s="3196"/>
      <c r="E200" s="3195"/>
    </row>
    <row r="201" spans="1:5" s="1997" customFormat="1">
      <c r="A201" s="3195"/>
      <c r="C201" s="3196"/>
      <c r="E201" s="3195"/>
    </row>
    <row r="202" spans="1:5" s="1997" customFormat="1">
      <c r="A202" s="3195"/>
      <c r="C202" s="3196"/>
      <c r="E202" s="3195"/>
    </row>
    <row r="203" spans="1:5" s="1997" customFormat="1">
      <c r="A203" s="3195"/>
      <c r="C203" s="3196"/>
      <c r="E203" s="3195"/>
    </row>
    <row r="204" spans="1:5" s="1997" customFormat="1">
      <c r="A204" s="3195"/>
      <c r="C204" s="3196"/>
      <c r="E204" s="3195"/>
    </row>
    <row r="205" spans="1:5" s="1997" customFormat="1">
      <c r="A205" s="3195"/>
      <c r="C205" s="3196"/>
      <c r="E205" s="3195"/>
    </row>
    <row r="206" spans="1:5" s="1997" customFormat="1">
      <c r="A206" s="3195"/>
      <c r="C206" s="3196"/>
      <c r="E206" s="3195"/>
    </row>
    <row r="207" spans="1:5" s="1997" customFormat="1">
      <c r="A207" s="3195"/>
      <c r="C207" s="3196"/>
      <c r="E207" s="3195"/>
    </row>
    <row r="208" spans="1:5" s="1997" customFormat="1">
      <c r="A208" s="3195"/>
      <c r="C208" s="3196"/>
      <c r="E208" s="3195"/>
    </row>
    <row r="209" spans="1:5" s="1997" customFormat="1">
      <c r="A209" s="3195"/>
      <c r="C209" s="3196"/>
      <c r="E209" s="3195"/>
    </row>
    <row r="210" spans="1:5" s="1997" customFormat="1">
      <c r="A210" s="3195"/>
      <c r="C210" s="3196"/>
      <c r="E210" s="3195"/>
    </row>
    <row r="211" spans="1:5" s="1997" customFormat="1">
      <c r="A211" s="3195"/>
      <c r="C211" s="3196"/>
      <c r="E211" s="3195"/>
    </row>
    <row r="212" spans="1:5" s="1997" customFormat="1">
      <c r="A212" s="3195"/>
      <c r="C212" s="3196"/>
      <c r="E212" s="3195"/>
    </row>
    <row r="213" spans="1:5" s="1997" customFormat="1">
      <c r="A213" s="3195"/>
      <c r="C213" s="3196"/>
      <c r="E213" s="3195"/>
    </row>
    <row r="214" spans="1:5" s="1997" customFormat="1">
      <c r="A214" s="3195"/>
      <c r="C214" s="3196"/>
      <c r="E214" s="3195"/>
    </row>
    <row r="215" spans="1:5" s="1997" customFormat="1">
      <c r="A215" s="3195"/>
      <c r="C215" s="3196"/>
      <c r="E215" s="3195"/>
    </row>
    <row r="216" spans="1:5" s="1997" customFormat="1">
      <c r="A216" s="3195"/>
      <c r="C216" s="3196"/>
      <c r="E216" s="3195"/>
    </row>
    <row r="217" spans="1:5" s="1997" customFormat="1">
      <c r="A217" s="3195"/>
      <c r="C217" s="3196"/>
      <c r="E217" s="3195"/>
    </row>
    <row r="218" spans="1:5" s="1997" customFormat="1">
      <c r="A218" s="3195"/>
      <c r="C218" s="3196"/>
      <c r="E218" s="3195"/>
    </row>
    <row r="219" spans="1:5" s="1997" customFormat="1">
      <c r="A219" s="3195"/>
      <c r="C219" s="3196"/>
      <c r="E219" s="3195"/>
    </row>
    <row r="220" spans="1:5" s="1997" customFormat="1">
      <c r="A220" s="3195"/>
      <c r="C220" s="3196"/>
      <c r="E220" s="3195"/>
    </row>
    <row r="221" spans="1:5" s="1997" customFormat="1">
      <c r="A221" s="3195"/>
      <c r="C221" s="3196"/>
      <c r="E221" s="3195"/>
    </row>
    <row r="222" spans="1:5" s="1997" customFormat="1">
      <c r="A222" s="3195"/>
      <c r="C222" s="3196"/>
      <c r="E222" s="3195"/>
    </row>
    <row r="223" spans="1:5" s="1997" customFormat="1">
      <c r="A223" s="3195"/>
      <c r="C223" s="3196"/>
      <c r="E223" s="3195"/>
    </row>
    <row r="224" spans="1:5" s="1997" customFormat="1">
      <c r="A224" s="3195"/>
      <c r="C224" s="3196"/>
      <c r="E224" s="3195"/>
    </row>
    <row r="225" spans="1:5" s="1997" customFormat="1">
      <c r="A225" s="3195"/>
      <c r="C225" s="3196"/>
      <c r="E225" s="3195"/>
    </row>
    <row r="226" spans="1:5" s="1997" customFormat="1">
      <c r="A226" s="3195"/>
      <c r="C226" s="3196"/>
      <c r="E226" s="3195"/>
    </row>
    <row r="227" spans="1:5" s="1997" customFormat="1">
      <c r="A227" s="3195"/>
      <c r="C227" s="3196"/>
      <c r="E227" s="3195"/>
    </row>
    <row r="228" spans="1:5" s="1997" customFormat="1">
      <c r="A228" s="3195"/>
      <c r="C228" s="3196"/>
      <c r="E228" s="3195"/>
    </row>
    <row r="229" spans="1:5" s="1997" customFormat="1">
      <c r="A229" s="3195"/>
      <c r="C229" s="3196"/>
      <c r="E229" s="3195"/>
    </row>
    <row r="230" spans="1:5" s="1997" customFormat="1">
      <c r="A230" s="3195"/>
      <c r="C230" s="3196"/>
      <c r="E230" s="3195"/>
    </row>
    <row r="231" spans="1:5" s="1997" customFormat="1">
      <c r="A231" s="3195"/>
      <c r="C231" s="3196"/>
      <c r="E231" s="3195"/>
    </row>
    <row r="232" spans="1:5" s="1997" customFormat="1">
      <c r="A232" s="3195"/>
      <c r="C232" s="3196"/>
      <c r="E232" s="3195"/>
    </row>
    <row r="233" spans="1:5" s="1997" customFormat="1">
      <c r="A233" s="3195"/>
      <c r="C233" s="3196"/>
      <c r="E233" s="3195"/>
    </row>
    <row r="234" spans="1:5" s="1997" customFormat="1">
      <c r="A234" s="3195"/>
      <c r="C234" s="3196"/>
      <c r="E234" s="3195"/>
    </row>
    <row r="235" spans="1:5" s="1997" customFormat="1">
      <c r="A235" s="3195"/>
      <c r="C235" s="3196"/>
      <c r="E235" s="3195"/>
    </row>
    <row r="236" spans="1:5" s="1997" customFormat="1">
      <c r="A236" s="3195"/>
      <c r="C236" s="3196"/>
      <c r="E236" s="3195"/>
    </row>
    <row r="237" spans="1:5" s="1997" customFormat="1">
      <c r="A237" s="3195"/>
      <c r="C237" s="3196"/>
      <c r="E237" s="3195"/>
    </row>
    <row r="238" spans="1:5" s="1997" customFormat="1">
      <c r="A238" s="3195"/>
      <c r="C238" s="3196"/>
      <c r="E238" s="3195"/>
    </row>
    <row r="239" spans="1:5" s="1997" customFormat="1">
      <c r="A239" s="3195"/>
      <c r="C239" s="3196"/>
      <c r="E239" s="3195"/>
    </row>
    <row r="240" spans="1:5" s="1997" customFormat="1">
      <c r="A240" s="3195"/>
      <c r="C240" s="3196"/>
      <c r="E240" s="3195"/>
    </row>
    <row r="241" spans="1:5" s="1997" customFormat="1">
      <c r="A241" s="3195"/>
      <c r="C241" s="3196"/>
      <c r="E241" s="3195"/>
    </row>
    <row r="242" spans="1:5" s="1997" customFormat="1">
      <c r="A242" s="3195"/>
      <c r="C242" s="3196"/>
      <c r="E242" s="3195"/>
    </row>
    <row r="243" spans="1:5" s="1997" customFormat="1">
      <c r="A243" s="3195"/>
      <c r="C243" s="3196"/>
      <c r="E243" s="3195"/>
    </row>
    <row r="244" spans="1:5" s="1997" customFormat="1">
      <c r="A244" s="3195"/>
      <c r="C244" s="3196"/>
      <c r="E244" s="3195"/>
    </row>
    <row r="245" spans="1:5" s="1997" customFormat="1">
      <c r="A245" s="3195"/>
      <c r="C245" s="3196"/>
      <c r="E245" s="3195"/>
    </row>
    <row r="246" spans="1:5" s="1997" customFormat="1">
      <c r="A246" s="3195"/>
      <c r="C246" s="3196"/>
      <c r="E246" s="3195"/>
    </row>
    <row r="247" spans="1:5" s="1997" customFormat="1">
      <c r="A247" s="3195"/>
      <c r="C247" s="3196"/>
      <c r="E247" s="3195"/>
    </row>
    <row r="248" spans="1:5" s="1997" customFormat="1">
      <c r="A248" s="3195"/>
      <c r="C248" s="3196"/>
      <c r="E248" s="3195"/>
    </row>
    <row r="249" spans="1:5" s="1997" customFormat="1">
      <c r="A249" s="3195"/>
      <c r="C249" s="3196"/>
      <c r="E249" s="3195"/>
    </row>
    <row r="250" spans="1:5" s="1997" customFormat="1">
      <c r="A250" s="3195"/>
      <c r="C250" s="3196"/>
      <c r="E250" s="3195"/>
    </row>
    <row r="251" spans="1:5" s="1997" customFormat="1">
      <c r="A251" s="3195"/>
      <c r="C251" s="3196"/>
      <c r="E251" s="3195"/>
    </row>
    <row r="252" spans="1:5" s="1997" customFormat="1">
      <c r="A252" s="3195"/>
      <c r="C252" s="3196"/>
      <c r="E252" s="3195"/>
    </row>
    <row r="253" spans="1:5" s="1997" customFormat="1">
      <c r="A253" s="3195"/>
      <c r="C253" s="3196"/>
      <c r="E253" s="3195"/>
    </row>
    <row r="254" spans="1:5" s="1997" customFormat="1">
      <c r="A254" s="3195"/>
      <c r="C254" s="3196"/>
      <c r="E254" s="3195"/>
    </row>
    <row r="255" spans="1:5" s="1997" customFormat="1">
      <c r="A255" s="3195"/>
      <c r="C255" s="3196"/>
      <c r="E255" s="3195"/>
    </row>
    <row r="256" spans="1:5" s="1997" customFormat="1">
      <c r="A256" s="3195"/>
      <c r="C256" s="3196"/>
      <c r="E256" s="3195"/>
    </row>
    <row r="257" spans="1:5" s="1997" customFormat="1">
      <c r="A257" s="3195"/>
      <c r="C257" s="3196"/>
      <c r="E257" s="3195"/>
    </row>
    <row r="258" spans="1:5" s="1997" customFormat="1">
      <c r="A258" s="3195"/>
      <c r="C258" s="3196"/>
      <c r="E258" s="3195"/>
    </row>
    <row r="259" spans="1:5" s="1997" customFormat="1">
      <c r="A259" s="3195"/>
      <c r="C259" s="3196"/>
      <c r="E259" s="3195"/>
    </row>
    <row r="260" spans="1:5" s="1997" customFormat="1">
      <c r="A260" s="3195"/>
      <c r="C260" s="3196"/>
      <c r="E260" s="3195"/>
    </row>
    <row r="261" spans="1:5" s="1997" customFormat="1">
      <c r="A261" s="3195"/>
      <c r="C261" s="3196"/>
      <c r="E261" s="3195"/>
    </row>
    <row r="262" spans="1:5" s="1997" customFormat="1">
      <c r="A262" s="3195"/>
      <c r="C262" s="3196"/>
      <c r="E262" s="3195"/>
    </row>
    <row r="263" spans="1:5" s="1997" customFormat="1">
      <c r="A263" s="3195"/>
      <c r="C263" s="3196"/>
      <c r="E263" s="3195"/>
    </row>
    <row r="264" spans="1:5" s="1997" customFormat="1">
      <c r="A264" s="3195"/>
      <c r="C264" s="3196"/>
      <c r="E264" s="3195"/>
    </row>
    <row r="265" spans="1:5" s="1997" customFormat="1">
      <c r="A265" s="3195"/>
      <c r="C265" s="3196"/>
      <c r="E265" s="3195"/>
    </row>
    <row r="266" spans="1:5" s="1997" customFormat="1">
      <c r="A266" s="3195"/>
      <c r="C266" s="3196"/>
      <c r="E266" s="3195"/>
    </row>
    <row r="267" spans="1:5" s="1997" customFormat="1">
      <c r="A267" s="3195"/>
      <c r="C267" s="3196"/>
      <c r="E267" s="3195"/>
    </row>
    <row r="268" spans="1:5" s="1997" customFormat="1">
      <c r="A268" s="3195"/>
      <c r="C268" s="3196"/>
      <c r="E268" s="3195"/>
    </row>
    <row r="269" spans="1:5" s="1997" customFormat="1">
      <c r="A269" s="3195"/>
      <c r="C269" s="3196"/>
      <c r="E269" s="3195"/>
    </row>
    <row r="270" spans="1:5" s="1997" customFormat="1">
      <c r="A270" s="3195"/>
      <c r="C270" s="3196"/>
      <c r="E270" s="3195"/>
    </row>
    <row r="271" spans="1:5" s="1997" customFormat="1">
      <c r="A271" s="3195"/>
      <c r="C271" s="3196"/>
      <c r="E271" s="3195"/>
    </row>
    <row r="272" spans="1:5" s="1997" customFormat="1">
      <c r="A272" s="3195"/>
      <c r="C272" s="3196"/>
      <c r="E272" s="3195"/>
    </row>
    <row r="273" spans="1:5" s="1997" customFormat="1">
      <c r="A273" s="3195"/>
      <c r="C273" s="3196"/>
      <c r="E273" s="3195"/>
    </row>
    <row r="274" spans="1:5" s="1997" customFormat="1">
      <c r="A274" s="3195"/>
      <c r="C274" s="3196"/>
      <c r="E274" s="3195"/>
    </row>
    <row r="275" spans="1:5" s="1997" customFormat="1">
      <c r="A275" s="3195"/>
      <c r="C275" s="3196"/>
      <c r="E275" s="3195"/>
    </row>
    <row r="276" spans="1:5" s="1997" customFormat="1">
      <c r="A276" s="3195"/>
      <c r="C276" s="3196"/>
      <c r="E276" s="3195"/>
    </row>
    <row r="277" spans="1:5" s="1997" customFormat="1">
      <c r="A277" s="3195"/>
      <c r="C277" s="3196"/>
      <c r="E277" s="3195"/>
    </row>
    <row r="278" spans="1:5" s="1997" customFormat="1">
      <c r="A278" s="3195"/>
      <c r="C278" s="3196"/>
      <c r="E278" s="3195"/>
    </row>
    <row r="279" spans="1:5" s="1997" customFormat="1">
      <c r="A279" s="3195"/>
      <c r="C279" s="3196"/>
      <c r="E279" s="3195"/>
    </row>
    <row r="280" spans="1:5" s="1997" customFormat="1">
      <c r="A280" s="3195"/>
      <c r="C280" s="3196"/>
      <c r="E280" s="3195"/>
    </row>
    <row r="281" spans="1:5" s="1997" customFormat="1">
      <c r="A281" s="3195"/>
      <c r="C281" s="3196"/>
      <c r="E281" s="3195"/>
    </row>
    <row r="282" spans="1:5" s="1997" customFormat="1">
      <c r="A282" s="3195"/>
      <c r="C282" s="3196"/>
      <c r="E282" s="3195"/>
    </row>
    <row r="283" spans="1:5" s="1997" customFormat="1">
      <c r="A283" s="3195"/>
      <c r="C283" s="3196"/>
      <c r="E283" s="3195"/>
    </row>
    <row r="284" spans="1:5" s="1997" customFormat="1">
      <c r="A284" s="3195"/>
      <c r="C284" s="3196"/>
      <c r="E284" s="3195"/>
    </row>
    <row r="285" spans="1:5" s="1997" customFormat="1">
      <c r="A285" s="3195"/>
      <c r="C285" s="3196"/>
      <c r="E285" s="3195"/>
    </row>
    <row r="286" spans="1:5" s="1997" customFormat="1">
      <c r="A286" s="3195"/>
      <c r="C286" s="3196"/>
      <c r="E286" s="3195"/>
    </row>
    <row r="287" spans="1:5" s="1997" customFormat="1">
      <c r="A287" s="3195"/>
      <c r="C287" s="3196"/>
      <c r="E287" s="3195"/>
    </row>
    <row r="288" spans="1:5" s="1997" customFormat="1">
      <c r="A288" s="3195"/>
      <c r="C288" s="3196"/>
      <c r="E288" s="3195"/>
    </row>
    <row r="289" spans="1:5" s="1997" customFormat="1">
      <c r="A289" s="3195"/>
      <c r="C289" s="3196"/>
      <c r="E289" s="3195"/>
    </row>
    <row r="290" spans="1:5" s="1997" customFormat="1">
      <c r="A290" s="3195"/>
      <c r="C290" s="3196"/>
      <c r="E290" s="3195"/>
    </row>
    <row r="291" spans="1:5" s="1997" customFormat="1">
      <c r="A291" s="3195"/>
      <c r="C291" s="3196"/>
      <c r="E291" s="3195"/>
    </row>
    <row r="292" spans="1:5" s="1997" customFormat="1">
      <c r="A292" s="3195"/>
      <c r="C292" s="3196"/>
      <c r="E292" s="3195"/>
    </row>
    <row r="293" spans="1:5" s="1997" customFormat="1">
      <c r="A293" s="3195"/>
      <c r="C293" s="3196"/>
      <c r="E293" s="3195"/>
    </row>
    <row r="294" spans="1:5" s="1997" customFormat="1">
      <c r="A294" s="3195"/>
      <c r="C294" s="3196"/>
      <c r="E294" s="3195"/>
    </row>
    <row r="295" spans="1:5" s="1997" customFormat="1">
      <c r="A295" s="3195"/>
      <c r="C295" s="3196"/>
      <c r="E295" s="3195"/>
    </row>
    <row r="296" spans="1:5" s="1997" customFormat="1">
      <c r="A296" s="3195"/>
      <c r="C296" s="3196"/>
      <c r="E296" s="3195"/>
    </row>
    <row r="297" spans="1:5" s="1997" customFormat="1">
      <c r="A297" s="3195"/>
      <c r="C297" s="3196"/>
      <c r="E297" s="3195"/>
    </row>
    <row r="298" spans="1:5" s="1997" customFormat="1">
      <c r="A298" s="3195"/>
      <c r="C298" s="3196"/>
      <c r="E298" s="3195"/>
    </row>
    <row r="299" spans="1:5" s="1997" customFormat="1">
      <c r="A299" s="3195"/>
      <c r="C299" s="3196"/>
      <c r="E299" s="3195"/>
    </row>
    <row r="300" spans="1:5" s="1997" customFormat="1">
      <c r="A300" s="3195"/>
      <c r="C300" s="3196"/>
      <c r="E300" s="3195"/>
    </row>
    <row r="301" spans="1:5" s="1997" customFormat="1">
      <c r="A301" s="3195"/>
      <c r="C301" s="3196"/>
      <c r="E301" s="3195"/>
    </row>
    <row r="302" spans="1:5" s="1997" customFormat="1">
      <c r="A302" s="3195"/>
      <c r="C302" s="3196"/>
      <c r="E302" s="3195"/>
    </row>
    <row r="303" spans="1:5" s="1997" customFormat="1">
      <c r="A303" s="3195"/>
      <c r="C303" s="3196"/>
      <c r="E303" s="3195"/>
    </row>
    <row r="304" spans="1:5" s="1997" customFormat="1">
      <c r="A304" s="3195"/>
      <c r="C304" s="3196"/>
      <c r="E304" s="3195"/>
    </row>
    <row r="305" spans="1:5" s="1997" customFormat="1">
      <c r="A305" s="3195"/>
      <c r="C305" s="3196"/>
      <c r="E305" s="3195"/>
    </row>
    <row r="306" spans="1:5" s="1997" customFormat="1">
      <c r="A306" s="3195"/>
      <c r="C306" s="3196"/>
      <c r="E306" s="3195"/>
    </row>
    <row r="307" spans="1:5" s="1997" customFormat="1">
      <c r="A307" s="3195"/>
      <c r="C307" s="3196"/>
      <c r="E307" s="3195"/>
    </row>
    <row r="308" spans="1:5" s="1997" customFormat="1">
      <c r="A308" s="3195"/>
      <c r="C308" s="3196"/>
      <c r="E308" s="3195"/>
    </row>
    <row r="309" spans="1:5" s="1997" customFormat="1">
      <c r="A309" s="3195"/>
      <c r="C309" s="3196"/>
      <c r="E309" s="3195"/>
    </row>
    <row r="310" spans="1:5" s="1997" customFormat="1">
      <c r="A310" s="3195"/>
      <c r="C310" s="3196"/>
      <c r="E310" s="3195"/>
    </row>
    <row r="311" spans="1:5" s="1997" customFormat="1">
      <c r="A311" s="3195"/>
      <c r="C311" s="3196"/>
      <c r="E311" s="3195"/>
    </row>
    <row r="312" spans="1:5" s="1997" customFormat="1">
      <c r="A312" s="3195"/>
      <c r="C312" s="3196"/>
      <c r="E312" s="3195"/>
    </row>
    <row r="313" spans="1:5" s="1997" customFormat="1">
      <c r="A313" s="3195"/>
      <c r="C313" s="3196"/>
      <c r="E313" s="3195"/>
    </row>
    <row r="314" spans="1:5" s="1997" customFormat="1">
      <c r="A314" s="3195"/>
      <c r="C314" s="3196"/>
      <c r="E314" s="3195"/>
    </row>
    <row r="315" spans="1:5" s="1997" customFormat="1">
      <c r="A315" s="3195"/>
      <c r="C315" s="3196"/>
      <c r="E315" s="3195"/>
    </row>
    <row r="316" spans="1:5" s="1997" customFormat="1">
      <c r="A316" s="3195"/>
      <c r="C316" s="3196"/>
      <c r="E316" s="3195"/>
    </row>
    <row r="317" spans="1:5" s="1997" customFormat="1">
      <c r="A317" s="3195"/>
      <c r="C317" s="3196"/>
      <c r="E317" s="3195"/>
    </row>
    <row r="318" spans="1:5" s="1997" customFormat="1">
      <c r="A318" s="3195"/>
      <c r="C318" s="3196"/>
      <c r="E318" s="3195"/>
    </row>
    <row r="319" spans="1:5" s="1997" customFormat="1">
      <c r="A319" s="3195"/>
      <c r="C319" s="3196"/>
      <c r="E319" s="3195"/>
    </row>
    <row r="320" spans="1:5" s="1997" customFormat="1">
      <c r="A320" s="3195"/>
      <c r="C320" s="3196"/>
      <c r="E320" s="3195"/>
    </row>
    <row r="321" spans="1:5" s="1997" customFormat="1">
      <c r="A321" s="3195"/>
      <c r="C321" s="3196"/>
      <c r="E321" s="3195"/>
    </row>
    <row r="322" spans="1:5" s="1997" customFormat="1">
      <c r="A322" s="3195"/>
      <c r="C322" s="3196"/>
      <c r="E322" s="3195"/>
    </row>
    <row r="323" spans="1:5" s="1997" customFormat="1">
      <c r="A323" s="3195"/>
      <c r="C323" s="3196"/>
      <c r="E323" s="3195"/>
    </row>
    <row r="324" spans="1:5" s="1997" customFormat="1">
      <c r="A324" s="3195"/>
      <c r="C324" s="3196"/>
      <c r="E324" s="3195"/>
    </row>
    <row r="325" spans="1:5" s="1997" customFormat="1">
      <c r="A325" s="3195"/>
      <c r="C325" s="3196"/>
      <c r="E325" s="3195"/>
    </row>
    <row r="326" spans="1:5" s="1997" customFormat="1">
      <c r="A326" s="3195"/>
      <c r="C326" s="3196"/>
      <c r="E326" s="3195"/>
    </row>
    <row r="327" spans="1:5" s="1997" customFormat="1">
      <c r="A327" s="3195"/>
      <c r="C327" s="3196"/>
      <c r="E327" s="3195"/>
    </row>
    <row r="328" spans="1:5" s="1997" customFormat="1">
      <c r="A328" s="3195"/>
      <c r="C328" s="3196"/>
      <c r="E328" s="3195"/>
    </row>
    <row r="329" spans="1:5" s="1997" customFormat="1">
      <c r="A329" s="3195"/>
      <c r="C329" s="3196"/>
      <c r="E329" s="3195"/>
    </row>
    <row r="330" spans="1:5" s="1997" customFormat="1">
      <c r="A330" s="3195"/>
      <c r="C330" s="3196"/>
      <c r="E330" s="3195"/>
    </row>
    <row r="331" spans="1:5" s="1997" customFormat="1">
      <c r="A331" s="3195"/>
      <c r="C331" s="3196"/>
      <c r="E331" s="3195"/>
    </row>
    <row r="332" spans="1:5" s="1997" customFormat="1">
      <c r="A332" s="3195"/>
      <c r="C332" s="3196"/>
      <c r="E332" s="3195"/>
    </row>
    <row r="333" spans="1:5" s="1997" customFormat="1">
      <c r="A333" s="3195"/>
      <c r="C333" s="3196"/>
      <c r="E333" s="3195"/>
    </row>
    <row r="334" spans="1:5" s="1997" customFormat="1">
      <c r="A334" s="3195"/>
      <c r="C334" s="3196"/>
      <c r="E334" s="3195"/>
    </row>
    <row r="335" spans="1:5" s="1997" customFormat="1">
      <c r="A335" s="3195"/>
      <c r="C335" s="3196"/>
      <c r="E335" s="3195"/>
    </row>
    <row r="336" spans="1:5" s="1997" customFormat="1">
      <c r="A336" s="3195"/>
      <c r="C336" s="3196"/>
      <c r="E336" s="3195"/>
    </row>
    <row r="337" spans="1:5" s="1997" customFormat="1">
      <c r="A337" s="3195"/>
      <c r="C337" s="3196"/>
      <c r="E337" s="3195"/>
    </row>
    <row r="338" spans="1:5" s="1997" customFormat="1">
      <c r="A338" s="3195"/>
      <c r="C338" s="3196"/>
      <c r="E338" s="3195"/>
    </row>
    <row r="339" spans="1:5" s="1997" customFormat="1">
      <c r="A339" s="3195"/>
      <c r="C339" s="3196"/>
      <c r="E339" s="3195"/>
    </row>
    <row r="340" spans="1:5" s="1997" customFormat="1">
      <c r="A340" s="3195"/>
      <c r="C340" s="3196"/>
      <c r="E340" s="3195"/>
    </row>
    <row r="341" spans="1:5" s="1997" customFormat="1">
      <c r="A341" s="3195"/>
      <c r="C341" s="3196"/>
      <c r="E341" s="3195"/>
    </row>
    <row r="342" spans="1:5" s="1997" customFormat="1">
      <c r="A342" s="3195"/>
      <c r="C342" s="3196"/>
      <c r="E342" s="3195"/>
    </row>
    <row r="343" spans="1:5" s="1997" customFormat="1">
      <c r="A343" s="3195"/>
      <c r="C343" s="3196"/>
      <c r="E343" s="3195"/>
    </row>
    <row r="344" spans="1:5" s="1997" customFormat="1">
      <c r="A344" s="3195"/>
      <c r="C344" s="3196"/>
      <c r="E344" s="3195"/>
    </row>
    <row r="345" spans="1:5" s="1997" customFormat="1">
      <c r="A345" s="3195"/>
      <c r="C345" s="3196"/>
      <c r="E345" s="3195"/>
    </row>
    <row r="346" spans="1:5" s="1997" customFormat="1">
      <c r="A346" s="3195"/>
      <c r="C346" s="3196"/>
      <c r="E346" s="3195"/>
    </row>
    <row r="347" spans="1:5" s="1997" customFormat="1">
      <c r="A347" s="3195"/>
      <c r="C347" s="3196"/>
      <c r="E347" s="3195"/>
    </row>
    <row r="348" spans="1:5" s="1997" customFormat="1">
      <c r="A348" s="3195"/>
      <c r="C348" s="3196"/>
      <c r="E348" s="3195"/>
    </row>
    <row r="349" spans="1:5" s="1997" customFormat="1">
      <c r="A349" s="3195"/>
      <c r="C349" s="3196"/>
      <c r="E349" s="3195"/>
    </row>
    <row r="350" spans="1:5" s="1997" customFormat="1">
      <c r="A350" s="3195"/>
      <c r="C350" s="3196"/>
      <c r="E350" s="3195"/>
    </row>
    <row r="351" spans="1:5" s="1997" customFormat="1">
      <c r="A351" s="3195"/>
      <c r="C351" s="3196"/>
      <c r="E351" s="3195"/>
    </row>
    <row r="352" spans="1:5" s="1997" customFormat="1">
      <c r="A352" s="3195"/>
      <c r="C352" s="3196"/>
      <c r="E352" s="3195"/>
    </row>
    <row r="353" spans="1:5" s="1997" customFormat="1">
      <c r="A353" s="3195"/>
      <c r="C353" s="3196"/>
      <c r="E353" s="3195"/>
    </row>
    <row r="354" spans="1:5" s="1997" customFormat="1">
      <c r="A354" s="3195"/>
      <c r="C354" s="3196"/>
      <c r="E354" s="3195"/>
    </row>
    <row r="355" spans="1:5" s="1997" customFormat="1">
      <c r="A355" s="3195"/>
      <c r="C355" s="3196"/>
      <c r="E355" s="3195"/>
    </row>
    <row r="356" spans="1:5" s="1997" customFormat="1">
      <c r="A356" s="3195"/>
      <c r="C356" s="3196"/>
      <c r="E356" s="3195"/>
    </row>
    <row r="357" spans="1:5" s="1997" customFormat="1">
      <c r="A357" s="3195"/>
      <c r="C357" s="3196"/>
      <c r="E357" s="3195"/>
    </row>
    <row r="358" spans="1:5" s="1997" customFormat="1">
      <c r="A358" s="3195"/>
      <c r="C358" s="3196"/>
      <c r="E358" s="3195"/>
    </row>
    <row r="359" spans="1:5" s="1997" customFormat="1">
      <c r="A359" s="3195"/>
      <c r="C359" s="3196"/>
      <c r="E359" s="3195"/>
    </row>
    <row r="360" spans="1:5" s="1997" customFormat="1">
      <c r="A360" s="3195"/>
      <c r="C360" s="3196"/>
      <c r="E360" s="3195"/>
    </row>
    <row r="361" spans="1:5" s="1997" customFormat="1">
      <c r="A361" s="3195"/>
      <c r="C361" s="3196"/>
      <c r="E361" s="3195"/>
    </row>
    <row r="362" spans="1:5" s="1997" customFormat="1">
      <c r="A362" s="3195"/>
      <c r="C362" s="3196"/>
      <c r="E362" s="3195"/>
    </row>
    <row r="363" spans="1:5" s="1997" customFormat="1">
      <c r="A363" s="3195"/>
      <c r="C363" s="3196"/>
      <c r="E363" s="3195"/>
    </row>
    <row r="364" spans="1:5" s="1997" customFormat="1">
      <c r="A364" s="3195"/>
      <c r="C364" s="3196"/>
      <c r="E364" s="3195"/>
    </row>
    <row r="365" spans="1:5" s="1997" customFormat="1">
      <c r="A365" s="3195"/>
      <c r="C365" s="3196"/>
      <c r="E365" s="3195"/>
    </row>
    <row r="366" spans="1:5" s="1997" customFormat="1">
      <c r="A366" s="3195"/>
      <c r="C366" s="3196"/>
      <c r="E366" s="3195"/>
    </row>
    <row r="367" spans="1:5" s="1997" customFormat="1">
      <c r="A367" s="3195"/>
      <c r="C367" s="3196"/>
      <c r="E367" s="3195"/>
    </row>
    <row r="368" spans="1:5" s="1997" customFormat="1">
      <c r="A368" s="3195"/>
      <c r="C368" s="3196"/>
      <c r="E368" s="3195"/>
    </row>
    <row r="369" spans="1:5" s="1997" customFormat="1">
      <c r="A369" s="3195"/>
      <c r="C369" s="3196"/>
      <c r="E369" s="3195"/>
    </row>
    <row r="370" spans="1:5" s="1997" customFormat="1">
      <c r="A370" s="3195"/>
      <c r="C370" s="3196"/>
      <c r="E370" s="3195"/>
    </row>
    <row r="371" spans="1:5" s="1997" customFormat="1">
      <c r="A371" s="3195"/>
      <c r="C371" s="3196"/>
      <c r="E371" s="3195"/>
    </row>
    <row r="372" spans="1:5" s="1997" customFormat="1">
      <c r="A372" s="3195"/>
      <c r="C372" s="3196"/>
      <c r="E372" s="3195"/>
    </row>
    <row r="373" spans="1:5" s="1997" customFormat="1">
      <c r="A373" s="3195"/>
      <c r="C373" s="3196"/>
      <c r="E373" s="3195"/>
    </row>
    <row r="374" spans="1:5" s="1997" customFormat="1">
      <c r="A374" s="3195"/>
      <c r="C374" s="3196"/>
      <c r="E374" s="3195"/>
    </row>
    <row r="375" spans="1:5" s="1997" customFormat="1">
      <c r="A375" s="3195"/>
      <c r="C375" s="3196"/>
      <c r="E375" s="3195"/>
    </row>
    <row r="376" spans="1:5" s="1997" customFormat="1">
      <c r="A376" s="3195"/>
      <c r="C376" s="3196"/>
      <c r="E376" s="3195"/>
    </row>
    <row r="377" spans="1:5" s="1997" customFormat="1">
      <c r="A377" s="3195"/>
      <c r="C377" s="3196"/>
      <c r="E377" s="3195"/>
    </row>
    <row r="378" spans="1:5" s="1997" customFormat="1">
      <c r="A378" s="3195"/>
      <c r="C378" s="3196"/>
      <c r="E378" s="3195"/>
    </row>
    <row r="379" spans="1:5" s="1997" customFormat="1">
      <c r="A379" s="3195"/>
      <c r="C379" s="3196"/>
      <c r="E379" s="3195"/>
    </row>
    <row r="380" spans="1:5" s="1997" customFormat="1">
      <c r="A380" s="3195"/>
      <c r="C380" s="3196"/>
      <c r="E380" s="3195"/>
    </row>
    <row r="381" spans="1:5" s="1997" customFormat="1">
      <c r="A381" s="3195"/>
      <c r="C381" s="3196"/>
      <c r="E381" s="3195"/>
    </row>
    <row r="382" spans="1:5" s="1997" customFormat="1">
      <c r="A382" s="3195"/>
      <c r="C382" s="3196"/>
      <c r="E382" s="3195"/>
    </row>
    <row r="383" spans="1:5" s="1997" customFormat="1">
      <c r="A383" s="3195"/>
      <c r="C383" s="3196"/>
      <c r="E383" s="3195"/>
    </row>
    <row r="384" spans="1:5" s="1997" customFormat="1">
      <c r="A384" s="3195"/>
      <c r="C384" s="3196"/>
      <c r="E384" s="3195"/>
    </row>
    <row r="385" spans="1:5" s="1997" customFormat="1">
      <c r="A385" s="3195"/>
      <c r="C385" s="3196"/>
      <c r="E385" s="3195"/>
    </row>
    <row r="386" spans="1:5" s="1997" customFormat="1">
      <c r="A386" s="3195"/>
      <c r="C386" s="3196"/>
      <c r="E386" s="3195"/>
    </row>
    <row r="387" spans="1:5" s="1997" customFormat="1">
      <c r="A387" s="3195"/>
      <c r="C387" s="3196"/>
      <c r="E387" s="3195"/>
    </row>
    <row r="388" spans="1:5" s="1997" customFormat="1">
      <c r="A388" s="3195"/>
      <c r="C388" s="3196"/>
      <c r="E388" s="3195"/>
    </row>
    <row r="389" spans="1:5" s="1997" customFormat="1">
      <c r="A389" s="3195"/>
      <c r="C389" s="3196"/>
      <c r="E389" s="3195"/>
    </row>
    <row r="390" spans="1:5" s="1997" customFormat="1">
      <c r="A390" s="3195"/>
      <c r="C390" s="3196"/>
      <c r="E390" s="3195"/>
    </row>
    <row r="391" spans="1:5" s="1997" customFormat="1">
      <c r="A391" s="3195"/>
      <c r="C391" s="3196"/>
      <c r="E391" s="3195"/>
    </row>
    <row r="392" spans="1:5" s="1997" customFormat="1">
      <c r="A392" s="3195"/>
      <c r="C392" s="3196"/>
      <c r="E392" s="3195"/>
    </row>
    <row r="393" spans="1:5" s="1997" customFormat="1">
      <c r="A393" s="3195"/>
      <c r="C393" s="3196"/>
      <c r="E393" s="3195"/>
    </row>
    <row r="394" spans="1:5" s="1997" customFormat="1">
      <c r="A394" s="3195"/>
      <c r="C394" s="3196"/>
      <c r="E394" s="3195"/>
    </row>
    <row r="395" spans="1:5" s="1997" customFormat="1">
      <c r="A395" s="3195"/>
      <c r="C395" s="3196"/>
      <c r="E395" s="3195"/>
    </row>
    <row r="396" spans="1:5" s="1997" customFormat="1">
      <c r="A396" s="3195"/>
      <c r="C396" s="3196"/>
      <c r="E396" s="3195"/>
    </row>
    <row r="397" spans="1:5" s="1997" customFormat="1">
      <c r="A397" s="3195"/>
      <c r="C397" s="3196"/>
      <c r="E397" s="3195"/>
    </row>
    <row r="398" spans="1:5" s="1997" customFormat="1">
      <c r="A398" s="3195"/>
      <c r="C398" s="3196"/>
      <c r="E398" s="3195"/>
    </row>
    <row r="399" spans="1:5" s="1997" customFormat="1">
      <c r="A399" s="3195"/>
      <c r="C399" s="3196"/>
      <c r="E399" s="3195"/>
    </row>
    <row r="400" spans="1:5" s="1997" customFormat="1">
      <c r="A400" s="3195"/>
      <c r="C400" s="3196"/>
      <c r="E400" s="3195"/>
    </row>
    <row r="401" spans="1:5" s="1997" customFormat="1">
      <c r="A401" s="3195"/>
      <c r="C401" s="3196"/>
      <c r="E401" s="3195"/>
    </row>
    <row r="402" spans="1:5" s="1997" customFormat="1">
      <c r="A402" s="3195"/>
      <c r="C402" s="3196"/>
      <c r="E402" s="3195"/>
    </row>
    <row r="403" spans="1:5" s="1997" customFormat="1">
      <c r="A403" s="3195"/>
      <c r="C403" s="3196"/>
      <c r="E403" s="3195"/>
    </row>
    <row r="404" spans="1:5" s="1997" customFormat="1">
      <c r="A404" s="3195"/>
      <c r="C404" s="3196"/>
      <c r="E404" s="3195"/>
    </row>
    <row r="405" spans="1:5" s="1997" customFormat="1">
      <c r="A405" s="3195"/>
      <c r="C405" s="3196"/>
      <c r="E405" s="3195"/>
    </row>
    <row r="406" spans="1:5" s="1997" customFormat="1">
      <c r="A406" s="3195"/>
      <c r="C406" s="3196"/>
      <c r="E406" s="3195"/>
    </row>
    <row r="407" spans="1:5" s="1997" customFormat="1">
      <c r="A407" s="3195"/>
      <c r="C407" s="3196"/>
      <c r="E407" s="3195"/>
    </row>
    <row r="408" spans="1:5" s="1997" customFormat="1">
      <c r="A408" s="3195"/>
      <c r="C408" s="3196"/>
      <c r="E408" s="3195"/>
    </row>
    <row r="409" spans="1:5" s="1997" customFormat="1">
      <c r="A409" s="3195"/>
      <c r="C409" s="3196"/>
      <c r="E409" s="3195"/>
    </row>
    <row r="410" spans="1:5" s="1997" customFormat="1">
      <c r="A410" s="3195"/>
      <c r="C410" s="3196"/>
      <c r="E410" s="3195"/>
    </row>
    <row r="411" spans="1:5" s="1997" customFormat="1">
      <c r="A411" s="3195"/>
      <c r="C411" s="3196"/>
      <c r="E411" s="3195"/>
    </row>
    <row r="412" spans="1:5" s="1997" customFormat="1">
      <c r="A412" s="3195"/>
      <c r="C412" s="3196"/>
      <c r="E412" s="3195"/>
    </row>
    <row r="413" spans="1:5" s="1997" customFormat="1">
      <c r="A413" s="3195"/>
      <c r="C413" s="3196"/>
      <c r="E413" s="3195"/>
    </row>
    <row r="414" spans="1:5" s="1997" customFormat="1">
      <c r="A414" s="3195"/>
      <c r="C414" s="3196"/>
      <c r="E414" s="3195"/>
    </row>
    <row r="415" spans="1:5" s="1997" customFormat="1">
      <c r="A415" s="3195"/>
      <c r="C415" s="3196"/>
      <c r="E415" s="3195"/>
    </row>
    <row r="416" spans="1:5" s="1997" customFormat="1">
      <c r="A416" s="3195"/>
      <c r="C416" s="3196"/>
      <c r="E416" s="3195"/>
    </row>
    <row r="417" spans="1:5" s="1997" customFormat="1">
      <c r="A417" s="3195"/>
      <c r="C417" s="3196"/>
      <c r="E417" s="3195"/>
    </row>
    <row r="418" spans="1:5" s="1997" customFormat="1">
      <c r="A418" s="3195"/>
      <c r="C418" s="3196"/>
      <c r="E418" s="3195"/>
    </row>
    <row r="419" spans="1:5" s="1997" customFormat="1">
      <c r="A419" s="3195"/>
      <c r="C419" s="3196"/>
      <c r="E419" s="3195"/>
    </row>
    <row r="420" spans="1:5" s="1997" customFormat="1">
      <c r="A420" s="3195"/>
      <c r="C420" s="3196"/>
      <c r="E420" s="3195"/>
    </row>
    <row r="421" spans="1:5" s="1997" customFormat="1">
      <c r="A421" s="3195"/>
      <c r="C421" s="3196"/>
      <c r="E421" s="3195"/>
    </row>
    <row r="422" spans="1:5" s="1997" customFormat="1">
      <c r="A422" s="3195"/>
      <c r="C422" s="3196"/>
      <c r="E422" s="3195"/>
    </row>
    <row r="423" spans="1:5" s="1997" customFormat="1">
      <c r="A423" s="3195"/>
      <c r="C423" s="3196"/>
      <c r="E423" s="3195"/>
    </row>
    <row r="424" spans="1:5" s="1997" customFormat="1">
      <c r="A424" s="3195"/>
      <c r="C424" s="3196"/>
      <c r="E424" s="3195"/>
    </row>
    <row r="425" spans="1:5" s="1997" customFormat="1">
      <c r="A425" s="3195"/>
      <c r="C425" s="3196"/>
      <c r="E425" s="3195"/>
    </row>
    <row r="426" spans="1:5" s="1997" customFormat="1">
      <c r="A426" s="3195"/>
      <c r="C426" s="3196"/>
      <c r="E426" s="3195"/>
    </row>
    <row r="427" spans="1:5" s="1997" customFormat="1">
      <c r="A427" s="3195"/>
      <c r="C427" s="3196"/>
      <c r="E427" s="3195"/>
    </row>
    <row r="428" spans="1:5" s="1997" customFormat="1">
      <c r="A428" s="3195"/>
      <c r="C428" s="3196"/>
      <c r="E428" s="3195"/>
    </row>
    <row r="429" spans="1:5" s="1997" customFormat="1">
      <c r="A429" s="3195"/>
      <c r="C429" s="3196"/>
      <c r="E429" s="3195"/>
    </row>
    <row r="430" spans="1:5" s="1997" customFormat="1">
      <c r="A430" s="3195"/>
      <c r="C430" s="3196"/>
      <c r="E430" s="3195"/>
    </row>
    <row r="431" spans="1:5" s="1997" customFormat="1">
      <c r="A431" s="3195"/>
      <c r="C431" s="3196"/>
      <c r="E431" s="3195"/>
    </row>
    <row r="432" spans="1:5" s="1997" customFormat="1">
      <c r="A432" s="3195"/>
      <c r="C432" s="3196"/>
      <c r="E432" s="3195"/>
    </row>
    <row r="433" spans="1:5" s="1997" customFormat="1">
      <c r="A433" s="3195"/>
      <c r="C433" s="3196"/>
      <c r="E433" s="3195"/>
    </row>
    <row r="434" spans="1:5" s="1997" customFormat="1">
      <c r="A434" s="3195"/>
      <c r="C434" s="3196"/>
      <c r="E434" s="3195"/>
    </row>
    <row r="435" spans="1:5" s="1997" customFormat="1">
      <c r="A435" s="3195"/>
      <c r="C435" s="3196"/>
      <c r="E435" s="3195"/>
    </row>
    <row r="436" spans="1:5" s="1997" customFormat="1">
      <c r="A436" s="3195"/>
      <c r="C436" s="3196"/>
      <c r="E436" s="3195"/>
    </row>
    <row r="437" spans="1:5" s="1997" customFormat="1">
      <c r="A437" s="3195"/>
      <c r="C437" s="3196"/>
      <c r="E437" s="3195"/>
    </row>
    <row r="438" spans="1:5" s="1997" customFormat="1">
      <c r="A438" s="3195"/>
      <c r="C438" s="3196"/>
      <c r="E438" s="3195"/>
    </row>
    <row r="439" spans="1:5" s="1997" customFormat="1">
      <c r="A439" s="3195"/>
      <c r="C439" s="3196"/>
      <c r="E439" s="3195"/>
    </row>
    <row r="440" spans="1:5" s="1997" customFormat="1">
      <c r="A440" s="3195"/>
      <c r="C440" s="3196"/>
      <c r="E440" s="3195"/>
    </row>
    <row r="441" spans="1:5" s="1997" customFormat="1">
      <c r="A441" s="3195"/>
      <c r="C441" s="3196"/>
      <c r="E441" s="3195"/>
    </row>
    <row r="442" spans="1:5" s="1997" customFormat="1">
      <c r="A442" s="3195"/>
      <c r="C442" s="3196"/>
      <c r="E442" s="3195"/>
    </row>
    <row r="443" spans="1:5" s="1997" customFormat="1">
      <c r="A443" s="3195"/>
      <c r="C443" s="3196"/>
      <c r="E443" s="3195"/>
    </row>
    <row r="444" spans="1:5" s="1997" customFormat="1">
      <c r="A444" s="3195"/>
      <c r="C444" s="3196"/>
      <c r="E444" s="3195"/>
    </row>
    <row r="445" spans="1:5" s="1997" customFormat="1">
      <c r="A445" s="3195"/>
      <c r="C445" s="3196"/>
      <c r="E445" s="3195"/>
    </row>
    <row r="446" spans="1:5" s="1997" customFormat="1">
      <c r="A446" s="3195"/>
      <c r="C446" s="3196"/>
      <c r="E446" s="3195"/>
    </row>
    <row r="447" spans="1:5" s="1997" customFormat="1">
      <c r="A447" s="3195"/>
      <c r="C447" s="3196"/>
      <c r="E447" s="3195"/>
    </row>
    <row r="448" spans="1:5" s="1997" customFormat="1">
      <c r="A448" s="3195"/>
      <c r="C448" s="3196"/>
      <c r="E448" s="3195"/>
    </row>
    <row r="449" spans="1:5" s="1997" customFormat="1">
      <c r="A449" s="3195"/>
      <c r="C449" s="3196"/>
      <c r="E449" s="3195"/>
    </row>
    <row r="450" spans="1:5" s="1997" customFormat="1">
      <c r="A450" s="3195"/>
      <c r="C450" s="3196"/>
      <c r="E450" s="3195"/>
    </row>
    <row r="451" spans="1:5" s="1997" customFormat="1">
      <c r="A451" s="3195"/>
      <c r="C451" s="3196"/>
      <c r="E451" s="3195"/>
    </row>
    <row r="452" spans="1:5" s="1997" customFormat="1">
      <c r="A452" s="3195"/>
      <c r="C452" s="3196"/>
      <c r="E452" s="3195"/>
    </row>
    <row r="453" spans="1:5" s="1997" customFormat="1">
      <c r="A453" s="3195"/>
      <c r="C453" s="3196"/>
      <c r="E453" s="3195"/>
    </row>
    <row r="454" spans="1:5" s="1997" customFormat="1">
      <c r="A454" s="3195"/>
      <c r="C454" s="3196"/>
      <c r="E454" s="3195"/>
    </row>
    <row r="455" spans="1:5" s="1997" customFormat="1">
      <c r="A455" s="3195"/>
      <c r="C455" s="3196"/>
      <c r="E455" s="3195"/>
    </row>
    <row r="456" spans="1:5" s="1997" customFormat="1">
      <c r="A456" s="3195"/>
      <c r="C456" s="3196"/>
      <c r="E456" s="3195"/>
    </row>
    <row r="457" spans="1:5" s="1997" customFormat="1">
      <c r="A457" s="3195"/>
      <c r="C457" s="3196"/>
      <c r="E457" s="3195"/>
    </row>
    <row r="458" spans="1:5" s="1997" customFormat="1">
      <c r="A458" s="3195"/>
      <c r="C458" s="3196"/>
      <c r="E458" s="3195"/>
    </row>
    <row r="459" spans="1:5" s="1997" customFormat="1">
      <c r="A459" s="3195"/>
      <c r="C459" s="3196"/>
      <c r="E459" s="3195"/>
    </row>
    <row r="460" spans="1:5" s="1997" customFormat="1">
      <c r="A460" s="3195"/>
      <c r="C460" s="3196"/>
      <c r="E460" s="3195"/>
    </row>
    <row r="461" spans="1:5" s="1997" customFormat="1">
      <c r="A461" s="3195"/>
      <c r="C461" s="3196"/>
      <c r="E461" s="3195"/>
    </row>
    <row r="462" spans="1:5" s="1997" customFormat="1">
      <c r="A462" s="3195"/>
      <c r="C462" s="3196"/>
      <c r="E462" s="3195"/>
    </row>
    <row r="463" spans="1:5" s="1997" customFormat="1">
      <c r="A463" s="3195"/>
      <c r="C463" s="3196"/>
      <c r="E463" s="3195"/>
    </row>
    <row r="464" spans="1:5" s="1997" customFormat="1">
      <c r="A464" s="3195"/>
      <c r="C464" s="3196"/>
      <c r="E464" s="3195"/>
    </row>
    <row r="465" spans="1:5" s="1997" customFormat="1">
      <c r="A465" s="3195"/>
      <c r="C465" s="3196"/>
      <c r="E465" s="3195"/>
    </row>
    <row r="466" spans="1:5" s="1997" customFormat="1">
      <c r="A466" s="3195"/>
      <c r="C466" s="3196"/>
      <c r="E466" s="3195"/>
    </row>
    <row r="467" spans="1:5" s="1997" customFormat="1">
      <c r="A467" s="3195"/>
      <c r="C467" s="3196"/>
      <c r="E467" s="3195"/>
    </row>
    <row r="468" spans="1:5" s="1997" customFormat="1">
      <c r="A468" s="3195"/>
      <c r="C468" s="3196"/>
      <c r="E468" s="3195"/>
    </row>
    <row r="469" spans="1:5" s="1997" customFormat="1">
      <c r="A469" s="3195"/>
      <c r="C469" s="3196"/>
      <c r="E469" s="3195"/>
    </row>
    <row r="470" spans="1:5" s="1997" customFormat="1">
      <c r="A470" s="3195"/>
      <c r="C470" s="3196"/>
      <c r="E470" s="3195"/>
    </row>
    <row r="471" spans="1:5" s="1997" customFormat="1">
      <c r="A471" s="3195"/>
      <c r="C471" s="3196"/>
      <c r="E471" s="3195"/>
    </row>
    <row r="472" spans="1:5" s="1997" customFormat="1">
      <c r="A472" s="3195"/>
      <c r="C472" s="3196"/>
      <c r="E472" s="3195"/>
    </row>
    <row r="473" spans="1:5" s="1997" customFormat="1">
      <c r="A473" s="3195"/>
      <c r="C473" s="3196"/>
      <c r="E473" s="3195"/>
    </row>
    <row r="474" spans="1:5" s="1997" customFormat="1">
      <c r="A474" s="3195"/>
      <c r="C474" s="3196"/>
      <c r="E474" s="3195"/>
    </row>
    <row r="475" spans="1:5" s="1997" customFormat="1">
      <c r="A475" s="3195"/>
      <c r="C475" s="3196"/>
      <c r="E475" s="3195"/>
    </row>
    <row r="476" spans="1:5" s="1997" customFormat="1">
      <c r="A476" s="3195"/>
      <c r="C476" s="3196"/>
      <c r="E476" s="3195"/>
    </row>
    <row r="477" spans="1:5" s="1997" customFormat="1">
      <c r="A477" s="3195"/>
      <c r="C477" s="3196"/>
      <c r="E477" s="3195"/>
    </row>
    <row r="478" spans="1:5" s="1997" customFormat="1">
      <c r="A478" s="3195"/>
      <c r="C478" s="3196"/>
      <c r="E478" s="3195"/>
    </row>
    <row r="479" spans="1:5" s="1997" customFormat="1">
      <c r="A479" s="3195"/>
      <c r="C479" s="3196"/>
      <c r="E479" s="3195"/>
    </row>
    <row r="480" spans="1:5" s="1997" customFormat="1">
      <c r="A480" s="3195"/>
      <c r="C480" s="3196"/>
      <c r="E480" s="3195"/>
    </row>
    <row r="481" spans="1:5" s="1997" customFormat="1">
      <c r="A481" s="3195"/>
      <c r="C481" s="3196"/>
      <c r="E481" s="3195"/>
    </row>
    <row r="482" spans="1:5" s="1997" customFormat="1">
      <c r="A482" s="3195"/>
      <c r="C482" s="3196"/>
      <c r="E482" s="3195"/>
    </row>
    <row r="483" spans="1:5" s="1997" customFormat="1">
      <c r="A483" s="3195"/>
      <c r="C483" s="3196"/>
      <c r="E483" s="3195"/>
    </row>
    <row r="484" spans="1:5" s="1997" customFormat="1">
      <c r="A484" s="3195"/>
      <c r="C484" s="3196"/>
      <c r="E484" s="3195"/>
    </row>
    <row r="485" spans="1:5" s="1997" customFormat="1">
      <c r="A485" s="3195"/>
      <c r="C485" s="3196"/>
      <c r="E485" s="3195"/>
    </row>
    <row r="486" spans="1:5" s="1997" customFormat="1">
      <c r="A486" s="3195"/>
      <c r="C486" s="3196"/>
      <c r="E486" s="3195"/>
    </row>
    <row r="487" spans="1:5" s="1997" customFormat="1">
      <c r="A487" s="3195"/>
      <c r="C487" s="3196"/>
      <c r="E487" s="3195"/>
    </row>
    <row r="488" spans="1:5" s="1997" customFormat="1">
      <c r="A488" s="3195"/>
      <c r="C488" s="3196"/>
      <c r="E488" s="3195"/>
    </row>
    <row r="489" spans="1:5" s="1997" customFormat="1">
      <c r="A489" s="3195"/>
      <c r="C489" s="3196"/>
      <c r="E489" s="3195"/>
    </row>
    <row r="490" spans="1:5" s="1997" customFormat="1">
      <c r="A490" s="3195"/>
      <c r="C490" s="3196"/>
      <c r="E490" s="3195"/>
    </row>
  </sheetData>
  <sheetProtection password="CEE9" sheet="1" objects="1" scenarios="1" formatCells="0" formatColumns="0" formatRows="0"/>
  <phoneticPr fontId="13"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N41" sqref="N41"/>
    </sheetView>
  </sheetViews>
  <sheetFormatPr defaultColWidth="9" defaultRowHeight="14.25"/>
  <cols>
    <col min="1" max="1" width="13.375" style="1291" customWidth="1"/>
    <col min="2" max="2" width="15.625" style="1291" customWidth="1"/>
    <col min="3" max="3" width="14.375" style="1291" customWidth="1"/>
    <col min="4" max="4" width="12.125" style="1291" customWidth="1"/>
    <col min="5" max="5" width="14.375" style="1291" customWidth="1"/>
    <col min="6" max="6" width="12.125" style="1291" customWidth="1"/>
    <col min="7" max="7" width="14.5" style="1291" customWidth="1"/>
    <col min="8" max="8" width="12.125" style="1291" customWidth="1"/>
    <col min="9" max="9" width="14.5" style="1291" customWidth="1"/>
    <col min="10" max="10" width="12.125" style="1291" customWidth="1"/>
    <col min="11" max="11" width="12.125" style="1296" customWidth="1"/>
    <col min="12" max="12" width="12.125" style="1297" customWidth="1"/>
    <col min="13" max="15" width="12.125" style="1291" customWidth="1"/>
    <col min="16" max="16" width="4.625" style="1291" customWidth="1"/>
    <col min="17" max="17" width="19.5" style="1291" customWidth="1"/>
    <col min="18" max="22" width="6.125" style="1291" customWidth="1"/>
    <col min="23" max="23" width="5.625" style="1291" customWidth="1"/>
    <col min="24" max="24" width="4.125" style="1291" customWidth="1"/>
    <col min="25" max="25" width="3.5" style="1291" customWidth="1"/>
    <col min="26" max="26" width="19.62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00"/>
      <c r="M1" s="3201"/>
      <c r="N1" s="3201"/>
      <c r="O1" s="3201"/>
      <c r="P1" s="2014"/>
      <c r="Q1" s="2014"/>
      <c r="R1" s="2014"/>
      <c r="S1" s="2014"/>
      <c r="T1" s="2014"/>
      <c r="U1" s="2014"/>
      <c r="V1" s="2014"/>
      <c r="W1" s="2014"/>
      <c r="X1" s="2014"/>
      <c r="Y1" s="2014"/>
      <c r="Z1" s="2014"/>
      <c r="AA1" s="2014"/>
      <c r="AB1" s="2014"/>
      <c r="AC1" s="3202"/>
    </row>
    <row r="2" spans="1:29" s="1290" customFormat="1" ht="28.5" customHeight="1">
      <c r="A2" s="417" t="s">
        <v>461</v>
      </c>
      <c r="B2" s="502" t="e">
        <f>F63</f>
        <v>#DIV/0!</v>
      </c>
      <c r="C2" s="3212"/>
      <c r="D2" s="3212"/>
      <c r="E2" s="3212"/>
      <c r="F2" s="3213"/>
      <c r="G2" s="3212"/>
      <c r="H2" s="3212"/>
      <c r="I2" s="3212"/>
      <c r="J2" s="3212"/>
      <c r="K2" s="3214"/>
      <c r="L2" s="2013"/>
      <c r="M2" s="2014"/>
      <c r="N2" s="2014"/>
      <c r="O2" s="2014"/>
      <c r="P2" s="2014"/>
      <c r="Q2" s="2014"/>
      <c r="R2" s="2014"/>
      <c r="S2" s="2014"/>
      <c r="T2" s="2014"/>
      <c r="U2" s="2014"/>
      <c r="V2" s="2014"/>
      <c r="W2" s="2014"/>
      <c r="X2" s="2014"/>
      <c r="Y2" s="2014"/>
      <c r="Z2" s="2014"/>
      <c r="AA2" s="2014"/>
      <c r="AB2" s="2014"/>
      <c r="AC2" s="3202"/>
    </row>
    <row r="3" spans="1:29" s="1290" customFormat="1" ht="28.5" customHeight="1">
      <c r="A3" s="1332" t="s">
        <v>1676</v>
      </c>
      <c r="B3" s="504" t="e">
        <f>ROUND(B2*10000/'数据-汇总表'!E3,0)</f>
        <v>#DIV/0!</v>
      </c>
      <c r="C3" s="3211"/>
      <c r="D3" s="3211"/>
      <c r="E3" s="3211"/>
      <c r="F3" s="3211"/>
      <c r="G3" s="3212"/>
      <c r="H3" s="3212"/>
      <c r="I3" s="3212"/>
      <c r="J3" s="3212"/>
      <c r="K3" s="3214"/>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t="e">
        <f>IF(B43="单位面积地价",C45,ROUND(B2*10000/'数据-汇总表'!D3,0))</f>
        <v>#DIV/0!</v>
      </c>
      <c r="C4" s="3211"/>
      <c r="D4" s="3211"/>
      <c r="E4" s="3211"/>
      <c r="F4" s="3211"/>
      <c r="G4" s="3212"/>
      <c r="H4" s="3212"/>
      <c r="I4" s="3212"/>
      <c r="J4" s="3212"/>
      <c r="K4" s="3214"/>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463</v>
      </c>
      <c r="D5" s="3211"/>
      <c r="E5" s="3211"/>
      <c r="F5" s="3211"/>
      <c r="G5" s="3212"/>
      <c r="H5" s="3212"/>
      <c r="I5" s="3212"/>
      <c r="J5" s="3212"/>
      <c r="K5" s="3214"/>
      <c r="L5" s="2013"/>
      <c r="M5" s="2014"/>
      <c r="N5" s="2014"/>
      <c r="O5" s="2014"/>
      <c r="P5" s="2014"/>
      <c r="Q5" s="2014"/>
      <c r="R5" s="2014"/>
      <c r="S5" s="2014"/>
      <c r="T5" s="2014"/>
      <c r="U5" s="2014"/>
      <c r="V5" s="2014"/>
      <c r="W5" s="2014"/>
      <c r="X5" s="2014"/>
      <c r="Y5" s="2014"/>
      <c r="Z5" s="2014"/>
      <c r="AA5" s="2014"/>
      <c r="AB5" s="3203"/>
      <c r="AC5" s="1944"/>
    </row>
    <row r="6" spans="1:29" ht="15">
      <c r="A6" s="506" t="s">
        <v>515</v>
      </c>
      <c r="B6" s="507"/>
      <c r="C6" s="3523" t="s">
        <v>516</v>
      </c>
      <c r="D6" s="3524"/>
      <c r="E6" s="3525" t="s">
        <v>517</v>
      </c>
      <c r="F6" s="3526"/>
      <c r="G6" s="3523" t="s">
        <v>518</v>
      </c>
      <c r="H6" s="3524"/>
      <c r="I6" s="3523" t="s">
        <v>519</v>
      </c>
      <c r="J6" s="3524"/>
      <c r="K6" s="508" t="s">
        <v>520</v>
      </c>
      <c r="L6" s="2015"/>
      <c r="M6" s="2016"/>
      <c r="N6" s="2016"/>
      <c r="O6" s="2016"/>
      <c r="P6" s="3527" t="s">
        <v>521</v>
      </c>
      <c r="Q6" s="3528"/>
      <c r="R6" s="3533" t="s">
        <v>517</v>
      </c>
      <c r="S6" s="3534"/>
      <c r="T6" s="3533" t="s">
        <v>518</v>
      </c>
      <c r="U6" s="3534"/>
      <c r="V6" s="3539" t="s">
        <v>519</v>
      </c>
      <c r="W6" s="3539"/>
      <c r="X6" s="1502"/>
      <c r="Y6" s="3533" t="s">
        <v>521</v>
      </c>
      <c r="Z6" s="3534"/>
      <c r="AA6" s="3520" t="s">
        <v>517</v>
      </c>
      <c r="AB6" s="3521" t="s">
        <v>518</v>
      </c>
      <c r="AC6" s="3520" t="s">
        <v>519</v>
      </c>
    </row>
    <row r="7" spans="1:29" ht="15">
      <c r="A7" s="509"/>
      <c r="B7" s="510"/>
      <c r="C7" s="3542" t="s">
        <v>2844</v>
      </c>
      <c r="D7" s="3543"/>
      <c r="E7" s="3540" t="s">
        <v>2845</v>
      </c>
      <c r="F7" s="3541"/>
      <c r="G7" s="3542" t="s">
        <v>2846</v>
      </c>
      <c r="H7" s="3543"/>
      <c r="I7" s="3542" t="s">
        <v>2847</v>
      </c>
      <c r="J7" s="3543"/>
      <c r="K7" s="508"/>
      <c r="L7" s="2015"/>
      <c r="M7" s="2016"/>
      <c r="N7" s="2016"/>
      <c r="O7" s="2016"/>
      <c r="P7" s="3529"/>
      <c r="Q7" s="3530"/>
      <c r="R7" s="3535"/>
      <c r="S7" s="3536"/>
      <c r="T7" s="3535"/>
      <c r="U7" s="3536"/>
      <c r="V7" s="3539"/>
      <c r="W7" s="3539"/>
      <c r="X7" s="1502"/>
      <c r="Y7" s="3535"/>
      <c r="Z7" s="3536"/>
      <c r="AA7" s="3521"/>
      <c r="AB7" s="3521"/>
      <c r="AC7" s="3521"/>
    </row>
    <row r="8" spans="1:29" ht="15.75" thickBot="1">
      <c r="A8" s="511"/>
      <c r="B8" s="512"/>
      <c r="C8" s="3544" t="s">
        <v>2848</v>
      </c>
      <c r="D8" s="3545"/>
      <c r="E8" s="3546" t="s">
        <v>2848</v>
      </c>
      <c r="F8" s="3547"/>
      <c r="G8" s="3544" t="s">
        <v>2848</v>
      </c>
      <c r="H8" s="3545"/>
      <c r="I8" s="3544" t="s">
        <v>2848</v>
      </c>
      <c r="J8" s="3545"/>
      <c r="K8" s="508" t="s">
        <v>522</v>
      </c>
      <c r="L8" s="2015"/>
      <c r="M8" s="2016"/>
      <c r="N8" s="2016"/>
      <c r="O8" s="2016"/>
      <c r="P8" s="3531"/>
      <c r="Q8" s="3532"/>
      <c r="R8" s="3535"/>
      <c r="S8" s="3536"/>
      <c r="T8" s="3537"/>
      <c r="U8" s="3538"/>
      <c r="V8" s="3539"/>
      <c r="W8" s="3539"/>
      <c r="X8" s="1502"/>
      <c r="Y8" s="3537"/>
      <c r="Z8" s="3538"/>
      <c r="AA8" s="3522"/>
      <c r="AB8" s="3522"/>
      <c r="AC8" s="3522"/>
    </row>
    <row r="9" spans="1:29" s="1203" customFormat="1" ht="15.75" thickBot="1">
      <c r="A9" s="2626"/>
      <c r="B9" s="2633" t="s">
        <v>523</v>
      </c>
      <c r="C9" s="513">
        <f>'数据-取费表'!B2</f>
        <v>44097</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550" t="s">
        <v>524</v>
      </c>
      <c r="Q9" s="3552"/>
      <c r="R9" s="1503" t="s">
        <v>8</v>
      </c>
      <c r="S9" s="1504">
        <f t="shared" ref="S9:S17" si="0">F9</f>
        <v>0</v>
      </c>
      <c r="T9" s="1503" t="s">
        <v>8</v>
      </c>
      <c r="U9" s="1504">
        <f t="shared" ref="U9:U17" si="1">H9</f>
        <v>0</v>
      </c>
      <c r="V9" s="1503" t="s">
        <v>8</v>
      </c>
      <c r="W9" s="1504">
        <f t="shared" ref="W9:W17" si="2">J9</f>
        <v>0</v>
      </c>
      <c r="X9" s="1505"/>
      <c r="Y9" s="3550" t="s">
        <v>524</v>
      </c>
      <c r="Z9" s="3551"/>
      <c r="AA9" s="1506" t="e">
        <f>D9/F9</f>
        <v>#DIV/0!</v>
      </c>
      <c r="AB9" s="1506" t="e">
        <f>D9/H9</f>
        <v>#DIV/0!</v>
      </c>
      <c r="AC9" s="1506" t="e">
        <f>D9/J9</f>
        <v>#DIV/0!</v>
      </c>
    </row>
    <row r="10" spans="1:29" s="1203" customFormat="1" ht="15.75" thickBot="1">
      <c r="A10" s="2627"/>
      <c r="B10" s="2634"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550" t="s">
        <v>527</v>
      </c>
      <c r="Q10" s="3551"/>
      <c r="R10" s="1503" t="s">
        <v>8</v>
      </c>
      <c r="S10" s="1504">
        <f t="shared" si="0"/>
        <v>0</v>
      </c>
      <c r="T10" s="1503" t="s">
        <v>8</v>
      </c>
      <c r="U10" s="1504">
        <f t="shared" si="1"/>
        <v>0</v>
      </c>
      <c r="V10" s="1503" t="s">
        <v>8</v>
      </c>
      <c r="W10" s="1504">
        <f t="shared" si="2"/>
        <v>0</v>
      </c>
      <c r="X10" s="1505"/>
      <c r="Y10" s="3550" t="s">
        <v>527</v>
      </c>
      <c r="Z10" s="3551"/>
      <c r="AA10" s="1506" t="e">
        <f t="shared" ref="AA10:AA42" si="3">D10/F10</f>
        <v>#DIV/0!</v>
      </c>
      <c r="AB10" s="1506" t="e">
        <f t="shared" ref="AB10:AB42" si="4">D10/H10</f>
        <v>#DIV/0!</v>
      </c>
      <c r="AC10" s="1506" t="e">
        <f t="shared" ref="AC10:AC42" si="5">D10/J10</f>
        <v>#DIV/0!</v>
      </c>
    </row>
    <row r="11" spans="1:29" s="1203" customFormat="1" ht="15">
      <c r="A11" s="2628"/>
      <c r="B11" s="2635" t="s">
        <v>2689</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554" t="s">
        <v>529</v>
      </c>
      <c r="Q11" s="1134" t="str">
        <f t="shared" ref="Q11:Q17" si="6">B11</f>
        <v>用途</v>
      </c>
      <c r="R11" s="1503" t="s">
        <v>8</v>
      </c>
      <c r="S11" s="1504">
        <f t="shared" si="0"/>
        <v>100</v>
      </c>
      <c r="T11" s="1503" t="s">
        <v>8</v>
      </c>
      <c r="U11" s="1504">
        <f t="shared" si="1"/>
        <v>100</v>
      </c>
      <c r="V11" s="1503" t="s">
        <v>8</v>
      </c>
      <c r="W11" s="1504">
        <f t="shared" si="2"/>
        <v>100</v>
      </c>
      <c r="X11" s="1505"/>
      <c r="Y11" s="3443" t="s">
        <v>530</v>
      </c>
      <c r="Z11" s="1133" t="str">
        <f t="shared" ref="Z11:Z17" si="7">Q11</f>
        <v>用途</v>
      </c>
      <c r="AA11" s="1506">
        <f t="shared" si="3"/>
        <v>1</v>
      </c>
      <c r="AB11" s="1506">
        <f t="shared" si="4"/>
        <v>1</v>
      </c>
      <c r="AC11" s="1506">
        <f t="shared" si="5"/>
        <v>1</v>
      </c>
    </row>
    <row r="12" spans="1:29" s="1292" customFormat="1" ht="27">
      <c r="A12" s="2629"/>
      <c r="B12" s="2634" t="s">
        <v>2690</v>
      </c>
      <c r="C12" s="522"/>
      <c r="D12" s="253">
        <v>100</v>
      </c>
      <c r="E12" s="522"/>
      <c r="F12" s="253">
        <f>ROUND(100/'数据-取费表'!G16,0)</f>
        <v>100</v>
      </c>
      <c r="G12" s="522"/>
      <c r="H12" s="253">
        <f>ROUND(100/'数据-取费表'!G16,0)</f>
        <v>100</v>
      </c>
      <c r="I12" s="522"/>
      <c r="J12" s="253">
        <f>ROUND(100/'数据-取费表'!G16,0)</f>
        <v>100</v>
      </c>
      <c r="K12" s="525"/>
      <c r="L12" s="2020"/>
      <c r="M12" s="2059"/>
      <c r="N12" s="2059"/>
      <c r="O12" s="2021"/>
      <c r="P12" s="3554"/>
      <c r="Q12" s="1134" t="str">
        <f t="shared" si="6"/>
        <v>土地使用年限（年）</v>
      </c>
      <c r="R12" s="1503" t="s">
        <v>8</v>
      </c>
      <c r="S12" s="1504">
        <f t="shared" si="0"/>
        <v>100</v>
      </c>
      <c r="T12" s="1503" t="s">
        <v>8</v>
      </c>
      <c r="U12" s="1504">
        <f t="shared" si="1"/>
        <v>100</v>
      </c>
      <c r="V12" s="1503" t="s">
        <v>8</v>
      </c>
      <c r="W12" s="1504">
        <f t="shared" si="2"/>
        <v>100</v>
      </c>
      <c r="X12" s="1505"/>
      <c r="Y12" s="3443"/>
      <c r="Z12" s="1133" t="str">
        <f t="shared" si="7"/>
        <v>土地使用年限（年）</v>
      </c>
      <c r="AA12" s="1506">
        <f t="shared" si="3"/>
        <v>1</v>
      </c>
      <c r="AB12" s="1506">
        <f t="shared" si="4"/>
        <v>1</v>
      </c>
      <c r="AC12" s="1506">
        <f t="shared" si="5"/>
        <v>1</v>
      </c>
    </row>
    <row r="13" spans="1:29" ht="15">
      <c r="A13" s="2630"/>
      <c r="B13" s="2634" t="s">
        <v>2691</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554"/>
      <c r="Q13" s="1134" t="str">
        <f t="shared" si="6"/>
        <v>容积率</v>
      </c>
      <c r="R13" s="1503" t="s">
        <v>8</v>
      </c>
      <c r="S13" s="1504" t="e">
        <f t="shared" si="0"/>
        <v>#N/A</v>
      </c>
      <c r="T13" s="1503" t="s">
        <v>8</v>
      </c>
      <c r="U13" s="1504" t="e">
        <f t="shared" si="1"/>
        <v>#N/A</v>
      </c>
      <c r="V13" s="1503" t="s">
        <v>8</v>
      </c>
      <c r="W13" s="1504" t="e">
        <f t="shared" si="2"/>
        <v>#N/A</v>
      </c>
      <c r="X13" s="1505"/>
      <c r="Y13" s="3443"/>
      <c r="Z13" s="1133" t="str">
        <f t="shared" si="7"/>
        <v>容积率</v>
      </c>
      <c r="AA13" s="1506" t="e">
        <f t="shared" si="3"/>
        <v>#N/A</v>
      </c>
      <c r="AB13" s="1506" t="e">
        <f t="shared" si="4"/>
        <v>#N/A</v>
      </c>
      <c r="AC13" s="1506" t="e">
        <f t="shared" si="5"/>
        <v>#N/A</v>
      </c>
    </row>
    <row r="14" spans="1:29" s="1203" customFormat="1" ht="15">
      <c r="A14" s="2631"/>
      <c r="B14" s="2637">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554"/>
      <c r="Q14" s="1134">
        <f t="shared" si="6"/>
        <v>111</v>
      </c>
      <c r="R14" s="1503" t="s">
        <v>8</v>
      </c>
      <c r="S14" s="1504">
        <f t="shared" si="0"/>
        <v>100</v>
      </c>
      <c r="T14" s="1503" t="s">
        <v>8</v>
      </c>
      <c r="U14" s="1504">
        <f t="shared" si="1"/>
        <v>100</v>
      </c>
      <c r="V14" s="1503" t="s">
        <v>8</v>
      </c>
      <c r="W14" s="1504">
        <f t="shared" si="2"/>
        <v>100</v>
      </c>
      <c r="X14" s="1505"/>
      <c r="Y14" s="3443"/>
      <c r="Z14" s="1133">
        <f t="shared" si="7"/>
        <v>111</v>
      </c>
      <c r="AA14" s="1506">
        <f>D14/F14</f>
        <v>1</v>
      </c>
      <c r="AB14" s="1506">
        <f>D14/H14</f>
        <v>1</v>
      </c>
      <c r="AC14" s="1506">
        <f>D14/J14</f>
        <v>1</v>
      </c>
    </row>
    <row r="15" spans="1:29" ht="15">
      <c r="A15" s="2631"/>
      <c r="B15" s="2637">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554"/>
      <c r="Q15" s="1134">
        <f t="shared" si="6"/>
        <v>111</v>
      </c>
      <c r="R15" s="1503" t="s">
        <v>8</v>
      </c>
      <c r="S15" s="1504">
        <f t="shared" si="0"/>
        <v>100</v>
      </c>
      <c r="T15" s="1503" t="s">
        <v>8</v>
      </c>
      <c r="U15" s="1504">
        <f t="shared" si="1"/>
        <v>100</v>
      </c>
      <c r="V15" s="1503" t="s">
        <v>8</v>
      </c>
      <c r="W15" s="1504">
        <f t="shared" si="2"/>
        <v>100</v>
      </c>
      <c r="X15" s="1505"/>
      <c r="Y15" s="3443"/>
      <c r="Z15" s="1133">
        <f t="shared" si="7"/>
        <v>111</v>
      </c>
      <c r="AA15" s="1506">
        <f t="shared" si="3"/>
        <v>1</v>
      </c>
      <c r="AB15" s="1506">
        <f t="shared" si="4"/>
        <v>1</v>
      </c>
      <c r="AC15" s="1506">
        <f t="shared" si="5"/>
        <v>1</v>
      </c>
    </row>
    <row r="16" spans="1:29" ht="15.75" thickBot="1">
      <c r="A16" s="2632"/>
      <c r="B16" s="2638">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554"/>
      <c r="Q16" s="1134">
        <f t="shared" si="6"/>
        <v>111</v>
      </c>
      <c r="R16" s="1503" t="s">
        <v>8</v>
      </c>
      <c r="S16" s="1504">
        <f t="shared" si="0"/>
        <v>100</v>
      </c>
      <c r="T16" s="1503" t="s">
        <v>8</v>
      </c>
      <c r="U16" s="1504">
        <f t="shared" si="1"/>
        <v>100</v>
      </c>
      <c r="V16" s="1503" t="s">
        <v>8</v>
      </c>
      <c r="W16" s="1504">
        <f t="shared" si="2"/>
        <v>100</v>
      </c>
      <c r="X16" s="1505"/>
      <c r="Y16" s="3443"/>
      <c r="Z16" s="1133">
        <f t="shared" si="7"/>
        <v>111</v>
      </c>
      <c r="AA16" s="1506">
        <f t="shared" si="3"/>
        <v>1</v>
      </c>
      <c r="AB16" s="1506">
        <f t="shared" si="4"/>
        <v>1</v>
      </c>
      <c r="AC16" s="1506">
        <f t="shared" si="5"/>
        <v>1</v>
      </c>
    </row>
    <row r="17" spans="1:29" ht="171">
      <c r="A17" s="2624" t="s">
        <v>2687</v>
      </c>
      <c r="B17" s="164" t="s">
        <v>592</v>
      </c>
      <c r="C17" s="910" t="str">
        <f>估价对象房地状况!G15</f>
        <v>估价对象现状周边以产业用地为主，邻近周边有乐铁设备(北京)有限公司、综合信兴物流(南法信卫生院东北)、安博北京首都机场第二物流中心等，物流企业较多，产业集聚程度较好。</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548" t="s">
        <v>534</v>
      </c>
      <c r="Q17" s="1507" t="str">
        <f t="shared" si="6"/>
        <v>产业集聚程度</v>
      </c>
      <c r="R17" s="1508" t="s">
        <v>8</v>
      </c>
      <c r="S17" s="1509">
        <f t="shared" si="0"/>
        <v>100</v>
      </c>
      <c r="T17" s="1508" t="s">
        <v>8</v>
      </c>
      <c r="U17" s="1509">
        <f t="shared" si="1"/>
        <v>100</v>
      </c>
      <c r="V17" s="1508" t="s">
        <v>8</v>
      </c>
      <c r="W17" s="1509">
        <f t="shared" si="2"/>
        <v>100</v>
      </c>
      <c r="X17" s="1502"/>
      <c r="Y17" s="3548"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4"/>
      <c r="M18" s="2016"/>
      <c r="N18" s="2016"/>
      <c r="O18" s="2023"/>
      <c r="P18" s="3549"/>
      <c r="Q18" s="1507"/>
      <c r="R18" s="1508"/>
      <c r="S18" s="1509"/>
      <c r="T18" s="1508"/>
      <c r="U18" s="1509"/>
      <c r="V18" s="1508"/>
      <c r="W18" s="1509"/>
      <c r="X18" s="1502"/>
      <c r="Y18" s="3549"/>
      <c r="Z18" s="1510"/>
      <c r="AA18" s="1511">
        <v>1</v>
      </c>
      <c r="AB18" s="1511">
        <v>1</v>
      </c>
      <c r="AC18" s="1511">
        <v>1</v>
      </c>
    </row>
    <row r="19" spans="1:29" ht="85.5">
      <c r="A19" s="526"/>
      <c r="B19" s="860" t="s">
        <v>537</v>
      </c>
      <c r="C19" s="861" t="str">
        <f>估价对象房地状况!G16</f>
        <v>估价对象周边有顺2路、顺27路、顺28路、顺38路、顺43路、顺59路、顺60路等多条公交线路，距地铁15号线（南法信站）约500米，综合评价交通便捷度较好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49"/>
      <c r="Q19" s="1507" t="str">
        <f>B19</f>
        <v>交通便捷度</v>
      </c>
      <c r="R19" s="1508" t="s">
        <v>8</v>
      </c>
      <c r="S19" s="1509">
        <f>F19</f>
        <v>100</v>
      </c>
      <c r="T19" s="1508" t="s">
        <v>8</v>
      </c>
      <c r="U19" s="1509">
        <f>H19</f>
        <v>100</v>
      </c>
      <c r="V19" s="1508" t="s">
        <v>8</v>
      </c>
      <c r="W19" s="1509">
        <f>J19</f>
        <v>100</v>
      </c>
      <c r="X19" s="1502"/>
      <c r="Y19" s="3549"/>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4"/>
      <c r="M20" s="2016"/>
      <c r="N20" s="2016"/>
      <c r="O20" s="2023"/>
      <c r="P20" s="3549"/>
      <c r="Q20" s="1507"/>
      <c r="R20" s="1508"/>
      <c r="S20" s="1509"/>
      <c r="T20" s="1508"/>
      <c r="U20" s="1509"/>
      <c r="V20" s="1508"/>
      <c r="W20" s="1509"/>
      <c r="X20" s="1502"/>
      <c r="Y20" s="3549"/>
      <c r="Z20" s="1510"/>
      <c r="AA20" s="1511">
        <v>1</v>
      </c>
      <c r="AB20" s="1511">
        <v>1</v>
      </c>
      <c r="AC20" s="1511">
        <v>1</v>
      </c>
    </row>
    <row r="21" spans="1:29" ht="27">
      <c r="A21" s="509"/>
      <c r="B21" s="860" t="s">
        <v>538</v>
      </c>
      <c r="C21" s="861" t="str">
        <f>估价对象房地状况!G17</f>
        <v>周边以产业用地为主，兼有市政设施及居住、商服配套用地。</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549"/>
      <c r="Q21" s="1507" t="str">
        <f t="shared" ref="Q21:Q35" si="8">B21</f>
        <v>区域土地利用方向</v>
      </c>
      <c r="R21" s="1508" t="s">
        <v>8</v>
      </c>
      <c r="S21" s="1509">
        <f>F21</f>
        <v>100</v>
      </c>
      <c r="T21" s="1508" t="s">
        <v>8</v>
      </c>
      <c r="U21" s="1509">
        <f>H21</f>
        <v>100</v>
      </c>
      <c r="V21" s="1508" t="s">
        <v>8</v>
      </c>
      <c r="W21" s="1509">
        <f>J21</f>
        <v>100</v>
      </c>
      <c r="X21" s="1502"/>
      <c r="Y21" s="3549"/>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4"/>
      <c r="M22" s="2016"/>
      <c r="N22" s="2016"/>
      <c r="O22" s="2023"/>
      <c r="P22" s="3549"/>
      <c r="Q22" s="1507"/>
      <c r="R22" s="1508"/>
      <c r="S22" s="1509"/>
      <c r="T22" s="1508"/>
      <c r="U22" s="1509"/>
      <c r="V22" s="1508"/>
      <c r="W22" s="1509"/>
      <c r="X22" s="1502"/>
      <c r="Y22" s="3549"/>
      <c r="Z22" s="1510"/>
      <c r="AA22" s="1511"/>
      <c r="AB22" s="1511"/>
      <c r="AC22" s="1511"/>
    </row>
    <row r="23" spans="1:29" ht="71.25">
      <c r="A23" s="509"/>
      <c r="B23" s="911" t="s">
        <v>593</v>
      </c>
      <c r="C23" s="861" t="str">
        <f>估价对象房地状况!G18</f>
        <v>区域自然环境：小众河；人文环境：国家新闻出版广电总局研修学院；综合评价环境状况一般</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549"/>
      <c r="Q23" s="1507" t="str">
        <f t="shared" si="8"/>
        <v>环境状况</v>
      </c>
      <c r="R23" s="1508" t="s">
        <v>8</v>
      </c>
      <c r="S23" s="1509">
        <f>F23</f>
        <v>100</v>
      </c>
      <c r="T23" s="1508" t="s">
        <v>8</v>
      </c>
      <c r="U23" s="1509">
        <f>H23</f>
        <v>100</v>
      </c>
      <c r="V23" s="1508" t="s">
        <v>8</v>
      </c>
      <c r="W23" s="1509">
        <f>J23</f>
        <v>100</v>
      </c>
      <c r="X23" s="1502"/>
      <c r="Y23" s="3549"/>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4"/>
      <c r="M24" s="2016"/>
      <c r="N24" s="2016"/>
      <c r="O24" s="2023"/>
      <c r="P24" s="3549"/>
      <c r="Q24" s="1507"/>
      <c r="R24" s="1508"/>
      <c r="S24" s="1509"/>
      <c r="T24" s="1508"/>
      <c r="U24" s="1509"/>
      <c r="V24" s="1508"/>
      <c r="W24" s="1509"/>
      <c r="X24" s="1502"/>
      <c r="Y24" s="3549"/>
      <c r="Z24" s="1510"/>
      <c r="AA24" s="1511">
        <v>1</v>
      </c>
      <c r="AB24" s="1511">
        <v>1</v>
      </c>
      <c r="AC24" s="1511">
        <v>1</v>
      </c>
    </row>
    <row r="25" spans="1:29" s="1203" customFormat="1" ht="42.75">
      <c r="A25" s="571"/>
      <c r="B25" s="2434" t="s">
        <v>2482</v>
      </c>
      <c r="C25" s="861" t="str">
        <f>估价对象房地状况!G19</f>
        <v>估价对象所在区域公共配套设施齐备情况一般</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49"/>
      <c r="Q25" s="1134" t="str">
        <f t="shared" si="8"/>
        <v>公共配套设施</v>
      </c>
      <c r="R25" s="1503" t="s">
        <v>8</v>
      </c>
      <c r="S25" s="1504">
        <f>F25</f>
        <v>100</v>
      </c>
      <c r="T25" s="1503" t="s">
        <v>8</v>
      </c>
      <c r="U25" s="1504">
        <f>H25</f>
        <v>100</v>
      </c>
      <c r="V25" s="1503" t="s">
        <v>8</v>
      </c>
      <c r="W25" s="1504">
        <f>J25</f>
        <v>100</v>
      </c>
      <c r="X25" s="1505"/>
      <c r="Y25" s="3549"/>
      <c r="Z25" s="1133" t="str">
        <f>Q25</f>
        <v>公共配套设施</v>
      </c>
      <c r="AA25" s="1511">
        <f>D25/F25</f>
        <v>1</v>
      </c>
      <c r="AB25" s="1511">
        <f>D25/H25</f>
        <v>1</v>
      </c>
      <c r="AC25" s="1511">
        <f>D25/J25</f>
        <v>1</v>
      </c>
    </row>
    <row r="26" spans="1:29" s="1203" customFormat="1" ht="15">
      <c r="A26" s="571"/>
      <c r="B26" s="589"/>
      <c r="C26" s="2433"/>
      <c r="D26" s="549"/>
      <c r="E26" s="548"/>
      <c r="F26" s="549"/>
      <c r="G26" s="548"/>
      <c r="H26" s="549"/>
      <c r="I26" s="570"/>
      <c r="J26" s="549"/>
      <c r="K26" s="525"/>
      <c r="L26" s="2017"/>
      <c r="M26" s="2018"/>
      <c r="N26" s="2018"/>
      <c r="O26" s="2019"/>
      <c r="P26" s="3549"/>
      <c r="Q26" s="1134"/>
      <c r="R26" s="1503"/>
      <c r="S26" s="1504"/>
      <c r="T26" s="1503"/>
      <c r="U26" s="1504"/>
      <c r="V26" s="1503"/>
      <c r="W26" s="1504"/>
      <c r="X26" s="1505"/>
      <c r="Y26" s="3549"/>
      <c r="Z26" s="1133"/>
      <c r="AA26" s="1506">
        <v>1</v>
      </c>
      <c r="AB26" s="1506">
        <v>1</v>
      </c>
      <c r="AC26" s="1506">
        <v>1</v>
      </c>
    </row>
    <row r="27" spans="1:29" s="1203" customFormat="1" ht="28.5">
      <c r="A27" s="571"/>
      <c r="B27" s="2434" t="s">
        <v>2483</v>
      </c>
      <c r="C27" s="861" t="str">
        <f>估价对象房地状况!G20</f>
        <v>估价对象所在区域内基础设施配套条件达到“五通”（包括通路、通电、通讯、通上水、通下水），基本能够保证工作、生产需要，基础设施配套完善度一般。</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49"/>
      <c r="Q27" s="2425" t="str">
        <f>B27</f>
        <v>基础设施水平</v>
      </c>
      <c r="R27" s="1503" t="s">
        <v>8</v>
      </c>
      <c r="S27" s="1504">
        <f>F27</f>
        <v>100</v>
      </c>
      <c r="T27" s="1503" t="s">
        <v>8</v>
      </c>
      <c r="U27" s="1504">
        <f>H27</f>
        <v>100</v>
      </c>
      <c r="V27" s="1503" t="s">
        <v>8</v>
      </c>
      <c r="W27" s="1504">
        <f>J27</f>
        <v>100</v>
      </c>
      <c r="X27" s="1505"/>
      <c r="Y27" s="3549"/>
      <c r="Z27" s="2424" t="str">
        <f>Q27</f>
        <v>基础设施水平</v>
      </c>
      <c r="AA27" s="1511">
        <f>D27/F27</f>
        <v>1</v>
      </c>
      <c r="AB27" s="1511">
        <f>D27/H27</f>
        <v>1</v>
      </c>
      <c r="AC27" s="1511">
        <f>D27/J27</f>
        <v>1</v>
      </c>
    </row>
    <row r="28" spans="1:29" s="1203" customFormat="1" ht="15">
      <c r="A28" s="571"/>
      <c r="B28" s="589"/>
      <c r="C28" s="2433"/>
      <c r="D28" s="549"/>
      <c r="E28" s="573"/>
      <c r="F28" s="549"/>
      <c r="G28" s="573"/>
      <c r="H28" s="549"/>
      <c r="I28" s="573"/>
      <c r="J28" s="549"/>
      <c r="K28" s="525"/>
      <c r="L28" s="2017"/>
      <c r="M28" s="2018"/>
      <c r="N28" s="2018"/>
      <c r="O28" s="2019"/>
      <c r="P28" s="3549"/>
      <c r="Q28" s="2425"/>
      <c r="R28" s="1503"/>
      <c r="S28" s="1504"/>
      <c r="T28" s="1503"/>
      <c r="U28" s="1504"/>
      <c r="V28" s="1503"/>
      <c r="W28" s="1504"/>
      <c r="X28" s="1505"/>
      <c r="Y28" s="3549"/>
      <c r="Z28" s="2424"/>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49"/>
      <c r="Q29" s="1507" t="str">
        <f t="shared" si="8"/>
        <v>临街状况</v>
      </c>
      <c r="R29" s="1508" t="s">
        <v>8</v>
      </c>
      <c r="S29" s="1509">
        <f t="shared" ref="S29:S42" si="9">F29</f>
        <v>100</v>
      </c>
      <c r="T29" s="1508" t="s">
        <v>8</v>
      </c>
      <c r="U29" s="1509">
        <f t="shared" ref="U29:U42" si="10">H29</f>
        <v>100</v>
      </c>
      <c r="V29" s="1508" t="s">
        <v>8</v>
      </c>
      <c r="W29" s="1509">
        <f t="shared" ref="W29:W42" si="11">J29</f>
        <v>100</v>
      </c>
      <c r="X29" s="1502"/>
      <c r="Y29" s="3549"/>
      <c r="Z29" s="1510" t="str">
        <f t="shared" ref="Z29:Z42" si="12">Q29</f>
        <v>临街状况</v>
      </c>
      <c r="AA29" s="1511">
        <f t="shared" si="3"/>
        <v>1</v>
      </c>
      <c r="AB29" s="1511">
        <f t="shared" si="4"/>
        <v>1</v>
      </c>
      <c r="AC29" s="1511">
        <f t="shared" si="5"/>
        <v>1</v>
      </c>
    </row>
    <row r="30" spans="1:29" ht="27">
      <c r="A30" s="526"/>
      <c r="B30" s="911" t="s">
        <v>542</v>
      </c>
      <c r="C30" s="2436" t="str">
        <f>估价对象房地状况!G22</f>
        <v>城市次干道——顺余路</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49"/>
      <c r="Q30" s="1507" t="str">
        <f t="shared" si="8"/>
        <v>毗邻道路的类型与等级</v>
      </c>
      <c r="R30" s="1508" t="s">
        <v>8</v>
      </c>
      <c r="S30" s="1509">
        <f t="shared" si="9"/>
        <v>100</v>
      </c>
      <c r="T30" s="1508" t="s">
        <v>8</v>
      </c>
      <c r="U30" s="1509">
        <f t="shared" si="10"/>
        <v>100</v>
      </c>
      <c r="V30" s="1508" t="s">
        <v>8</v>
      </c>
      <c r="W30" s="1509">
        <f t="shared" si="11"/>
        <v>100</v>
      </c>
      <c r="X30" s="1502"/>
      <c r="Y30" s="3549"/>
      <c r="Z30" s="1510" t="str">
        <f t="shared" si="12"/>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4"/>
      <c r="M31" s="2016"/>
      <c r="N31" s="2016"/>
      <c r="O31" s="2023"/>
      <c r="P31" s="3549"/>
      <c r="Q31" s="1507"/>
      <c r="R31" s="1508"/>
      <c r="S31" s="1509"/>
      <c r="T31" s="1508"/>
      <c r="U31" s="1509"/>
      <c r="V31" s="1508"/>
      <c r="W31" s="1509"/>
      <c r="X31" s="1502"/>
      <c r="Y31" s="3549"/>
      <c r="Z31" s="1510"/>
      <c r="AA31" s="1511">
        <v>1</v>
      </c>
      <c r="AB31" s="1511">
        <v>1</v>
      </c>
      <c r="AC31" s="1511">
        <v>1</v>
      </c>
    </row>
    <row r="32" spans="1:29" ht="15">
      <c r="A32" s="526"/>
      <c r="B32" s="521" t="s">
        <v>543</v>
      </c>
      <c r="C32" s="2437">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49"/>
      <c r="Q32" s="1507" t="str">
        <f t="shared" si="8"/>
        <v>土地级别</v>
      </c>
      <c r="R32" s="1508" t="s">
        <v>8</v>
      </c>
      <c r="S32" s="1509">
        <f t="shared" si="9"/>
        <v>100</v>
      </c>
      <c r="T32" s="1508" t="s">
        <v>8</v>
      </c>
      <c r="U32" s="1509">
        <f t="shared" si="10"/>
        <v>100</v>
      </c>
      <c r="V32" s="1508" t="s">
        <v>8</v>
      </c>
      <c r="W32" s="1509">
        <f t="shared" si="11"/>
        <v>100</v>
      </c>
      <c r="X32" s="1502"/>
      <c r="Y32" s="3549"/>
      <c r="Z32" s="1510" t="str">
        <f t="shared" si="12"/>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49"/>
      <c r="Q33" s="1507">
        <f t="shared" si="8"/>
        <v>111</v>
      </c>
      <c r="R33" s="1508" t="s">
        <v>8</v>
      </c>
      <c r="S33" s="1509">
        <f t="shared" si="9"/>
        <v>100</v>
      </c>
      <c r="T33" s="1508" t="s">
        <v>8</v>
      </c>
      <c r="U33" s="1509">
        <f t="shared" si="10"/>
        <v>100</v>
      </c>
      <c r="V33" s="1508" t="s">
        <v>8</v>
      </c>
      <c r="W33" s="1509">
        <f t="shared" si="11"/>
        <v>100</v>
      </c>
      <c r="X33" s="1502"/>
      <c r="Y33" s="3549"/>
      <c r="Z33" s="1510">
        <f t="shared" si="12"/>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55" t="s">
        <v>544</v>
      </c>
      <c r="Q34" s="1507">
        <f t="shared" si="8"/>
        <v>111</v>
      </c>
      <c r="R34" s="1508" t="s">
        <v>8</v>
      </c>
      <c r="S34" s="1509">
        <f t="shared" si="9"/>
        <v>100</v>
      </c>
      <c r="T34" s="1508" t="s">
        <v>8</v>
      </c>
      <c r="U34" s="1509">
        <f t="shared" si="10"/>
        <v>100</v>
      </c>
      <c r="V34" s="1508" t="s">
        <v>8</v>
      </c>
      <c r="W34" s="1509">
        <f t="shared" si="11"/>
        <v>100</v>
      </c>
      <c r="X34" s="1502"/>
      <c r="Y34" s="3553" t="s">
        <v>544</v>
      </c>
      <c r="Z34" s="1510">
        <f t="shared" si="12"/>
        <v>111</v>
      </c>
      <c r="AA34" s="1511">
        <f t="shared" si="3"/>
        <v>1</v>
      </c>
      <c r="AB34" s="1511">
        <f t="shared" si="4"/>
        <v>1</v>
      </c>
      <c r="AC34" s="1511">
        <f t="shared" si="5"/>
        <v>1</v>
      </c>
    </row>
    <row r="35" spans="1:29" s="1293" customFormat="1" ht="15.75" thickBot="1">
      <c r="A35" s="583"/>
      <c r="B35" s="2435">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53"/>
      <c r="Q35" s="1507">
        <f t="shared" si="8"/>
        <v>111</v>
      </c>
      <c r="R35" s="1512" t="s">
        <v>8</v>
      </c>
      <c r="S35" s="1513">
        <f t="shared" si="9"/>
        <v>100</v>
      </c>
      <c r="T35" s="1512" t="s">
        <v>8</v>
      </c>
      <c r="U35" s="1513">
        <f t="shared" si="10"/>
        <v>100</v>
      </c>
      <c r="V35" s="1512" t="s">
        <v>8</v>
      </c>
      <c r="W35" s="1513">
        <f t="shared" si="11"/>
        <v>100</v>
      </c>
      <c r="X35" s="1514"/>
      <c r="Y35" s="3553"/>
      <c r="Z35" s="1515">
        <f t="shared" si="12"/>
        <v>111</v>
      </c>
      <c r="AA35" s="1511">
        <f t="shared" si="3"/>
        <v>1</v>
      </c>
      <c r="AB35" s="1511">
        <f t="shared" si="4"/>
        <v>1</v>
      </c>
      <c r="AC35" s="1511">
        <f t="shared" si="5"/>
        <v>1</v>
      </c>
    </row>
    <row r="36" spans="1:29" ht="15">
      <c r="A36" s="2621" t="s">
        <v>2688</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553"/>
      <c r="Q36" s="1507" t="str">
        <f>B36</f>
        <v>宗地面积</v>
      </c>
      <c r="R36" s="1508" t="s">
        <v>8</v>
      </c>
      <c r="S36" s="1509" t="e">
        <f t="shared" si="9"/>
        <v>#N/A</v>
      </c>
      <c r="T36" s="1508" t="s">
        <v>8</v>
      </c>
      <c r="U36" s="1509" t="e">
        <f t="shared" si="10"/>
        <v>#N/A</v>
      </c>
      <c r="V36" s="1508" t="s">
        <v>8</v>
      </c>
      <c r="W36" s="1509" t="e">
        <f t="shared" si="11"/>
        <v>#N/A</v>
      </c>
      <c r="X36" s="1502"/>
      <c r="Y36" s="3553"/>
      <c r="Z36" s="1510" t="str">
        <f t="shared" si="12"/>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53"/>
      <c r="Q37" s="1507" t="str">
        <f t="shared" ref="Q37:Q42" si="13">B37</f>
        <v>宗地形状</v>
      </c>
      <c r="R37" s="1508" t="s">
        <v>8</v>
      </c>
      <c r="S37" s="1509">
        <f t="shared" si="9"/>
        <v>100</v>
      </c>
      <c r="T37" s="1508" t="s">
        <v>8</v>
      </c>
      <c r="U37" s="1509">
        <f t="shared" si="10"/>
        <v>100</v>
      </c>
      <c r="V37" s="1508" t="s">
        <v>8</v>
      </c>
      <c r="W37" s="1509">
        <f t="shared" si="11"/>
        <v>100</v>
      </c>
      <c r="X37" s="1502"/>
      <c r="Y37" s="3553"/>
      <c r="Z37" s="1510" t="str">
        <f t="shared" si="12"/>
        <v>宗地形状</v>
      </c>
      <c r="AA37" s="1511">
        <f t="shared" si="3"/>
        <v>1</v>
      </c>
      <c r="AB37" s="1511">
        <f t="shared" si="4"/>
        <v>1</v>
      </c>
      <c r="AC37" s="1511">
        <f t="shared" si="5"/>
        <v>1</v>
      </c>
    </row>
    <row r="38" spans="1:29" s="1203" customFormat="1" ht="15">
      <c r="A38" s="594"/>
      <c r="B38" s="1809" t="s">
        <v>2363</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553"/>
      <c r="Q38" s="1507" t="str">
        <f t="shared" si="13"/>
        <v>宗地开发程度</v>
      </c>
      <c r="R38" s="1503" t="s">
        <v>8</v>
      </c>
      <c r="S38" s="1504">
        <f t="shared" si="9"/>
        <v>100</v>
      </c>
      <c r="T38" s="1503" t="s">
        <v>8</v>
      </c>
      <c r="U38" s="1504">
        <f t="shared" si="10"/>
        <v>100</v>
      </c>
      <c r="V38" s="1503" t="s">
        <v>8</v>
      </c>
      <c r="W38" s="1504">
        <f t="shared" si="11"/>
        <v>100</v>
      </c>
      <c r="X38" s="1505"/>
      <c r="Y38" s="3553"/>
      <c r="Z38" s="1133" t="str">
        <f t="shared" si="12"/>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53" t="s">
        <v>595</v>
      </c>
      <c r="Q39" s="1507" t="str">
        <f t="shared" si="13"/>
        <v>工程地质条件</v>
      </c>
      <c r="R39" s="1508" t="s">
        <v>8</v>
      </c>
      <c r="S39" s="1509">
        <f t="shared" si="9"/>
        <v>100</v>
      </c>
      <c r="T39" s="1508" t="s">
        <v>8</v>
      </c>
      <c r="U39" s="1509">
        <f t="shared" si="10"/>
        <v>100</v>
      </c>
      <c r="V39" s="1508" t="s">
        <v>8</v>
      </c>
      <c r="W39" s="1509">
        <f t="shared" si="11"/>
        <v>100</v>
      </c>
      <c r="X39" s="1502"/>
      <c r="Y39" s="3553" t="s">
        <v>595</v>
      </c>
      <c r="Z39" s="1510" t="str">
        <f t="shared" si="12"/>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53"/>
      <c r="Q40" s="1507">
        <f t="shared" si="13"/>
        <v>111</v>
      </c>
      <c r="R40" s="1508" t="s">
        <v>8</v>
      </c>
      <c r="S40" s="1509">
        <f t="shared" si="9"/>
        <v>100</v>
      </c>
      <c r="T40" s="1508" t="s">
        <v>8</v>
      </c>
      <c r="U40" s="1509">
        <f t="shared" si="10"/>
        <v>100</v>
      </c>
      <c r="V40" s="1508" t="s">
        <v>8</v>
      </c>
      <c r="W40" s="1509">
        <f t="shared" si="11"/>
        <v>100</v>
      </c>
      <c r="X40" s="1502"/>
      <c r="Y40" s="3553"/>
      <c r="Z40" s="1510">
        <f t="shared" si="12"/>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53"/>
      <c r="Q41" s="1507">
        <f t="shared" si="13"/>
        <v>111</v>
      </c>
      <c r="R41" s="1508" t="s">
        <v>8</v>
      </c>
      <c r="S41" s="1509">
        <f t="shared" si="9"/>
        <v>100</v>
      </c>
      <c r="T41" s="1508" t="s">
        <v>8</v>
      </c>
      <c r="U41" s="1509">
        <f t="shared" si="10"/>
        <v>100</v>
      </c>
      <c r="V41" s="1508" t="s">
        <v>8</v>
      </c>
      <c r="W41" s="1509">
        <f t="shared" si="11"/>
        <v>100</v>
      </c>
      <c r="X41" s="1502"/>
      <c r="Y41" s="3553"/>
      <c r="Z41" s="1510">
        <f t="shared" si="12"/>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53"/>
      <c r="Q42" s="1507">
        <f t="shared" si="13"/>
        <v>111</v>
      </c>
      <c r="R42" s="1512" t="s">
        <v>8</v>
      </c>
      <c r="S42" s="1513">
        <f t="shared" si="9"/>
        <v>100</v>
      </c>
      <c r="T42" s="1512" t="s">
        <v>8</v>
      </c>
      <c r="U42" s="1513">
        <f t="shared" si="10"/>
        <v>100</v>
      </c>
      <c r="V42" s="1512" t="s">
        <v>8</v>
      </c>
      <c r="W42" s="1513">
        <f t="shared" si="11"/>
        <v>100</v>
      </c>
      <c r="X42" s="1514"/>
      <c r="Y42" s="3553"/>
      <c r="Z42" s="1515">
        <f t="shared" si="12"/>
        <v>111</v>
      </c>
      <c r="AA42" s="1511">
        <f t="shared" si="3"/>
        <v>1</v>
      </c>
      <c r="AB42" s="1511">
        <f t="shared" si="4"/>
        <v>1</v>
      </c>
      <c r="AC42" s="1511">
        <f t="shared" si="5"/>
        <v>1</v>
      </c>
    </row>
    <row r="43" spans="1:29" ht="15">
      <c r="A43" s="601" t="s">
        <v>550</v>
      </c>
      <c r="B43" s="602" t="s">
        <v>2849</v>
      </c>
      <c r="C43" s="603" t="s">
        <v>1</v>
      </c>
      <c r="D43" s="604"/>
      <c r="E43" s="605"/>
      <c r="F43" s="606"/>
      <c r="G43" s="607"/>
      <c r="H43" s="608"/>
      <c r="I43" s="605"/>
      <c r="J43" s="608"/>
      <c r="K43" s="1294"/>
      <c r="L43" s="2026"/>
      <c r="M43" s="2016"/>
      <c r="N43" s="2016"/>
      <c r="O43" s="2027"/>
      <c r="P43" s="3554" t="str">
        <f>A43</f>
        <v>成交单价</v>
      </c>
      <c r="Q43" s="3554"/>
      <c r="R43" s="3539">
        <f>E43</f>
        <v>0</v>
      </c>
      <c r="S43" s="3539"/>
      <c r="T43" s="3539">
        <f>G43</f>
        <v>0</v>
      </c>
      <c r="U43" s="3539"/>
      <c r="V43" s="3539">
        <f>I43</f>
        <v>0</v>
      </c>
      <c r="W43" s="3539"/>
      <c r="X43" s="1497"/>
      <c r="Y43" s="1516"/>
      <c r="Z43" s="1497"/>
      <c r="AA43" s="1497"/>
      <c r="AB43" s="1497"/>
      <c r="AC43" s="1497"/>
    </row>
    <row r="44" spans="1:29" ht="15.75" thickBot="1">
      <c r="A44" s="609" t="s">
        <v>2626</v>
      </c>
      <c r="B44" s="610"/>
      <c r="C44" s="611" t="e">
        <f>R45</f>
        <v>#DIV/0!</v>
      </c>
      <c r="D44" s="3008" t="s">
        <v>2915</v>
      </c>
      <c r="E44" s="611" t="e">
        <f>R44</f>
        <v>#DIV/0!</v>
      </c>
      <c r="F44" s="3009"/>
      <c r="G44" s="612" t="e">
        <f>T44</f>
        <v>#DIV/0!</v>
      </c>
      <c r="H44" s="3009"/>
      <c r="I44" s="611" t="e">
        <f>V44</f>
        <v>#DIV/0!</v>
      </c>
      <c r="J44" s="3009"/>
      <c r="K44" s="3010">
        <f>F44+H44+J44</f>
        <v>0</v>
      </c>
      <c r="L44" s="2026"/>
      <c r="M44" s="2016"/>
      <c r="N44" s="2016"/>
      <c r="O44" s="2027"/>
      <c r="P44" s="3554" t="str">
        <f>A44</f>
        <v>比较价格（元/平方米）</v>
      </c>
      <c r="Q44" s="3554"/>
      <c r="R44" s="3560" t="e">
        <f>ROUND(PRODUCT(R43,AA9:AA42),0)</f>
        <v>#DIV/0!</v>
      </c>
      <c r="S44" s="3560"/>
      <c r="T44" s="3560" t="e">
        <f>ROUND(PRODUCT(T43,AB9:AB42),0)</f>
        <v>#DIV/0!</v>
      </c>
      <c r="U44" s="3560"/>
      <c r="V44" s="3560" t="e">
        <f>ROUND(PRODUCT(V43,AC9:AC42),0)</f>
        <v>#DIV/0!</v>
      </c>
      <c r="W44" s="3560"/>
      <c r="X44" s="1497"/>
      <c r="Y44" s="1497"/>
      <c r="Z44" s="1497"/>
      <c r="AA44" s="1497"/>
      <c r="AB44" s="1497"/>
      <c r="AC44" s="1497"/>
    </row>
    <row r="45" spans="1:29" ht="15.75" thickBot="1">
      <c r="A45" s="613" t="s">
        <v>2850</v>
      </c>
      <c r="B45" s="614"/>
      <c r="C45" s="615" t="e">
        <f>R45</f>
        <v>#DIV/0!</v>
      </c>
      <c r="D45" s="615"/>
      <c r="E45" s="615"/>
      <c r="F45" s="615"/>
      <c r="G45" s="615"/>
      <c r="H45" s="615"/>
      <c r="I45" s="615"/>
      <c r="J45" s="615"/>
      <c r="K45" s="1295"/>
      <c r="L45" s="2026"/>
      <c r="M45" s="2016"/>
      <c r="N45" s="2016"/>
      <c r="O45" s="2027"/>
      <c r="P45" s="3557" t="str">
        <f>A45</f>
        <v>估价对象XX用房的比较价格（楼面单价，元/平方米）</v>
      </c>
      <c r="Q45" s="3558"/>
      <c r="R45" s="3559" t="e">
        <f>ROUND(IF(D44="简单平均",AVERAGE(R44:W44),R44*F44+T44*H44+V44*J44),0)</f>
        <v>#DIV/0!</v>
      </c>
      <c r="S45" s="3559"/>
      <c r="T45" s="3559"/>
      <c r="U45" s="3559"/>
      <c r="V45" s="3559"/>
      <c r="W45" s="3559"/>
      <c r="X45" s="1497"/>
      <c r="Y45" s="1497"/>
      <c r="Z45" s="1497"/>
      <c r="AA45" s="1497"/>
      <c r="AB45" s="1497"/>
      <c r="AC45" s="1497"/>
    </row>
    <row r="46" spans="1:29">
      <c r="A46" s="3204"/>
      <c r="B46" s="3204"/>
      <c r="C46" s="3204"/>
      <c r="D46" s="3204"/>
      <c r="E46" s="3204"/>
      <c r="F46" s="3204"/>
      <c r="G46" s="3206"/>
      <c r="H46" s="3204"/>
      <c r="I46" s="3204"/>
      <c r="J46" s="3204"/>
      <c r="K46" s="3207"/>
      <c r="L46" s="2031"/>
      <c r="M46" s="2016"/>
      <c r="N46" s="2016"/>
      <c r="O46" s="2027"/>
      <c r="P46" s="2027"/>
      <c r="Q46" s="2027"/>
      <c r="R46" s="2027"/>
      <c r="S46" s="2027"/>
      <c r="T46" s="2027"/>
      <c r="U46" s="2027"/>
      <c r="V46" s="2027"/>
      <c r="W46" s="2027"/>
      <c r="X46" s="2027"/>
      <c r="Y46" s="2027"/>
      <c r="Z46" s="2027"/>
      <c r="AA46" s="2027"/>
      <c r="AB46" s="2027"/>
      <c r="AC46" s="2027"/>
    </row>
    <row r="47" spans="1:29">
      <c r="A47" s="3204"/>
      <c r="B47" s="3204"/>
      <c r="C47" s="3204"/>
      <c r="D47" s="3204"/>
      <c r="E47" s="3204"/>
      <c r="F47" s="3204"/>
      <c r="G47" s="3204"/>
      <c r="H47" s="3204"/>
      <c r="I47" s="3204"/>
      <c r="J47" s="3204"/>
      <c r="K47" s="320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04"/>
      <c r="B48" s="320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0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04"/>
      <c r="B49" s="320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07"/>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05"/>
      <c r="B50" s="320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08"/>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05"/>
      <c r="B51" s="3216"/>
      <c r="C51" s="2032"/>
      <c r="D51" s="2028"/>
      <c r="E51" s="2028"/>
      <c r="F51" s="2028"/>
      <c r="G51" s="2028"/>
      <c r="H51" s="2028"/>
      <c r="I51" s="2028"/>
      <c r="J51" s="2028"/>
      <c r="K51" s="320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8" t="s">
        <v>1715</v>
      </c>
      <c r="D52" s="2107" t="s">
        <v>2239</v>
      </c>
      <c r="E52" s="623" t="s">
        <v>556</v>
      </c>
      <c r="F52" s="1865" t="s">
        <v>557</v>
      </c>
      <c r="G52" s="3561" t="s">
        <v>2230</v>
      </c>
      <c r="H52" s="3562"/>
      <c r="I52" s="1866" t="s">
        <v>1892</v>
      </c>
      <c r="J52" s="1494">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t="e">
        <f>C45</f>
        <v>#DIV/0!</v>
      </c>
      <c r="C53" s="627">
        <v>1</v>
      </c>
      <c r="D53" s="2108">
        <v>1</v>
      </c>
      <c r="E53" s="627">
        <f>'数据-汇总表'!E8+'数据-汇总表'!E9</f>
        <v>6546.1</v>
      </c>
      <c r="F53" s="1864" t="e">
        <f t="shared" ref="F53:F62" si="14">ROUND(B53*E53/10000,0)</f>
        <v>#DIV/0!</v>
      </c>
      <c r="G53" s="3563"/>
      <c r="H53" s="3564"/>
      <c r="I53" s="1867">
        <v>1</v>
      </c>
      <c r="J53" s="1495">
        <v>1</v>
      </c>
      <c r="K53" s="3209"/>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t="e">
        <f>ROUND($C$45*C54*D54,0)</f>
        <v>#DIV/0!</v>
      </c>
      <c r="C54" s="372">
        <f t="shared" ref="C54:C62" si="15">IF($C$52="北京市系数",I54,J54)</f>
        <v>0</v>
      </c>
      <c r="D54" s="2109">
        <v>0.25</v>
      </c>
      <c r="E54" s="631"/>
      <c r="F54" s="1864" t="e">
        <f t="shared" si="14"/>
        <v>#DIV/0!</v>
      </c>
      <c r="G54" s="3556" t="s">
        <v>2231</v>
      </c>
      <c r="H54" s="1868">
        <f>项目基本情况!B43</f>
        <v>0</v>
      </c>
      <c r="I54" s="1867">
        <f>SUMIF(修正!$A$45:$A$56,H54,修正!B45:B56)</f>
        <v>0</v>
      </c>
      <c r="J54" s="1496"/>
      <c r="K54" s="3209"/>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t="e">
        <f t="shared" ref="B55:B62" si="16">ROUND($C$45*C55*D55,0)</f>
        <v>#DIV/0!</v>
      </c>
      <c r="C55" s="372">
        <f t="shared" si="15"/>
        <v>0</v>
      </c>
      <c r="D55" s="2109">
        <v>0.25</v>
      </c>
      <c r="E55" s="631"/>
      <c r="F55" s="1864" t="e">
        <f t="shared" si="14"/>
        <v>#DIV/0!</v>
      </c>
      <c r="G55" s="3556"/>
      <c r="H55" s="1869">
        <f>项目基本情况!B43</f>
        <v>0</v>
      </c>
      <c r="I55" s="1867">
        <f>SUMIF(修正!$A$45:$A$56,H55,修正!C45:C56)</f>
        <v>0</v>
      </c>
      <c r="J55" s="1496"/>
      <c r="K55" s="3209"/>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t="e">
        <f t="shared" si="16"/>
        <v>#DIV/0!</v>
      </c>
      <c r="C56" s="372">
        <f t="shared" si="15"/>
        <v>0</v>
      </c>
      <c r="D56" s="2109">
        <v>0.25</v>
      </c>
      <c r="E56" s="631"/>
      <c r="F56" s="1864" t="e">
        <f t="shared" si="14"/>
        <v>#DIV/0!</v>
      </c>
      <c r="G56" s="3556"/>
      <c r="H56" s="1869">
        <f>项目基本情况!B43</f>
        <v>0</v>
      </c>
      <c r="I56" s="1867">
        <f>SUMIF(修正!$A$45:$A$56,H56,修正!D45:D56)</f>
        <v>0</v>
      </c>
      <c r="J56" s="1496"/>
      <c r="K56" s="3209"/>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t="e">
        <f t="shared" si="16"/>
        <v>#DIV/0!</v>
      </c>
      <c r="C57" s="372">
        <f t="shared" si="15"/>
        <v>0</v>
      </c>
      <c r="D57" s="2109">
        <v>0.25</v>
      </c>
      <c r="E57" s="631"/>
      <c r="F57" s="1864" t="e">
        <f t="shared" si="14"/>
        <v>#DIV/0!</v>
      </c>
      <c r="G57" s="3556"/>
      <c r="H57" s="1869">
        <f>项目基本情况!B43</f>
        <v>0</v>
      </c>
      <c r="I57" s="1867">
        <f>SUMIF(修正!$A$45:$A$56,H57,修正!E45:E56)</f>
        <v>0</v>
      </c>
      <c r="J57" s="1496"/>
      <c r="K57" s="3209"/>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2270</v>
      </c>
      <c r="B58" s="630" t="e">
        <f t="shared" si="16"/>
        <v>#DIV/0!</v>
      </c>
      <c r="C58" s="372">
        <f t="shared" si="15"/>
        <v>0</v>
      </c>
      <c r="D58" s="2109">
        <v>0.25</v>
      </c>
      <c r="E58" s="633">
        <f>'数据-汇总表'!E11</f>
        <v>0</v>
      </c>
      <c r="F58" s="1864" t="e">
        <f t="shared" si="14"/>
        <v>#DIV/0!</v>
      </c>
      <c r="G58" s="1870" t="s">
        <v>2232</v>
      </c>
      <c r="H58" s="1869">
        <f>项目基本情况!C43</f>
        <v>0</v>
      </c>
      <c r="I58" s="1867">
        <f>SUMIF(修正!$A$45:$A$56,H58,修正!F45:F56)</f>
        <v>0</v>
      </c>
      <c r="J58" s="1496"/>
      <c r="K58" s="320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t="e">
        <f t="shared" si="16"/>
        <v>#DIV/0!</v>
      </c>
      <c r="C59" s="372">
        <f t="shared" si="15"/>
        <v>0</v>
      </c>
      <c r="D59" s="2109">
        <v>0.25</v>
      </c>
      <c r="E59" s="633">
        <f>'数据-汇总表'!E12</f>
        <v>0</v>
      </c>
      <c r="F59" s="1864" t="e">
        <f t="shared" si="14"/>
        <v>#DIV/0!</v>
      </c>
      <c r="G59" s="1860" t="s">
        <v>1668</v>
      </c>
      <c r="H59" s="1868">
        <f>IF(G59="商业",项目基本情况!B43,IF(G59="办公",项目基本情况!C43,IF(G59="住宅",项目基本情况!D43,项目基本情况!E43)))</f>
        <v>0</v>
      </c>
      <c r="I59" s="1867">
        <f>SUMIF(修正!$A$45:$A$56,H59,修正!G45:G56)</f>
        <v>0</v>
      </c>
      <c r="J59" s="1496"/>
      <c r="K59" s="320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t="e">
        <f t="shared" si="16"/>
        <v>#DIV/0!</v>
      </c>
      <c r="C60" s="372">
        <f t="shared" si="15"/>
        <v>0</v>
      </c>
      <c r="D60" s="2109">
        <v>0.25</v>
      </c>
      <c r="E60" s="633">
        <f>'数据-汇总表'!E13</f>
        <v>0</v>
      </c>
      <c r="F60" s="1864" t="e">
        <f t="shared" si="14"/>
        <v>#DIV/0!</v>
      </c>
      <c r="G60" s="1860" t="s">
        <v>914</v>
      </c>
      <c r="H60" s="1868">
        <f>IF(G60="商业",项目基本情况!B43,IF(G60="办公",项目基本情况!C43,IF(G60="住宅",项目基本情况!D43,项目基本情况!E43)))</f>
        <v>0</v>
      </c>
      <c r="I60" s="1867">
        <f>SUMIF(修正!$A$45:$A$56,H60,修正!H45:H56)</f>
        <v>0</v>
      </c>
      <c r="J60" s="1496"/>
      <c r="K60" s="320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t="e">
        <f t="shared" si="16"/>
        <v>#DIV/0!</v>
      </c>
      <c r="C61" s="372">
        <f t="shared" si="15"/>
        <v>0</v>
      </c>
      <c r="D61" s="2109">
        <v>0.25</v>
      </c>
      <c r="E61" s="633">
        <f>'数据-汇总表'!E14</f>
        <v>0</v>
      </c>
      <c r="F61" s="1864" t="e">
        <f t="shared" si="14"/>
        <v>#DIV/0!</v>
      </c>
      <c r="G61" s="1870" t="s">
        <v>2231</v>
      </c>
      <c r="H61" s="1869">
        <f>项目基本情况!B43</f>
        <v>0</v>
      </c>
      <c r="I61" s="1867">
        <f>SUMIF(修正!$A$45:$A$56,H61,修正!H45:H56)</f>
        <v>0</v>
      </c>
      <c r="J61" s="1496"/>
      <c r="K61" s="320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t="e">
        <f t="shared" si="16"/>
        <v>#DIV/0!</v>
      </c>
      <c r="C62" s="372">
        <f t="shared" si="15"/>
        <v>0</v>
      </c>
      <c r="D62" s="2109">
        <v>0.25</v>
      </c>
      <c r="E62" s="633">
        <f>'数据-汇总表'!E15</f>
        <v>0</v>
      </c>
      <c r="F62" s="1864" t="e">
        <f t="shared" si="14"/>
        <v>#DIV/0!</v>
      </c>
      <c r="G62" s="1871" t="s">
        <v>2232</v>
      </c>
      <c r="H62" s="1872">
        <f>项目基本情况!C43</f>
        <v>0</v>
      </c>
      <c r="I62" s="1867">
        <f>SUMIF(修正!$A$45:$A$56,H62,修正!H45:H56)</f>
        <v>0</v>
      </c>
      <c r="J62" s="1496"/>
      <c r="K62" s="320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2240</v>
      </c>
      <c r="E63" s="635">
        <f>IF(B43="楼面地价",SUM(E53:E62),'数据-汇总表'!D3)</f>
        <v>22121.8</v>
      </c>
      <c r="F63" s="636" t="e">
        <f>IF(B43="楼面地价",SUM(F53:F62),ROUND(C45*E63/10000,0))</f>
        <v>#DIV/0!</v>
      </c>
      <c r="G63" s="2037"/>
      <c r="H63" s="2037"/>
      <c r="I63" s="2037"/>
      <c r="J63" s="2037"/>
      <c r="K63" s="321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4" t="str">
        <f>YEAR(C9)&amp;"-"&amp;MONTH(C9)&amp;"-1"</f>
        <v>2020-9-1</v>
      </c>
      <c r="D65" s="2513">
        <f>EDATE(C65,-3)</f>
        <v>43983</v>
      </c>
      <c r="E65" s="2513">
        <f t="shared" ref="E65:N65" si="17">EDATE(D65,-3)</f>
        <v>43891</v>
      </c>
      <c r="F65" s="2513">
        <f t="shared" si="17"/>
        <v>43800</v>
      </c>
      <c r="G65" s="2513">
        <f t="shared" si="17"/>
        <v>43709</v>
      </c>
      <c r="H65" s="2513">
        <f t="shared" si="17"/>
        <v>43617</v>
      </c>
      <c r="I65" s="2513">
        <f t="shared" si="17"/>
        <v>43525</v>
      </c>
      <c r="J65" s="2513">
        <f t="shared" si="17"/>
        <v>43435</v>
      </c>
      <c r="K65" s="2513">
        <f t="shared" si="17"/>
        <v>43344</v>
      </c>
      <c r="L65" s="2513">
        <f t="shared" si="17"/>
        <v>43252</v>
      </c>
      <c r="M65" s="2513">
        <f t="shared" si="17"/>
        <v>43160</v>
      </c>
      <c r="N65" s="2513">
        <f t="shared" si="17"/>
        <v>43070</v>
      </c>
      <c r="O65" s="2027"/>
      <c r="P65" s="2027"/>
      <c r="Q65" s="2027"/>
      <c r="R65" s="2027"/>
      <c r="S65" s="2027"/>
      <c r="T65" s="2027"/>
      <c r="U65" s="2027"/>
      <c r="V65" s="2027"/>
      <c r="W65" s="2027"/>
      <c r="X65" s="2027"/>
      <c r="Y65" s="2027"/>
      <c r="Z65" s="2027"/>
      <c r="AA65" s="2027"/>
      <c r="AB65" s="2027"/>
      <c r="AC65" s="2027"/>
    </row>
    <row r="66" spans="1:29" ht="21.75" thickBot="1">
      <c r="A66" s="1519" t="s">
        <v>568</v>
      </c>
      <c r="B66" s="1497"/>
      <c r="C66" s="1518"/>
      <c r="D66" s="1518"/>
      <c r="E66" s="1518"/>
      <c r="F66" s="1520"/>
      <c r="G66" s="1520"/>
      <c r="H66" s="1518"/>
      <c r="I66" s="1518"/>
      <c r="J66" s="1518"/>
      <c r="K66" s="1521"/>
      <c r="L66" s="1517"/>
      <c r="M66" s="1518"/>
      <c r="N66" s="1518"/>
      <c r="O66" s="2038"/>
      <c r="P66" s="2038"/>
      <c r="Q66" s="2039"/>
      <c r="R66" s="2027"/>
      <c r="S66" s="2027"/>
      <c r="T66" s="2027"/>
      <c r="U66" s="2027"/>
      <c r="V66" s="2027"/>
      <c r="W66" s="2027"/>
      <c r="X66" s="2027"/>
      <c r="Y66" s="2027"/>
      <c r="Z66" s="2027"/>
      <c r="AA66" s="2027"/>
      <c r="AB66" s="2027"/>
      <c r="AC66" s="2027"/>
    </row>
    <row r="67" spans="1:29" s="1300" customFormat="1" ht="15">
      <c r="A67" s="2418" t="s">
        <v>2468</v>
      </c>
      <c r="B67" s="638"/>
      <c r="C67" s="2510" t="str">
        <f>YEAR(C65)&amp;"-"&amp;ROUNDUP(MONTH(C65)/3,0)</f>
        <v>2020-3</v>
      </c>
      <c r="D67" s="2515" t="str">
        <f t="shared" ref="D67:N67" si="18">YEAR(D65)&amp;"-"&amp;ROUNDUP(MONTH(D65)/3,0)</f>
        <v>2020-2</v>
      </c>
      <c r="E67" s="2515" t="str">
        <f t="shared" si="18"/>
        <v>2020-1</v>
      </c>
      <c r="F67" s="2515" t="str">
        <f t="shared" si="18"/>
        <v>2019-4</v>
      </c>
      <c r="G67" s="2515" t="str">
        <f t="shared" si="18"/>
        <v>2019-3</v>
      </c>
      <c r="H67" s="2515" t="str">
        <f t="shared" si="18"/>
        <v>2019-2</v>
      </c>
      <c r="I67" s="2515" t="str">
        <f t="shared" si="18"/>
        <v>2019-1</v>
      </c>
      <c r="J67" s="2515" t="str">
        <f t="shared" si="18"/>
        <v>2018-4</v>
      </c>
      <c r="K67" s="2515" t="str">
        <f t="shared" si="18"/>
        <v>2018-3</v>
      </c>
      <c r="L67" s="2515" t="str">
        <f t="shared" si="18"/>
        <v>2018-2</v>
      </c>
      <c r="M67" s="2515" t="str">
        <f t="shared" si="18"/>
        <v>2018-1</v>
      </c>
      <c r="N67" s="2515" t="str">
        <f t="shared" si="18"/>
        <v>2017-4</v>
      </c>
      <c r="O67" s="2040"/>
      <c r="P67" s="2041"/>
      <c r="Q67" s="2042"/>
      <c r="R67" s="2042"/>
      <c r="S67" s="2042"/>
      <c r="T67" s="2042"/>
      <c r="U67" s="2042"/>
      <c r="V67" s="2042"/>
      <c r="W67" s="2042"/>
      <c r="X67" s="2042"/>
      <c r="Y67" s="2042"/>
      <c r="Z67" s="2042"/>
      <c r="AA67" s="2042"/>
      <c r="AB67" s="2042"/>
      <c r="AC67" s="2042"/>
    </row>
    <row r="68" spans="1:29" s="1203" customFormat="1" ht="27.75" customHeight="1">
      <c r="A68" s="2512" t="s">
        <v>2582</v>
      </c>
      <c r="B68" s="473" t="str">
        <f>"北京市平均增长率"&amp;TEXT(基准地价!P24,"0.00%")</f>
        <v>北京市平均增长率1.27%</v>
      </c>
      <c r="C68" s="883">
        <v>100</v>
      </c>
      <c r="D68" s="722"/>
      <c r="E68" s="722"/>
      <c r="F68" s="722"/>
      <c r="G68" s="722"/>
      <c r="H68" s="722"/>
      <c r="I68" s="722"/>
      <c r="J68" s="722"/>
      <c r="K68" s="722"/>
      <c r="L68" s="722"/>
      <c r="M68" s="2508"/>
      <c r="N68" s="2509"/>
      <c r="O68" s="2043"/>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2506"/>
      <c r="D69" s="2507"/>
      <c r="E69" s="2507"/>
      <c r="F69" s="2507"/>
      <c r="G69" s="2507"/>
      <c r="H69" s="2507"/>
      <c r="I69" s="2507"/>
      <c r="J69" s="2507"/>
      <c r="K69" s="2507"/>
      <c r="L69" s="2507"/>
      <c r="M69" s="2507"/>
      <c r="N69" s="2507"/>
      <c r="O69" s="2043"/>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18"/>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1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1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2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1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2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19">D77&amp;"（含）"&amp;"-"&amp;E77</f>
        <v>（含）-</v>
      </c>
      <c r="E76" s="674" t="str">
        <f t="shared" si="19"/>
        <v>（含）-</v>
      </c>
      <c r="F76" s="674" t="str">
        <f t="shared" si="19"/>
        <v>（含）-</v>
      </c>
      <c r="G76" s="674" t="str">
        <f t="shared" si="19"/>
        <v>（含）-</v>
      </c>
      <c r="H76" s="674" t="str">
        <f t="shared" si="19"/>
        <v>（含）-</v>
      </c>
      <c r="I76" s="674" t="str">
        <f t="shared" si="19"/>
        <v>（含）-</v>
      </c>
      <c r="J76" s="674" t="str">
        <f t="shared" si="19"/>
        <v>（含）-</v>
      </c>
      <c r="K76" s="674" t="str">
        <f t="shared" si="19"/>
        <v>（含）-</v>
      </c>
      <c r="L76" s="674" t="str">
        <f t="shared" si="19"/>
        <v>（含）-</v>
      </c>
      <c r="M76" s="549" t="str">
        <f>M77&amp;"（含）"&amp;"-"&amp;P77</f>
        <v>（含）-</v>
      </c>
      <c r="N76" s="3220"/>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1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0">IF($B$43="单位面积地价",D78+$K13,D78-$K13)</f>
        <v>100</v>
      </c>
      <c r="F78" s="671">
        <f t="shared" si="20"/>
        <v>100</v>
      </c>
      <c r="G78" s="671">
        <f t="shared" si="20"/>
        <v>100</v>
      </c>
      <c r="H78" s="671">
        <f t="shared" si="20"/>
        <v>100</v>
      </c>
      <c r="I78" s="671">
        <f t="shared" si="20"/>
        <v>100</v>
      </c>
      <c r="J78" s="671">
        <f t="shared" si="20"/>
        <v>100</v>
      </c>
      <c r="K78" s="671">
        <f t="shared" si="20"/>
        <v>100</v>
      </c>
      <c r="L78" s="671">
        <f t="shared" si="20"/>
        <v>100</v>
      </c>
      <c r="M78" s="671">
        <f t="shared" si="20"/>
        <v>100</v>
      </c>
      <c r="N78" s="3220"/>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21"/>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20"/>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21"/>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21"/>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21"/>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2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1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1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0"/>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18"/>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20"/>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18"/>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20"/>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2482</v>
      </c>
      <c r="C93" s="695" t="s">
        <v>573</v>
      </c>
      <c r="D93" s="695" t="s">
        <v>574</v>
      </c>
      <c r="E93" s="695" t="s">
        <v>575</v>
      </c>
      <c r="F93" s="695" t="s">
        <v>576</v>
      </c>
      <c r="G93" s="695" t="s">
        <v>577</v>
      </c>
      <c r="H93" s="705"/>
      <c r="I93" s="705"/>
      <c r="J93" s="705"/>
      <c r="K93" s="705"/>
      <c r="L93" s="706"/>
      <c r="M93" s="707"/>
      <c r="N93" s="3221"/>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21"/>
      <c r="O94" s="2048"/>
      <c r="P94" s="2049"/>
      <c r="Q94" s="2050"/>
      <c r="R94" s="2051"/>
      <c r="S94" s="2051"/>
      <c r="T94" s="2051"/>
      <c r="U94" s="2051"/>
      <c r="V94" s="2051"/>
      <c r="W94" s="2051"/>
      <c r="X94" s="2051"/>
      <c r="Y94" s="2051"/>
      <c r="Z94" s="2051"/>
      <c r="AA94" s="2051"/>
      <c r="AB94" s="2051"/>
      <c r="AC94" s="2051"/>
    </row>
    <row r="95" spans="1:29" s="1293" customFormat="1" ht="15.75" thickTop="1">
      <c r="A95" s="679"/>
      <c r="B95" s="2438" t="s">
        <v>2484</v>
      </c>
      <c r="C95" s="2439" t="s">
        <v>2485</v>
      </c>
      <c r="D95" s="2439" t="s">
        <v>2486</v>
      </c>
      <c r="E95" s="2439" t="s">
        <v>2487</v>
      </c>
      <c r="F95" s="2439" t="s">
        <v>2488</v>
      </c>
      <c r="G95" s="2439" t="s">
        <v>2489</v>
      </c>
      <c r="H95" s="705"/>
      <c r="I95" s="705"/>
      <c r="J95" s="705"/>
      <c r="K95" s="705"/>
      <c r="L95" s="705"/>
      <c r="M95" s="707"/>
      <c r="N95" s="3221"/>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1"/>
      <c r="N96" s="322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1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1">C98-$K29</f>
        <v>100</v>
      </c>
      <c r="E98" s="671">
        <f t="shared" si="21"/>
        <v>100</v>
      </c>
      <c r="F98" s="671">
        <f t="shared" si="21"/>
        <v>100</v>
      </c>
      <c r="G98" s="671">
        <f t="shared" si="21"/>
        <v>100</v>
      </c>
      <c r="H98" s="671">
        <f t="shared" si="21"/>
        <v>100</v>
      </c>
      <c r="I98" s="671">
        <f t="shared" si="21"/>
        <v>100</v>
      </c>
      <c r="J98" s="671">
        <f t="shared" si="21"/>
        <v>100</v>
      </c>
      <c r="K98" s="671">
        <f t="shared" si="21"/>
        <v>100</v>
      </c>
      <c r="L98" s="671">
        <f t="shared" si="21"/>
        <v>100</v>
      </c>
      <c r="M98" s="671">
        <f t="shared" si="21"/>
        <v>100</v>
      </c>
      <c r="N98" s="322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1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2">C100-$K30</f>
        <v>100</v>
      </c>
      <c r="E100" s="671">
        <f t="shared" si="22"/>
        <v>100</v>
      </c>
      <c r="F100" s="671">
        <f t="shared" si="22"/>
        <v>100</v>
      </c>
      <c r="G100" s="671">
        <f t="shared" si="22"/>
        <v>100</v>
      </c>
      <c r="H100" s="671">
        <f t="shared" si="22"/>
        <v>100</v>
      </c>
      <c r="I100" s="671">
        <f t="shared" si="22"/>
        <v>100</v>
      </c>
      <c r="J100" s="671">
        <f t="shared" si="22"/>
        <v>100</v>
      </c>
      <c r="K100" s="671">
        <f t="shared" si="22"/>
        <v>100</v>
      </c>
      <c r="L100" s="671">
        <f t="shared" si="22"/>
        <v>100</v>
      </c>
      <c r="M100" s="671">
        <f t="shared" si="22"/>
        <v>100</v>
      </c>
      <c r="N100" s="322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1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3">C102-$K32</f>
        <v>100</v>
      </c>
      <c r="E102" s="671">
        <f t="shared" si="23"/>
        <v>100</v>
      </c>
      <c r="F102" s="671">
        <f t="shared" si="23"/>
        <v>100</v>
      </c>
      <c r="G102" s="671">
        <f t="shared" si="23"/>
        <v>100</v>
      </c>
      <c r="H102" s="671">
        <f t="shared" si="23"/>
        <v>100</v>
      </c>
      <c r="I102" s="671">
        <f t="shared" si="23"/>
        <v>100</v>
      </c>
      <c r="J102" s="671">
        <f t="shared" si="23"/>
        <v>100</v>
      </c>
      <c r="K102" s="671">
        <f t="shared" si="23"/>
        <v>100</v>
      </c>
      <c r="L102" s="671">
        <f t="shared" si="23"/>
        <v>100</v>
      </c>
      <c r="M102" s="671">
        <f t="shared" si="23"/>
        <v>100</v>
      </c>
      <c r="N102" s="322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1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2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1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20"/>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21"/>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2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4">C110&amp;"(含)"&amp;"-"&amp;D110</f>
        <v>(含)-</v>
      </c>
      <c r="D109" s="696" t="str">
        <f t="shared" si="24"/>
        <v>(含)-</v>
      </c>
      <c r="E109" s="696" t="str">
        <f t="shared" si="24"/>
        <v>(含)-</v>
      </c>
      <c r="F109" s="696" t="str">
        <f t="shared" si="24"/>
        <v>(含)-</v>
      </c>
      <c r="G109" s="696" t="str">
        <f t="shared" si="24"/>
        <v>(含)-</v>
      </c>
      <c r="H109" s="696" t="str">
        <f t="shared" si="24"/>
        <v>(含)-</v>
      </c>
      <c r="I109" s="696" t="str">
        <f t="shared" si="24"/>
        <v>(含)-</v>
      </c>
      <c r="J109" s="696" t="str">
        <f t="shared" si="24"/>
        <v>(含)-</v>
      </c>
      <c r="K109" s="2774" t="str">
        <f t="shared" si="24"/>
        <v>(含)-</v>
      </c>
      <c r="L109" s="2775" t="str">
        <f t="shared" si="24"/>
        <v>(含)-</v>
      </c>
      <c r="M109" s="2776" t="str">
        <f>M110&amp;"(含)"&amp;"-"&amp;P110</f>
        <v>(含)-</v>
      </c>
      <c r="N109" s="321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1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2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1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5">C113-$K37</f>
        <v>100</v>
      </c>
      <c r="E113" s="671">
        <f t="shared" si="25"/>
        <v>100</v>
      </c>
      <c r="F113" s="671">
        <f t="shared" si="25"/>
        <v>100</v>
      </c>
      <c r="G113" s="671">
        <f t="shared" si="25"/>
        <v>100</v>
      </c>
      <c r="H113" s="671">
        <f t="shared" si="25"/>
        <v>100</v>
      </c>
      <c r="I113" s="671">
        <f t="shared" si="25"/>
        <v>100</v>
      </c>
      <c r="J113" s="671">
        <f t="shared" si="25"/>
        <v>100</v>
      </c>
      <c r="K113" s="671">
        <f t="shared" si="25"/>
        <v>100</v>
      </c>
      <c r="L113" s="671">
        <f t="shared" si="25"/>
        <v>100</v>
      </c>
      <c r="M113" s="672">
        <f t="shared" si="25"/>
        <v>100</v>
      </c>
      <c r="N113" s="3220"/>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2364</v>
      </c>
      <c r="C114" s="1327"/>
      <c r="D114" s="1327"/>
      <c r="E114" s="1327"/>
      <c r="F114" s="1327"/>
      <c r="G114" s="1327"/>
      <c r="H114" s="710"/>
      <c r="I114" s="710"/>
      <c r="J114" s="710"/>
      <c r="K114" s="711"/>
      <c r="L114" s="712"/>
      <c r="M114" s="713"/>
      <c r="N114" s="3221"/>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6">C115-$K38</f>
        <v>100</v>
      </c>
      <c r="E115" s="671">
        <f t="shared" si="26"/>
        <v>100</v>
      </c>
      <c r="F115" s="671">
        <f t="shared" si="26"/>
        <v>100</v>
      </c>
      <c r="G115" s="671">
        <f t="shared" si="26"/>
        <v>100</v>
      </c>
      <c r="H115" s="671">
        <f t="shared" si="26"/>
        <v>100</v>
      </c>
      <c r="I115" s="671">
        <f t="shared" si="26"/>
        <v>100</v>
      </c>
      <c r="J115" s="671">
        <f t="shared" si="26"/>
        <v>100</v>
      </c>
      <c r="K115" s="671">
        <f t="shared" si="26"/>
        <v>100</v>
      </c>
      <c r="L115" s="671">
        <f t="shared" si="26"/>
        <v>100</v>
      </c>
      <c r="M115" s="672">
        <f t="shared" si="26"/>
        <v>100</v>
      </c>
      <c r="N115" s="322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1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7">C117-$K39</f>
        <v>100</v>
      </c>
      <c r="E117" s="671">
        <f t="shared" si="27"/>
        <v>100</v>
      </c>
      <c r="F117" s="671">
        <f t="shared" si="27"/>
        <v>100</v>
      </c>
      <c r="G117" s="671">
        <f t="shared" si="27"/>
        <v>100</v>
      </c>
      <c r="H117" s="671">
        <f t="shared" si="27"/>
        <v>100</v>
      </c>
      <c r="I117" s="671">
        <f t="shared" si="27"/>
        <v>100</v>
      </c>
      <c r="J117" s="671">
        <f t="shared" si="27"/>
        <v>100</v>
      </c>
      <c r="K117" s="671">
        <f t="shared" si="27"/>
        <v>100</v>
      </c>
      <c r="L117" s="671">
        <f t="shared" si="27"/>
        <v>100</v>
      </c>
      <c r="M117" s="672">
        <f t="shared" si="27"/>
        <v>100</v>
      </c>
      <c r="N117" s="322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1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2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1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20"/>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21"/>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2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G54:G57"/>
    <mergeCell ref="P45:Q45"/>
    <mergeCell ref="R45:W45"/>
    <mergeCell ref="P44:Q44"/>
    <mergeCell ref="R44:S44"/>
    <mergeCell ref="T44:U44"/>
    <mergeCell ref="V44:W44"/>
    <mergeCell ref="G52:H53"/>
    <mergeCell ref="P43:Q43"/>
    <mergeCell ref="R43:S43"/>
    <mergeCell ref="T43:U43"/>
    <mergeCell ref="V43:W43"/>
    <mergeCell ref="P17:P33"/>
    <mergeCell ref="P34:P42"/>
    <mergeCell ref="I8:J8"/>
    <mergeCell ref="G7:H7"/>
    <mergeCell ref="Y34:Y42"/>
    <mergeCell ref="P10:Q10"/>
    <mergeCell ref="Y10:Z10"/>
    <mergeCell ref="P11:P16"/>
    <mergeCell ref="Y11:Y16"/>
    <mergeCell ref="AA6:AA8"/>
    <mergeCell ref="AB6:AB8"/>
    <mergeCell ref="Y17:Y33"/>
    <mergeCell ref="Y9:Z9"/>
    <mergeCell ref="P9:Q9"/>
    <mergeCell ref="AC6:AC8"/>
    <mergeCell ref="C6:D6"/>
    <mergeCell ref="E6:F6"/>
    <mergeCell ref="G6:H6"/>
    <mergeCell ref="I6:J6"/>
    <mergeCell ref="P6:Q8"/>
    <mergeCell ref="T6:U8"/>
    <mergeCell ref="V6:W8"/>
    <mergeCell ref="Y6:Z8"/>
    <mergeCell ref="E7:F7"/>
    <mergeCell ref="R6:S8"/>
    <mergeCell ref="C7:D7"/>
    <mergeCell ref="C8:D8"/>
    <mergeCell ref="I7:J7"/>
    <mergeCell ref="E8:F8"/>
    <mergeCell ref="G8:H8"/>
  </mergeCells>
  <phoneticPr fontId="26" type="noConversion"/>
  <conditionalFormatting sqref="F48 H48 J48">
    <cfRule type="containsText" dxfId="167" priority="18" stopIfTrue="1" operator="containsText" text="超过">
      <formula>NOT(ISERROR(SEARCH("超过",F48)))</formula>
    </cfRule>
  </conditionalFormatting>
  <conditionalFormatting sqref="J50">
    <cfRule type="containsText" dxfId="166" priority="17" stopIfTrue="1" operator="containsText" text="超过">
      <formula>NOT(ISERROR(SEARCH("超过",J50)))</formula>
    </cfRule>
  </conditionalFormatting>
  <conditionalFormatting sqref="H50">
    <cfRule type="containsText" dxfId="165" priority="16" stopIfTrue="1" operator="containsText" text="超过">
      <formula>NOT(ISERROR(SEARCH("超过",H50)))</formula>
    </cfRule>
  </conditionalFormatting>
  <conditionalFormatting sqref="F50">
    <cfRule type="containsText" dxfId="164" priority="15" stopIfTrue="1" operator="containsText" text="超过">
      <formula>NOT(ISERROR(SEARCH("超过",F50)))</formula>
    </cfRule>
  </conditionalFormatting>
  <conditionalFormatting sqref="F49 H49 J49">
    <cfRule type="containsText" dxfId="163" priority="14" stopIfTrue="1" operator="containsText" text="超过">
      <formula>NOT(ISERROR(SEARCH("超过",F49)))</formula>
    </cfRule>
  </conditionalFormatting>
  <conditionalFormatting sqref="E48">
    <cfRule type="expression" dxfId="162" priority="13" stopIfTrue="1">
      <formula>$F$48="超过30%"</formula>
    </cfRule>
  </conditionalFormatting>
  <conditionalFormatting sqref="G50">
    <cfRule type="expression" dxfId="161" priority="12" stopIfTrue="1">
      <formula>$H$50="超过30%"</formula>
    </cfRule>
  </conditionalFormatting>
  <conditionalFormatting sqref="E50">
    <cfRule type="expression" dxfId="160" priority="10" stopIfTrue="1">
      <formula>$F$50="超过30%"</formula>
    </cfRule>
  </conditionalFormatting>
  <conditionalFormatting sqref="G48">
    <cfRule type="expression" dxfId="159" priority="9" stopIfTrue="1">
      <formula>$H$48="超过30%"</formula>
    </cfRule>
  </conditionalFormatting>
  <conditionalFormatting sqref="G49">
    <cfRule type="expression" dxfId="158" priority="8" stopIfTrue="1">
      <formula>$H$49="超过20%"</formula>
    </cfRule>
  </conditionalFormatting>
  <conditionalFormatting sqref="I48">
    <cfRule type="expression" dxfId="157" priority="7" stopIfTrue="1">
      <formula>$J$48="超过30%"</formula>
    </cfRule>
  </conditionalFormatting>
  <conditionalFormatting sqref="I49">
    <cfRule type="expression" dxfId="156" priority="6" stopIfTrue="1">
      <formula>$J$49="超过20%"</formula>
    </cfRule>
  </conditionalFormatting>
  <conditionalFormatting sqref="I50">
    <cfRule type="expression" dxfId="155" priority="5" stopIfTrue="1">
      <formula>$J$50="超过30%"</formula>
    </cfRule>
  </conditionalFormatting>
  <conditionalFormatting sqref="E49">
    <cfRule type="expression" dxfId="154" priority="51" stopIfTrue="1">
      <formula>#REF!+$F$49="超过20%"</formula>
    </cfRule>
  </conditionalFormatting>
  <conditionalFormatting sqref="F44">
    <cfRule type="expression" dxfId="153" priority="4">
      <formula>$D$44="简单平均"</formula>
    </cfRule>
  </conditionalFormatting>
  <conditionalFormatting sqref="H44">
    <cfRule type="expression" dxfId="152" priority="3">
      <formula>$D$44="简单平均"</formula>
    </cfRule>
  </conditionalFormatting>
  <conditionalFormatting sqref="J44">
    <cfRule type="expression" dxfId="151" priority="2">
      <formula>$D$44="简单平均"</formula>
    </cfRule>
  </conditionalFormatting>
  <conditionalFormatting sqref="F9:F42 H9:H42 J9:J42">
    <cfRule type="cellIs" dxfId="15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625" style="1584" customWidth="1"/>
    <col min="3" max="4" width="11.625" style="1584" customWidth="1"/>
    <col min="5" max="5" width="6.625" style="1584" customWidth="1"/>
    <col min="6" max="16384" width="9" style="1584"/>
  </cols>
  <sheetData>
    <row r="36" spans="1:9">
      <c r="A36" s="1583" t="s">
        <v>1850</v>
      </c>
      <c r="B36" s="1583" t="s">
        <v>1851</v>
      </c>
    </row>
    <row r="37" spans="1:9" ht="28.5" customHeight="1">
      <c r="A37" s="1583"/>
      <c r="B37" s="3347" t="str">
        <f>项目基本情况!B1</f>
        <v>北京市划拨国有建设用地使用权市场价格预评估</v>
      </c>
      <c r="C37" s="3347"/>
      <c r="D37" s="3347"/>
      <c r="E37" s="3347"/>
      <c r="F37" s="3347"/>
      <c r="G37" s="3347"/>
      <c r="H37" s="3347"/>
      <c r="I37" s="3347"/>
    </row>
    <row r="38" spans="1:9">
      <c r="A38" s="1585"/>
      <c r="B38" s="1585"/>
    </row>
    <row r="39" spans="1:9">
      <c r="A39" s="1583" t="s">
        <v>1850</v>
      </c>
      <c r="B39" s="1583" t="s">
        <v>1993</v>
      </c>
    </row>
    <row r="40" spans="1:9">
      <c r="A40" s="1583"/>
      <c r="B40" s="1583">
        <f>项目基本情况!B5</f>
        <v>0</v>
      </c>
    </row>
    <row r="41" spans="1:9">
      <c r="A41" s="1583"/>
      <c r="B41" s="1583"/>
    </row>
    <row r="42" spans="1:9">
      <c r="A42" s="1583" t="s">
        <v>1850</v>
      </c>
      <c r="B42" s="1583" t="s">
        <v>1994</v>
      </c>
    </row>
    <row r="43" spans="1:9">
      <c r="A43" s="1583"/>
      <c r="B43" s="1583" t="s">
        <v>1852</v>
      </c>
    </row>
    <row r="44" spans="1:9">
      <c r="A44" s="1583"/>
      <c r="B44" s="1583"/>
    </row>
    <row r="45" spans="1:9">
      <c r="A45" s="1583" t="s">
        <v>1850</v>
      </c>
      <c r="B45" s="1583" t="s">
        <v>1992</v>
      </c>
    </row>
    <row r="46" spans="1:9" s="1583" customFormat="1" ht="12.75">
      <c r="B46" s="1583" t="str">
        <f>项目基本情况!K4</f>
        <v>土地估价师、土地估价师</v>
      </c>
    </row>
    <row r="47" spans="1:9">
      <c r="A47" s="1583"/>
      <c r="B47" s="1583"/>
    </row>
    <row r="48" spans="1:9">
      <c r="A48" s="1583" t="s">
        <v>1850</v>
      </c>
      <c r="B48" s="1583" t="s">
        <v>1995</v>
      </c>
    </row>
    <row r="49" spans="2:2">
      <c r="B49" s="1583" t="str">
        <f>"康正预评字"&amp;项目基本情况!B2&amp;"号"</f>
        <v>康正预评字号</v>
      </c>
    </row>
  </sheetData>
  <sheetProtection sheet="1" objects="1" scenarios="1" formatCells="0" formatRows="0"/>
  <mergeCells count="1">
    <mergeCell ref="B37:I37"/>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D6" sqref="D6"/>
    </sheetView>
  </sheetViews>
  <sheetFormatPr defaultColWidth="6.625" defaultRowHeight="12.75"/>
  <cols>
    <col min="1" max="1" width="10.125" style="2006" customWidth="1"/>
    <col min="2" max="2" width="25.62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3" t="s">
        <v>972</v>
      </c>
      <c r="C1" s="1986"/>
      <c r="D1" s="1986"/>
      <c r="E1" s="1986"/>
      <c r="F1" s="1986"/>
      <c r="G1" s="1986"/>
      <c r="H1" s="1986"/>
      <c r="I1" s="1986"/>
      <c r="J1" s="1986"/>
      <c r="K1" s="416">
        <f>MATCH(B1,'数据-取费表'!A6:A16,0)+5</f>
        <v>6</v>
      </c>
      <c r="L1" s="290"/>
      <c r="M1" s="290"/>
      <c r="N1" s="290"/>
      <c r="O1" s="290"/>
      <c r="P1" s="290"/>
      <c r="Q1" s="290"/>
      <c r="R1" s="290"/>
      <c r="S1" s="290"/>
      <c r="T1" s="290"/>
      <c r="U1" s="290"/>
      <c r="V1" s="290"/>
      <c r="W1" s="290"/>
      <c r="X1" s="290"/>
      <c r="Y1" s="290"/>
      <c r="Z1" s="290"/>
    </row>
    <row r="2" spans="1:41" s="1924" customFormat="1" ht="18" customHeight="1">
      <c r="A2" s="417" t="s">
        <v>461</v>
      </c>
      <c r="B2" s="418">
        <f ca="1">C32</f>
        <v>1684.8019765461768</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1" t="s">
        <v>1675</v>
      </c>
      <c r="B3" s="419">
        <f ca="1">ROUND(B2*10000/IF(B1="",'数据-汇总表'!E3,INDIRECT("'数据-取费表'!K"&amp;$K$1)),0)</f>
        <v>2574</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762</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51</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2585</v>
      </c>
      <c r="B6" s="427"/>
      <c r="C6" s="1552">
        <f ca="1">SUM(C10:K10)</f>
        <v>3396</v>
      </c>
      <c r="D6" s="1991"/>
      <c r="E6" s="1991"/>
      <c r="F6" s="1991"/>
      <c r="G6" s="1991"/>
      <c r="H6" s="1991"/>
      <c r="I6" s="1991"/>
      <c r="J6" s="1991"/>
      <c r="K6" s="1992"/>
      <c r="L6" s="3187"/>
      <c r="M6" s="3187"/>
      <c r="N6" s="3187"/>
      <c r="O6" s="3187"/>
      <c r="P6" s="3187"/>
      <c r="Q6" s="3187"/>
      <c r="R6" s="3187"/>
      <c r="S6" s="3187"/>
      <c r="T6" s="3187"/>
      <c r="U6" s="3187"/>
      <c r="V6" s="3187"/>
      <c r="W6" s="3187"/>
      <c r="X6" s="3187"/>
      <c r="Y6" s="3187"/>
      <c r="Z6" s="3187"/>
    </row>
    <row r="7" spans="1:41" s="1995" customFormat="1" ht="15">
      <c r="A7" s="428" t="s">
        <v>464</v>
      </c>
      <c r="B7" s="429" t="s">
        <v>465</v>
      </c>
      <c r="C7" s="430" t="s">
        <v>972</v>
      </c>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60" t="s">
        <v>1797</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60" t="s">
        <v>1798</v>
      </c>
      <c r="B9" s="432" t="s">
        <v>467</v>
      </c>
      <c r="C9" s="435">
        <f>SUMIF('数据-汇总表'!$C19:$C33,'剩余法-现房'!C7,'数据-汇总表'!$E19:$E33)</f>
        <v>6546.1</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1" t="s">
        <v>1799</v>
      </c>
      <c r="B10" s="1553" t="s">
        <v>468</v>
      </c>
      <c r="C10" s="1554">
        <f ca="1">不动产收益法!B2</f>
        <v>3396</v>
      </c>
      <c r="D10" s="1554"/>
      <c r="E10" s="1554"/>
      <c r="F10" s="1555"/>
      <c r="G10" s="1555"/>
      <c r="H10" s="1555"/>
      <c r="I10" s="1555"/>
      <c r="J10" s="1555"/>
      <c r="K10" s="1556"/>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9" t="s">
        <v>1816</v>
      </c>
      <c r="B11" s="1550"/>
      <c r="C11" s="1550"/>
      <c r="D11" s="1550"/>
      <c r="E11" s="1550"/>
      <c r="F11" s="1550"/>
      <c r="G11" s="1550"/>
      <c r="H11" s="1550"/>
      <c r="I11" s="1550"/>
      <c r="J11" s="1550"/>
      <c r="K11" s="1551"/>
      <c r="L11" s="3187"/>
      <c r="M11" s="3187"/>
      <c r="N11" s="3187"/>
      <c r="O11" s="3187"/>
      <c r="P11" s="3187"/>
      <c r="Q11" s="3187"/>
      <c r="R11" s="3187"/>
      <c r="S11" s="3187"/>
      <c r="T11" s="3187"/>
      <c r="U11" s="3187"/>
      <c r="V11" s="3187"/>
      <c r="W11" s="3187"/>
      <c r="X11" s="3187"/>
      <c r="Y11" s="3187"/>
      <c r="Z11" s="3187"/>
    </row>
    <row r="12" spans="1:41" s="1967" customFormat="1" ht="13.5" customHeight="1">
      <c r="A12" s="428" t="s">
        <v>464</v>
      </c>
      <c r="B12" s="438" t="s">
        <v>465</v>
      </c>
      <c r="C12" s="439" t="s">
        <v>469</v>
      </c>
      <c r="D12" s="440" t="s">
        <v>470</v>
      </c>
      <c r="E12" s="440" t="s">
        <v>471</v>
      </c>
      <c r="F12" s="440" t="s">
        <v>472</v>
      </c>
      <c r="G12" s="438"/>
      <c r="H12" s="441"/>
      <c r="I12" s="441"/>
      <c r="J12" s="441"/>
      <c r="K12" s="442"/>
      <c r="L12" s="3188"/>
      <c r="M12" s="3188"/>
      <c r="N12" s="3188"/>
      <c r="O12" s="3188"/>
      <c r="P12" s="3188"/>
      <c r="Q12" s="3188"/>
      <c r="R12" s="3188"/>
      <c r="S12" s="3188"/>
      <c r="T12" s="3188"/>
      <c r="U12" s="3188"/>
      <c r="V12" s="3188"/>
      <c r="W12" s="3188"/>
      <c r="X12" s="3188"/>
      <c r="Y12" s="3188"/>
      <c r="Z12" s="3188"/>
    </row>
    <row r="13" spans="1:41" s="1998" customFormat="1" ht="13.5" customHeight="1">
      <c r="A13" s="1562" t="s">
        <v>1800</v>
      </c>
      <c r="B13" s="443" t="s">
        <v>473</v>
      </c>
      <c r="C13" s="444">
        <f ca="1">IF(B1="",'数据-取费表'!M16,INDIRECT("'数据-取费表'!M"&amp;$K$1)+INDIRECT("'数据-取费表'!t"&amp;$K$1))</f>
        <v>1178</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2" t="s">
        <v>1801</v>
      </c>
      <c r="B14" s="443" t="s">
        <v>474</v>
      </c>
      <c r="C14" s="53">
        <f ca="1">ROUND(C13*F14,0)</f>
        <v>35</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2" t="s">
        <v>1802</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2" t="s">
        <v>1803</v>
      </c>
      <c r="B16" s="443" t="s">
        <v>478</v>
      </c>
      <c r="C16" s="53">
        <f ca="1">ROUND(D16*E16/10000,0)</f>
        <v>118</v>
      </c>
      <c r="D16" s="445">
        <f ca="1">IF(B1="",'数据-汇总表'!E3,INDIRECT("'数据-取费表'!K"&amp;$K$1)+INDIRECT("'数据-取费表'!S"&amp;$K$1))</f>
        <v>6546.1</v>
      </c>
      <c r="E16" s="53">
        <f>'数据-取费表'!B35</f>
        <v>180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2" t="s">
        <v>1804</v>
      </c>
      <c r="B17" s="443" t="s">
        <v>479</v>
      </c>
      <c r="C17" s="448">
        <f ca="1">ROUND(C13*F17,0)</f>
        <v>18</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3" t="s">
        <v>1805</v>
      </c>
      <c r="B18" s="453" t="s">
        <v>481</v>
      </c>
      <c r="C18" s="454">
        <f ca="1">SUM(C13:C17)</f>
        <v>1349</v>
      </c>
      <c r="D18" s="455"/>
      <c r="E18" s="456"/>
      <c r="F18" s="456"/>
      <c r="G18" s="1281" t="s">
        <v>2370</v>
      </c>
      <c r="H18" s="441"/>
      <c r="I18" s="441"/>
      <c r="J18" s="441"/>
      <c r="K18" s="442"/>
      <c r="L18" s="3190"/>
      <c r="M18" s="3190"/>
      <c r="N18" s="3190"/>
      <c r="O18" s="3190"/>
      <c r="P18" s="3190"/>
      <c r="Q18" s="3190"/>
      <c r="R18" s="3190"/>
      <c r="S18" s="3190"/>
      <c r="T18" s="3190"/>
      <c r="U18" s="3190"/>
      <c r="V18" s="3190"/>
      <c r="W18" s="3190"/>
      <c r="X18" s="3190"/>
      <c r="Y18" s="3190"/>
      <c r="Z18" s="3190"/>
    </row>
    <row r="19" spans="1:26" s="2001" customFormat="1" ht="13.5" customHeight="1">
      <c r="A19" s="1563" t="s">
        <v>1806</v>
      </c>
      <c r="B19" s="453" t="s">
        <v>487</v>
      </c>
      <c r="C19" s="454">
        <f ca="1">ROUND(C18*F19,0)</f>
        <v>27</v>
      </c>
      <c r="D19" s="456"/>
      <c r="E19" s="456"/>
      <c r="F19" s="460">
        <f>'数据-取费表'!B37</f>
        <v>0.02</v>
      </c>
      <c r="G19" s="438" t="s">
        <v>497</v>
      </c>
      <c r="H19" s="441"/>
      <c r="I19" s="441"/>
      <c r="J19" s="441"/>
      <c r="K19" s="442"/>
      <c r="L19" s="3192"/>
      <c r="M19" s="3192"/>
      <c r="N19" s="3192"/>
      <c r="O19" s="3190"/>
      <c r="P19" s="3190"/>
      <c r="Q19" s="3190"/>
      <c r="R19" s="3190"/>
      <c r="S19" s="3190"/>
      <c r="T19" s="3190"/>
      <c r="U19" s="3190"/>
      <c r="V19" s="3190"/>
      <c r="W19" s="3190"/>
      <c r="X19" s="3190"/>
      <c r="Y19" s="3190"/>
      <c r="Z19" s="3190"/>
    </row>
    <row r="20" spans="1:26" s="2001" customFormat="1" ht="13.5" customHeight="1">
      <c r="A20" s="1563" t="s">
        <v>1807</v>
      </c>
      <c r="B20" s="453" t="s">
        <v>498</v>
      </c>
      <c r="C20" s="2737">
        <f>F20</f>
        <v>0.02</v>
      </c>
      <c r="D20" s="463" t="s">
        <v>499</v>
      </c>
      <c r="E20" s="463"/>
      <c r="F20" s="480">
        <f>'数据-取费表'!B38</f>
        <v>0.02</v>
      </c>
      <c r="G20" s="1281" t="s">
        <v>500</v>
      </c>
      <c r="H20" s="441"/>
      <c r="I20" s="441"/>
      <c r="J20" s="441"/>
      <c r="K20" s="442"/>
      <c r="L20" s="3192"/>
      <c r="M20" s="3192"/>
      <c r="N20" s="3192"/>
      <c r="O20" s="3190"/>
      <c r="P20" s="3190"/>
      <c r="Q20" s="3190"/>
      <c r="R20" s="3190"/>
      <c r="S20" s="3190"/>
      <c r="T20" s="3190"/>
      <c r="U20" s="3190"/>
      <c r="V20" s="3190"/>
      <c r="W20" s="3190"/>
      <c r="X20" s="3190"/>
      <c r="Y20" s="3190"/>
      <c r="Z20" s="3190"/>
    </row>
    <row r="21" spans="1:26" s="2003" customFormat="1" ht="13.5" customHeight="1">
      <c r="A21" s="1563" t="s">
        <v>1810</v>
      </c>
      <c r="B21" s="455" t="s">
        <v>488</v>
      </c>
      <c r="C21" s="464">
        <f ca="1">C22</f>
        <v>32</v>
      </c>
      <c r="D21" s="461">
        <f ca="1">C23</f>
        <v>5.0000000000000001E-4</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198" t="s">
        <v>2391</v>
      </c>
      <c r="M21" s="3199"/>
      <c r="N21" s="3199"/>
      <c r="O21" s="3199"/>
      <c r="P21" s="3199"/>
      <c r="Q21" s="3192"/>
      <c r="R21" s="3192"/>
      <c r="S21" s="3192"/>
      <c r="T21" s="3192"/>
      <c r="U21" s="3192"/>
      <c r="V21" s="3192"/>
      <c r="W21" s="3192"/>
      <c r="X21" s="3192"/>
      <c r="Y21" s="3192"/>
      <c r="Z21" s="3192"/>
    </row>
    <row r="22" spans="1:26" s="2002" customFormat="1" ht="13.5" customHeight="1">
      <c r="A22" s="1562" t="s">
        <v>1800</v>
      </c>
      <c r="B22" s="1282" t="s">
        <v>2373</v>
      </c>
      <c r="C22" s="481">
        <f ca="1">ROUND(IF('数据-取费表'!B22&lt;=1,(C18+C19)*F21*'数据-取费表'!B20/2,(C18+C19)*(POWER((1+F21),'数据-取费表'!B20/2)-1)),0)</f>
        <v>32</v>
      </c>
      <c r="D22" s="466"/>
      <c r="E22" s="467"/>
      <c r="F22" s="468"/>
      <c r="G22" s="2417" t="str">
        <f>IF('数据-取费表'!B22&lt;=1,"((1)+(2))×年利率×建设期÷2","((1)+(2))×((1+年利率)^(建设期÷2)-1)")</f>
        <v>((1)+(2))×((1+年利率)^(建设期÷2)-1)</v>
      </c>
      <c r="H22" s="451"/>
      <c r="I22" s="451"/>
      <c r="J22" s="451"/>
      <c r="K22" s="452"/>
      <c r="L22" s="3191"/>
      <c r="M22" s="3191"/>
      <c r="N22" s="3191"/>
      <c r="O22" s="3191"/>
      <c r="P22" s="3191"/>
      <c r="Q22" s="3191"/>
      <c r="R22" s="3191"/>
      <c r="S22" s="3191"/>
      <c r="T22" s="3191"/>
      <c r="U22" s="3191"/>
      <c r="V22" s="3191"/>
      <c r="W22" s="3191"/>
      <c r="X22" s="3191"/>
      <c r="Y22" s="3191"/>
      <c r="Z22" s="3191"/>
    </row>
    <row r="23" spans="1:26" s="2002" customFormat="1" ht="13.5" customHeight="1">
      <c r="A23" s="1562" t="s">
        <v>1801</v>
      </c>
      <c r="B23" s="1282" t="s">
        <v>502</v>
      </c>
      <c r="C23" s="482">
        <f ca="1">ROUND(IF('数据-取费表'!B22&lt;=1,F20*F21*'数据-取费表'!B20/2,F20*(POWER((1+F21),'数据-取费表'!B20/2)-1)),4)</f>
        <v>5.0000000000000001E-4</v>
      </c>
      <c r="D23" s="466"/>
      <c r="E23" s="467"/>
      <c r="F23" s="468"/>
      <c r="G23" s="2417" t="str">
        <f>IF('数据-取费表'!B22&lt;=1,"销售费用率×年利率×建设期÷2","销售费用率×((1+年利率)^(建设期÷2)-1)")</f>
        <v>销售费用率×((1+年利率)^(建设期÷2)-1)</v>
      </c>
      <c r="H23" s="451"/>
      <c r="I23" s="451"/>
      <c r="J23" s="451"/>
      <c r="K23" s="452"/>
      <c r="L23" s="3191"/>
      <c r="M23" s="3191"/>
      <c r="N23" s="3191"/>
      <c r="O23" s="3191"/>
      <c r="P23" s="3191"/>
      <c r="Q23" s="3191"/>
      <c r="R23" s="3191"/>
      <c r="S23" s="3191"/>
      <c r="T23" s="3191"/>
      <c r="U23" s="3191"/>
      <c r="V23" s="3191"/>
      <c r="W23" s="3191"/>
      <c r="X23" s="3191"/>
      <c r="Y23" s="3191"/>
      <c r="Z23" s="3191"/>
    </row>
    <row r="24" spans="1:26" s="2002" customFormat="1" ht="13.5" customHeight="1">
      <c r="A24" s="1563" t="s">
        <v>1811</v>
      </c>
      <c r="B24" s="2739" t="s">
        <v>2763</v>
      </c>
      <c r="C24" s="472">
        <f ca="1">C25</f>
        <v>165</v>
      </c>
      <c r="D24" s="483">
        <f ca="1">C26</f>
        <v>2.3999999999999998E-3</v>
      </c>
      <c r="E24" s="463" t="s">
        <v>501</v>
      </c>
      <c r="F24" s="473">
        <f ca="1">IF(B1="",'数据-取费表'!Q16,INDIRECT("'数据-取费表'!q"&amp;$K$1))</f>
        <v>0.12</v>
      </c>
      <c r="G24" s="438"/>
      <c r="H24" s="441"/>
      <c r="I24" s="441"/>
      <c r="J24" s="441"/>
      <c r="K24" s="442"/>
      <c r="L24" s="3191"/>
      <c r="M24" s="3191"/>
      <c r="N24" s="3191"/>
      <c r="O24" s="3191"/>
      <c r="P24" s="3191"/>
      <c r="Q24" s="3191"/>
      <c r="R24" s="3191"/>
      <c r="S24" s="3191"/>
      <c r="T24" s="3191"/>
      <c r="U24" s="3191"/>
      <c r="V24" s="3191"/>
      <c r="W24" s="3191"/>
      <c r="X24" s="3191"/>
      <c r="Y24" s="3191"/>
      <c r="Z24" s="3191"/>
    </row>
    <row r="25" spans="1:26" s="2002" customFormat="1" ht="13.5" customHeight="1">
      <c r="A25" s="1562" t="s">
        <v>1800</v>
      </c>
      <c r="B25" s="1282" t="s">
        <v>2374</v>
      </c>
      <c r="C25" s="484">
        <f ca="1">ROUND((C18+C19)*F24,0)</f>
        <v>165</v>
      </c>
      <c r="D25" s="466"/>
      <c r="E25" s="467"/>
      <c r="F25" s="474"/>
      <c r="G25" s="1280" t="s">
        <v>2371</v>
      </c>
      <c r="H25" s="451"/>
      <c r="I25" s="451"/>
      <c r="J25" s="451"/>
      <c r="K25" s="452"/>
      <c r="L25" s="3191"/>
      <c r="M25" s="3191"/>
      <c r="N25" s="3191"/>
      <c r="O25" s="3191"/>
      <c r="P25" s="3191"/>
      <c r="Q25" s="3191"/>
      <c r="R25" s="3191"/>
      <c r="S25" s="3191"/>
      <c r="T25" s="3191"/>
      <c r="U25" s="3191"/>
      <c r="V25" s="3191"/>
      <c r="W25" s="3191"/>
      <c r="X25" s="3191"/>
      <c r="Y25" s="3191"/>
      <c r="Z25" s="3191"/>
    </row>
    <row r="26" spans="1:26" s="2002" customFormat="1" ht="13.5" customHeight="1">
      <c r="A26" s="1562" t="s">
        <v>1801</v>
      </c>
      <c r="B26" s="1282" t="s">
        <v>503</v>
      </c>
      <c r="C26" s="485">
        <f ca="1">ROUND(F20*F24,4)</f>
        <v>2.3999999999999998E-3</v>
      </c>
      <c r="D26" s="466"/>
      <c r="E26" s="475"/>
      <c r="F26" s="474"/>
      <c r="G26" s="1280" t="s">
        <v>504</v>
      </c>
      <c r="H26" s="451"/>
      <c r="I26" s="451"/>
      <c r="J26" s="451"/>
      <c r="K26" s="452"/>
      <c r="L26" s="3191"/>
      <c r="M26" s="3191"/>
      <c r="N26" s="3191"/>
      <c r="O26" s="3191"/>
      <c r="P26" s="3191"/>
      <c r="Q26" s="3191"/>
      <c r="R26" s="3191"/>
      <c r="S26" s="3191"/>
      <c r="T26" s="3191"/>
      <c r="U26" s="3191"/>
      <c r="V26" s="3191"/>
      <c r="W26" s="3191"/>
      <c r="X26" s="3191"/>
      <c r="Y26" s="3191"/>
      <c r="Z26" s="3191"/>
    </row>
    <row r="27" spans="1:26" s="2002" customFormat="1" ht="13.5" customHeight="1">
      <c r="A27" s="1566" t="s">
        <v>1819</v>
      </c>
      <c r="B27" s="453" t="s">
        <v>505</v>
      </c>
      <c r="C27" s="2738">
        <f>ROUND(F27/(1+'数据-取费表'!C42),4)</f>
        <v>5.2400000000000002E-2</v>
      </c>
      <c r="D27" s="456" t="s">
        <v>2761</v>
      </c>
      <c r="E27" s="456"/>
      <c r="F27" s="460">
        <f>'数据-取费表'!B41</f>
        <v>5.5000000000000007E-2</v>
      </c>
      <c r="G27" s="1874" t="s">
        <v>2237</v>
      </c>
      <c r="H27" s="441"/>
      <c r="I27" s="441"/>
      <c r="J27" s="441"/>
      <c r="K27" s="442"/>
      <c r="L27" s="3191"/>
      <c r="M27" s="3191"/>
      <c r="N27" s="3191"/>
      <c r="O27" s="3191"/>
      <c r="P27" s="3191"/>
      <c r="Q27" s="3191"/>
      <c r="R27" s="3191"/>
      <c r="S27" s="3191"/>
      <c r="T27" s="3191"/>
      <c r="U27" s="3191"/>
      <c r="V27" s="3191"/>
      <c r="W27" s="3191"/>
      <c r="X27" s="3191"/>
      <c r="Y27" s="3191"/>
      <c r="Z27" s="3191"/>
    </row>
    <row r="28" spans="1:26" s="2003" customFormat="1" ht="13.5" customHeight="1">
      <c r="A28" s="1566" t="s">
        <v>1820</v>
      </c>
      <c r="B28" s="470" t="s">
        <v>506</v>
      </c>
      <c r="C28" s="464">
        <f ca="1">ROUND((C18+C19+C21+C24)/(1-C20-D21-D24-C27),0)</f>
        <v>1701</v>
      </c>
      <c r="D28" s="471"/>
      <c r="E28" s="463"/>
      <c r="F28" s="465"/>
      <c r="G28" s="1281" t="s">
        <v>2372</v>
      </c>
      <c r="H28" s="441"/>
      <c r="I28" s="441"/>
      <c r="J28" s="441"/>
      <c r="K28" s="442"/>
      <c r="L28" s="3192"/>
      <c r="M28" s="3192"/>
      <c r="N28" s="3192"/>
      <c r="O28" s="3192"/>
      <c r="P28" s="3192"/>
      <c r="Q28" s="3192"/>
      <c r="R28" s="3192"/>
      <c r="S28" s="3192"/>
      <c r="T28" s="3192"/>
      <c r="U28" s="3192"/>
      <c r="V28" s="3192"/>
      <c r="W28" s="3192"/>
      <c r="X28" s="3192"/>
      <c r="Y28" s="3192"/>
      <c r="Z28" s="3192"/>
    </row>
    <row r="29" spans="1:26" s="2003" customFormat="1" ht="13.5" customHeight="1">
      <c r="A29" s="1566" t="s">
        <v>1821</v>
      </c>
      <c r="B29" s="470" t="s">
        <v>507</v>
      </c>
      <c r="C29" s="486">
        <f ca="1">IF(B1="",'数据-取费表'!N16,INDIRECT("'数据-取费表'!N"&amp;$K$1))</f>
        <v>0.7</v>
      </c>
      <c r="D29" s="487"/>
      <c r="E29" s="488"/>
      <c r="F29" s="489"/>
      <c r="G29" s="438"/>
      <c r="H29" s="441"/>
      <c r="I29" s="441"/>
      <c r="J29" s="441"/>
      <c r="K29" s="442"/>
      <c r="L29" s="3192"/>
      <c r="M29" s="3192"/>
      <c r="N29" s="3192"/>
      <c r="O29" s="3192"/>
      <c r="P29" s="3192"/>
      <c r="Q29" s="3192"/>
      <c r="R29" s="3192"/>
      <c r="S29" s="3192"/>
      <c r="T29" s="3192"/>
      <c r="U29" s="3192"/>
      <c r="V29" s="3192"/>
      <c r="W29" s="3192"/>
      <c r="X29" s="3192"/>
      <c r="Y29" s="3192"/>
      <c r="Z29" s="3192"/>
    </row>
    <row r="30" spans="1:26" s="2003" customFormat="1" ht="13.5" customHeight="1">
      <c r="A30" s="437">
        <v>2</v>
      </c>
      <c r="B30" s="470" t="s">
        <v>508</v>
      </c>
      <c r="C30" s="491">
        <f ca="1">ROUND(C28*C29,0)</f>
        <v>1191</v>
      </c>
      <c r="D30" s="487"/>
      <c r="E30" s="492"/>
      <c r="F30" s="493"/>
      <c r="G30" s="1283" t="s">
        <v>509</v>
      </c>
      <c r="H30" s="490"/>
      <c r="I30" s="490"/>
      <c r="J30" s="441"/>
      <c r="K30" s="442"/>
      <c r="L30" s="3192"/>
      <c r="M30" s="3192"/>
      <c r="N30" s="3192"/>
      <c r="O30" s="3192"/>
      <c r="P30" s="3192"/>
      <c r="Q30" s="3192"/>
      <c r="R30" s="3192"/>
      <c r="S30" s="3192"/>
      <c r="T30" s="3192"/>
      <c r="U30" s="3192"/>
      <c r="V30" s="3192"/>
      <c r="W30" s="3192"/>
      <c r="X30" s="3192"/>
      <c r="Y30" s="3192"/>
      <c r="Z30" s="3192"/>
    </row>
    <row r="31" spans="1:26" s="2008" customFormat="1" ht="13.5" customHeight="1">
      <c r="A31" s="2335" t="s">
        <v>1817</v>
      </c>
      <c r="B31" s="1284"/>
      <c r="C31" s="494">
        <f ca="1">ROUND(C6*F31/(1+'数据-取费表'!C42),0)</f>
        <v>178</v>
      </c>
      <c r="D31" s="1285"/>
      <c r="E31" s="1285"/>
      <c r="F31" s="495">
        <f>'数据-取费表'!B41</f>
        <v>5.5000000000000007E-2</v>
      </c>
      <c r="G31" s="1286"/>
      <c r="H31" s="1286"/>
      <c r="I31" s="1286"/>
      <c r="J31" s="1287"/>
      <c r="K31" s="1288"/>
      <c r="L31" s="3197"/>
      <c r="M31" s="3197"/>
      <c r="N31" s="3197"/>
      <c r="O31" s="3197"/>
      <c r="P31" s="3197"/>
      <c r="Q31" s="3197"/>
      <c r="R31" s="3197"/>
      <c r="S31" s="3197"/>
      <c r="T31" s="3197"/>
      <c r="U31" s="3197"/>
      <c r="V31" s="3197"/>
      <c r="W31" s="3197"/>
      <c r="X31" s="3197"/>
      <c r="Y31" s="3197"/>
      <c r="Z31" s="3197"/>
    </row>
    <row r="32" spans="1:26" s="1967" customFormat="1" ht="13.5" customHeight="1" thickBot="1">
      <c r="A32" s="476" t="s">
        <v>1818</v>
      </c>
      <c r="B32" s="477"/>
      <c r="C32" s="478">
        <f ca="1">IF('数据-取费表'!B20&lt;=1,(C6-C30-C31)/(1+F21*'数据-取费表'!B20+F24)/(1+'数据-取费表'!B48+'数据-取费表'!B49),(C6-C30-C31)/(1+(POWER((1+F21),'数据-取费表'!B20)-1)+F24)/(1+'数据-取费表'!B48+'数据-取费表'!B49))</f>
        <v>1684.8019765461768</v>
      </c>
      <c r="D32" s="477"/>
      <c r="E32" s="477"/>
      <c r="F32" s="477"/>
      <c r="G32" s="2336" t="s">
        <v>2883</v>
      </c>
      <c r="H32" s="477"/>
      <c r="I32" s="477"/>
      <c r="J32" s="477"/>
      <c r="K32" s="479"/>
      <c r="L32" s="3188"/>
      <c r="M32" s="3188"/>
      <c r="N32" s="3188"/>
      <c r="O32" s="3188"/>
      <c r="P32" s="3188"/>
      <c r="Q32" s="3188"/>
      <c r="R32" s="3188"/>
      <c r="S32" s="3188"/>
      <c r="T32" s="3188"/>
      <c r="U32" s="3188"/>
      <c r="V32" s="3188"/>
      <c r="W32" s="3188"/>
      <c r="X32" s="3188"/>
      <c r="Y32" s="3188"/>
      <c r="Z32" s="3188"/>
    </row>
    <row r="33" spans="1:5" s="1997" customFormat="1">
      <c r="A33" s="3195"/>
      <c r="C33" s="3196"/>
      <c r="E33" s="3195"/>
    </row>
    <row r="34" spans="1:5" s="1997" customFormat="1" ht="12.75" customHeight="1">
      <c r="A34" s="3195"/>
      <c r="C34" s="3196"/>
      <c r="E34" s="3195"/>
    </row>
    <row r="35" spans="1:5" s="1997" customFormat="1">
      <c r="A35" s="3195"/>
      <c r="C35" s="3196"/>
      <c r="E35" s="3195"/>
    </row>
    <row r="36" spans="1:5" s="1997" customFormat="1">
      <c r="A36" s="3195"/>
      <c r="C36" s="3196"/>
      <c r="E36" s="3195"/>
    </row>
    <row r="37" spans="1:5" s="1997" customFormat="1">
      <c r="A37" s="3195"/>
      <c r="C37" s="3196"/>
      <c r="E37" s="3195"/>
    </row>
    <row r="38" spans="1:5" s="1997" customFormat="1">
      <c r="A38" s="3195"/>
      <c r="C38" s="3196"/>
      <c r="E38" s="3195"/>
    </row>
    <row r="39" spans="1:5" s="1997" customFormat="1">
      <c r="A39" s="3195"/>
      <c r="C39" s="3196"/>
      <c r="E39" s="3195"/>
    </row>
    <row r="40" spans="1:5" s="1997" customFormat="1">
      <c r="A40" s="3195"/>
      <c r="C40" s="3196"/>
      <c r="E40" s="3195"/>
    </row>
    <row r="41" spans="1:5" s="1997" customFormat="1">
      <c r="A41" s="3195"/>
      <c r="C41" s="3196"/>
      <c r="E41" s="3195"/>
    </row>
    <row r="42" spans="1:5" s="1997" customFormat="1">
      <c r="A42" s="3195"/>
      <c r="C42" s="3196"/>
      <c r="E42" s="3195"/>
    </row>
    <row r="43" spans="1:5" s="1997" customFormat="1">
      <c r="A43" s="3195"/>
      <c r="C43" s="3196"/>
      <c r="E43" s="3195"/>
    </row>
    <row r="44" spans="1:5" s="1997" customFormat="1">
      <c r="A44" s="3195"/>
      <c r="C44" s="3196"/>
      <c r="E44" s="3195"/>
    </row>
    <row r="45" spans="1:5" s="1997" customFormat="1">
      <c r="A45" s="3195"/>
      <c r="C45" s="3196"/>
      <c r="E45" s="3195"/>
    </row>
    <row r="46" spans="1:5" s="1997" customFormat="1">
      <c r="A46" s="3195"/>
      <c r="C46" s="3196"/>
      <c r="E46" s="3195"/>
    </row>
    <row r="47" spans="1:5" s="1997" customFormat="1">
      <c r="A47" s="3195"/>
      <c r="C47" s="3196"/>
      <c r="E47" s="3195"/>
    </row>
    <row r="48" spans="1:5" s="1997" customFormat="1">
      <c r="A48" s="3195"/>
      <c r="C48" s="3196"/>
      <c r="E48" s="3195"/>
    </row>
    <row r="49" spans="1:5" s="1997" customFormat="1">
      <c r="A49" s="3195"/>
      <c r="C49" s="3196"/>
      <c r="E49" s="3195"/>
    </row>
    <row r="50" spans="1:5" s="1997" customFormat="1">
      <c r="A50" s="3195"/>
      <c r="C50" s="3196"/>
      <c r="E50" s="3195"/>
    </row>
    <row r="51" spans="1:5" s="1997" customFormat="1">
      <c r="A51" s="3195"/>
      <c r="C51" s="3196"/>
      <c r="E51" s="3195"/>
    </row>
    <row r="52" spans="1:5" s="1997" customFormat="1">
      <c r="A52" s="3195"/>
      <c r="C52" s="3196"/>
      <c r="E52" s="3195"/>
    </row>
    <row r="53" spans="1:5" s="1997" customFormat="1">
      <c r="A53" s="3195"/>
      <c r="C53" s="3196"/>
      <c r="E53" s="3195"/>
    </row>
    <row r="54" spans="1:5" s="1997" customFormat="1">
      <c r="A54" s="3195"/>
      <c r="C54" s="3196"/>
      <c r="E54" s="3195"/>
    </row>
    <row r="55" spans="1:5" s="1997" customFormat="1">
      <c r="A55" s="3195"/>
      <c r="C55" s="3196"/>
      <c r="E55" s="3195"/>
    </row>
    <row r="56" spans="1:5" s="1997" customFormat="1">
      <c r="A56" s="3195"/>
      <c r="C56" s="3196"/>
      <c r="E56" s="3195"/>
    </row>
    <row r="57" spans="1:5" s="1997" customFormat="1">
      <c r="A57" s="3195"/>
      <c r="C57" s="3196"/>
      <c r="E57" s="3195"/>
    </row>
    <row r="58" spans="1:5" s="1997" customFormat="1">
      <c r="A58" s="3195"/>
      <c r="C58" s="3196"/>
      <c r="E58" s="3195"/>
    </row>
    <row r="59" spans="1:5" s="1997" customFormat="1">
      <c r="A59" s="3195"/>
      <c r="C59" s="3196"/>
      <c r="E59" s="3195"/>
    </row>
    <row r="60" spans="1:5" s="1997" customFormat="1">
      <c r="A60" s="3195"/>
      <c r="C60" s="3196"/>
      <c r="E60" s="3195"/>
    </row>
    <row r="61" spans="1:5" s="1997" customFormat="1">
      <c r="A61" s="3195"/>
      <c r="C61" s="3196"/>
      <c r="E61" s="3195"/>
    </row>
    <row r="62" spans="1:5" s="1997" customFormat="1">
      <c r="A62" s="3195"/>
      <c r="C62" s="3196"/>
      <c r="E62" s="3195"/>
    </row>
    <row r="63" spans="1:5" s="1997" customFormat="1">
      <c r="A63" s="3195"/>
      <c r="C63" s="3196"/>
      <c r="E63" s="3195"/>
    </row>
    <row r="64" spans="1:5" s="1997" customFormat="1">
      <c r="A64" s="3195"/>
      <c r="C64" s="3196"/>
      <c r="E64" s="3195"/>
    </row>
    <row r="65" spans="1:5" s="1997" customFormat="1">
      <c r="A65" s="3195"/>
      <c r="C65" s="3196"/>
      <c r="E65" s="3195"/>
    </row>
    <row r="66" spans="1:5" s="1997" customFormat="1">
      <c r="A66" s="3195"/>
      <c r="C66" s="3196"/>
      <c r="E66" s="3195"/>
    </row>
    <row r="67" spans="1:5" s="1997" customFormat="1">
      <c r="A67" s="3195"/>
      <c r="C67" s="3196"/>
      <c r="E67" s="3195"/>
    </row>
    <row r="68" spans="1:5" s="1997" customFormat="1">
      <c r="A68" s="3195"/>
      <c r="C68" s="3196"/>
      <c r="E68" s="3195"/>
    </row>
    <row r="69" spans="1:5" s="1997" customFormat="1">
      <c r="A69" s="3195"/>
      <c r="C69" s="3196"/>
      <c r="E69" s="3195"/>
    </row>
    <row r="70" spans="1:5" s="1997" customFormat="1">
      <c r="A70" s="3195"/>
      <c r="C70" s="3196"/>
      <c r="E70" s="3195"/>
    </row>
    <row r="71" spans="1:5" s="1997" customFormat="1">
      <c r="A71" s="3195"/>
      <c r="C71" s="3196"/>
      <c r="E71" s="3195"/>
    </row>
    <row r="72" spans="1:5" s="1997" customFormat="1">
      <c r="A72" s="3195"/>
      <c r="C72" s="3196"/>
      <c r="E72" s="3195"/>
    </row>
    <row r="73" spans="1:5" s="1997" customFormat="1">
      <c r="A73" s="3195"/>
      <c r="C73" s="3196"/>
      <c r="E73" s="3195"/>
    </row>
    <row r="74" spans="1:5" s="1997" customFormat="1">
      <c r="A74" s="3195"/>
      <c r="C74" s="3196"/>
      <c r="E74" s="3195"/>
    </row>
    <row r="75" spans="1:5" s="1997" customFormat="1">
      <c r="A75" s="3195"/>
      <c r="C75" s="3196"/>
      <c r="E75" s="3195"/>
    </row>
    <row r="76" spans="1:5" s="1997" customFormat="1">
      <c r="A76" s="3195"/>
      <c r="C76" s="3196"/>
      <c r="E76" s="3195"/>
    </row>
    <row r="77" spans="1:5" s="1997" customFormat="1">
      <c r="A77" s="3195"/>
      <c r="C77" s="3196"/>
      <c r="E77" s="3195"/>
    </row>
    <row r="78" spans="1:5" s="1997" customFormat="1">
      <c r="A78" s="3195"/>
      <c r="C78" s="3196"/>
      <c r="E78" s="3195"/>
    </row>
    <row r="79" spans="1:5" s="1997" customFormat="1">
      <c r="A79" s="3195"/>
      <c r="C79" s="3196"/>
      <c r="E79" s="3195"/>
    </row>
    <row r="80" spans="1:5" s="1997" customFormat="1">
      <c r="A80" s="3195"/>
      <c r="C80" s="3196"/>
      <c r="E80" s="3195"/>
    </row>
    <row r="81" spans="1:5" s="1997" customFormat="1">
      <c r="A81" s="3195"/>
      <c r="C81" s="3196"/>
      <c r="E81" s="3195"/>
    </row>
    <row r="82" spans="1:5" s="1997" customFormat="1">
      <c r="A82" s="3195"/>
      <c r="C82" s="3196"/>
      <c r="E82" s="3195"/>
    </row>
    <row r="83" spans="1:5" s="1997" customFormat="1">
      <c r="A83" s="3195"/>
      <c r="C83" s="3196"/>
      <c r="E83" s="3195"/>
    </row>
    <row r="84" spans="1:5" s="1997" customFormat="1">
      <c r="A84" s="3195"/>
      <c r="C84" s="3196"/>
      <c r="E84" s="3195"/>
    </row>
    <row r="85" spans="1:5" s="1997" customFormat="1">
      <c r="A85" s="3195"/>
      <c r="C85" s="3196"/>
      <c r="E85" s="3195"/>
    </row>
    <row r="86" spans="1:5" s="1997" customFormat="1">
      <c r="A86" s="3195"/>
      <c r="C86" s="3196"/>
      <c r="E86" s="3195"/>
    </row>
    <row r="87" spans="1:5" s="1997" customFormat="1">
      <c r="A87" s="3195"/>
      <c r="C87" s="3196"/>
      <c r="E87" s="3195"/>
    </row>
    <row r="88" spans="1:5" s="1997" customFormat="1">
      <c r="A88" s="3195"/>
      <c r="C88" s="3196"/>
      <c r="E88" s="3195"/>
    </row>
    <row r="89" spans="1:5" s="1997" customFormat="1">
      <c r="A89" s="3195"/>
      <c r="C89" s="3196"/>
      <c r="E89" s="3195"/>
    </row>
    <row r="90" spans="1:5" s="1997" customFormat="1">
      <c r="A90" s="3195"/>
      <c r="C90" s="3196"/>
      <c r="E90" s="3195"/>
    </row>
    <row r="91" spans="1:5" s="1997" customFormat="1">
      <c r="A91" s="3195"/>
      <c r="C91" s="3196"/>
      <c r="E91" s="3195"/>
    </row>
    <row r="92" spans="1:5" s="1997" customFormat="1">
      <c r="A92" s="3195"/>
      <c r="C92" s="3196"/>
      <c r="E92" s="3195"/>
    </row>
    <row r="93" spans="1:5" s="1997" customFormat="1">
      <c r="A93" s="3195"/>
      <c r="C93" s="3196"/>
      <c r="E93" s="3195"/>
    </row>
    <row r="94" spans="1:5" s="1997" customFormat="1">
      <c r="A94" s="3195"/>
      <c r="C94" s="3196"/>
      <c r="E94" s="3195"/>
    </row>
    <row r="95" spans="1:5" s="1997" customFormat="1">
      <c r="A95" s="3195"/>
      <c r="C95" s="3196"/>
      <c r="E95" s="3195"/>
    </row>
    <row r="96" spans="1:5" s="1997" customFormat="1">
      <c r="A96" s="3195"/>
      <c r="C96" s="3196"/>
      <c r="E96" s="3195"/>
    </row>
    <row r="97" spans="1:5" s="1997" customFormat="1">
      <c r="A97" s="3195"/>
      <c r="C97" s="3196"/>
      <c r="E97" s="3195"/>
    </row>
    <row r="98" spans="1:5" s="1997" customFormat="1">
      <c r="A98" s="3195"/>
      <c r="C98" s="3196"/>
      <c r="E98" s="3195"/>
    </row>
    <row r="99" spans="1:5" s="1997" customFormat="1">
      <c r="A99" s="3195"/>
      <c r="C99" s="3196"/>
      <c r="E99" s="3195"/>
    </row>
    <row r="100" spans="1:5" s="1997" customFormat="1">
      <c r="A100" s="3195"/>
      <c r="C100" s="3196"/>
      <c r="E100" s="3195"/>
    </row>
    <row r="101" spans="1:5" s="1997" customFormat="1">
      <c r="A101" s="3195"/>
      <c r="C101" s="3196"/>
      <c r="E101" s="3195"/>
    </row>
    <row r="102" spans="1:5" s="1997" customFormat="1">
      <c r="A102" s="3195"/>
      <c r="C102" s="3196"/>
      <c r="E102" s="3195"/>
    </row>
    <row r="103" spans="1:5" s="1997" customFormat="1">
      <c r="A103" s="3195"/>
      <c r="C103" s="3196"/>
      <c r="E103" s="3195"/>
    </row>
    <row r="104" spans="1:5" s="1997" customFormat="1">
      <c r="A104" s="3195"/>
      <c r="C104" s="3196"/>
      <c r="E104" s="3195"/>
    </row>
    <row r="105" spans="1:5" s="1997" customFormat="1">
      <c r="A105" s="3195"/>
      <c r="C105" s="3196"/>
      <c r="E105" s="3195"/>
    </row>
    <row r="106" spans="1:5" s="1997" customFormat="1">
      <c r="A106" s="3195"/>
      <c r="C106" s="3196"/>
      <c r="E106" s="3195"/>
    </row>
    <row r="107" spans="1:5" s="1997" customFormat="1">
      <c r="A107" s="3195"/>
      <c r="C107" s="3196"/>
      <c r="E107" s="3195"/>
    </row>
    <row r="108" spans="1:5" s="1997" customFormat="1">
      <c r="A108" s="3195"/>
      <c r="C108" s="3196"/>
      <c r="E108" s="3195"/>
    </row>
    <row r="109" spans="1:5" s="1997" customFormat="1">
      <c r="A109" s="3195"/>
      <c r="C109" s="3196"/>
      <c r="E109" s="3195"/>
    </row>
    <row r="110" spans="1:5" s="1997" customFormat="1">
      <c r="A110" s="3195"/>
      <c r="C110" s="3196"/>
      <c r="E110" s="3195"/>
    </row>
    <row r="111" spans="1:5" s="1997" customFormat="1">
      <c r="A111" s="3195"/>
      <c r="C111" s="3196"/>
      <c r="E111" s="3195"/>
    </row>
    <row r="112" spans="1:5" s="1997" customFormat="1">
      <c r="A112" s="3195"/>
      <c r="C112" s="3196"/>
      <c r="E112" s="3195"/>
    </row>
    <row r="113" spans="1:5" s="1997" customFormat="1">
      <c r="A113" s="3195"/>
      <c r="C113" s="3196"/>
      <c r="E113" s="3195"/>
    </row>
    <row r="114" spans="1:5" s="1997" customFormat="1">
      <c r="A114" s="3195"/>
      <c r="C114" s="3196"/>
      <c r="E114" s="3195"/>
    </row>
    <row r="115" spans="1:5" s="1997" customFormat="1">
      <c r="A115" s="3195"/>
      <c r="C115" s="3196"/>
      <c r="E115" s="3195"/>
    </row>
    <row r="116" spans="1:5" s="1997" customFormat="1">
      <c r="A116" s="3195"/>
      <c r="C116" s="3196"/>
      <c r="E116" s="3195"/>
    </row>
    <row r="117" spans="1:5" s="1997" customFormat="1">
      <c r="A117" s="3195"/>
      <c r="C117" s="3196"/>
      <c r="E117" s="3195"/>
    </row>
    <row r="118" spans="1:5" s="1997" customFormat="1">
      <c r="A118" s="3195"/>
      <c r="C118" s="3196"/>
      <c r="E118" s="3195"/>
    </row>
    <row r="119" spans="1:5" s="1997" customFormat="1">
      <c r="A119" s="3195"/>
      <c r="C119" s="3196"/>
      <c r="E119" s="3195"/>
    </row>
    <row r="120" spans="1:5" s="1997" customFormat="1">
      <c r="A120" s="3195"/>
      <c r="C120" s="3196"/>
      <c r="E120" s="3195"/>
    </row>
    <row r="121" spans="1:5" s="1997" customFormat="1">
      <c r="A121" s="3195"/>
      <c r="C121" s="3196"/>
      <c r="E121" s="3195"/>
    </row>
    <row r="122" spans="1:5" s="1997" customFormat="1">
      <c r="A122" s="3195"/>
      <c r="C122" s="3196"/>
      <c r="E122" s="3195"/>
    </row>
    <row r="123" spans="1:5" s="1997" customFormat="1">
      <c r="A123" s="3195"/>
      <c r="C123" s="3196"/>
      <c r="E123" s="3195"/>
    </row>
    <row r="124" spans="1:5" s="1997" customFormat="1">
      <c r="A124" s="3195"/>
      <c r="C124" s="3196"/>
      <c r="E124" s="3195"/>
    </row>
    <row r="125" spans="1:5" s="1997" customFormat="1">
      <c r="A125" s="3195"/>
      <c r="C125" s="3196"/>
      <c r="E125" s="3195"/>
    </row>
    <row r="126" spans="1:5" s="1997" customFormat="1">
      <c r="A126" s="3195"/>
      <c r="C126" s="3196"/>
      <c r="E126" s="3195"/>
    </row>
    <row r="127" spans="1:5" s="1997" customFormat="1">
      <c r="A127" s="3195"/>
      <c r="C127" s="3196"/>
      <c r="E127" s="3195"/>
    </row>
    <row r="128" spans="1:5" s="1997" customFormat="1">
      <c r="A128" s="3195"/>
      <c r="C128" s="3196"/>
      <c r="E128" s="3195"/>
    </row>
    <row r="129" spans="1:5" s="1997" customFormat="1">
      <c r="A129" s="3195"/>
      <c r="C129" s="3196"/>
      <c r="E129" s="3195"/>
    </row>
    <row r="130" spans="1:5" s="1997" customFormat="1">
      <c r="A130" s="3195"/>
      <c r="C130" s="3196"/>
      <c r="E130" s="3195"/>
    </row>
    <row r="131" spans="1:5" s="1997" customFormat="1">
      <c r="A131" s="3195"/>
      <c r="C131" s="3196"/>
      <c r="E131" s="3195"/>
    </row>
    <row r="132" spans="1:5" s="1997" customFormat="1">
      <c r="A132" s="3195"/>
      <c r="C132" s="3196"/>
      <c r="E132" s="3195"/>
    </row>
    <row r="133" spans="1:5" s="1997" customFormat="1">
      <c r="A133" s="3195"/>
      <c r="C133" s="3196"/>
      <c r="E133" s="3195"/>
    </row>
    <row r="134" spans="1:5" s="1997" customFormat="1">
      <c r="A134" s="3195"/>
      <c r="C134" s="3196"/>
      <c r="E134" s="3195"/>
    </row>
    <row r="135" spans="1:5" s="1997" customFormat="1">
      <c r="A135" s="3195"/>
      <c r="C135" s="3196"/>
      <c r="E135" s="3195"/>
    </row>
    <row r="136" spans="1:5" s="1997" customFormat="1">
      <c r="A136" s="3195"/>
      <c r="C136" s="3196"/>
      <c r="E136" s="3195"/>
    </row>
    <row r="137" spans="1:5" s="1997" customFormat="1">
      <c r="A137" s="3195"/>
      <c r="C137" s="3196"/>
      <c r="E137" s="3195"/>
    </row>
    <row r="138" spans="1:5" s="1997" customFormat="1">
      <c r="A138" s="3195"/>
      <c r="C138" s="3196"/>
      <c r="E138" s="3195"/>
    </row>
    <row r="139" spans="1:5" s="1997" customFormat="1">
      <c r="A139" s="3195"/>
      <c r="C139" s="3196"/>
      <c r="E139" s="3195"/>
    </row>
    <row r="140" spans="1:5" s="1997" customFormat="1">
      <c r="A140" s="3195"/>
      <c r="C140" s="3196"/>
      <c r="E140" s="3195"/>
    </row>
    <row r="141" spans="1:5" s="1997" customFormat="1">
      <c r="A141" s="3195"/>
      <c r="C141" s="3196"/>
      <c r="E141" s="3195"/>
    </row>
    <row r="142" spans="1:5" s="1997" customFormat="1">
      <c r="A142" s="3195"/>
      <c r="C142" s="3196"/>
      <c r="E142" s="3195"/>
    </row>
    <row r="143" spans="1:5" s="1997" customFormat="1">
      <c r="A143" s="3195"/>
      <c r="C143" s="3196"/>
      <c r="E143" s="3195"/>
    </row>
    <row r="144" spans="1:5" s="1997" customFormat="1">
      <c r="A144" s="3195"/>
      <c r="C144" s="3196"/>
      <c r="E144" s="3195"/>
    </row>
    <row r="145" spans="1:5" s="1997" customFormat="1">
      <c r="A145" s="3195"/>
      <c r="C145" s="3196"/>
      <c r="E145" s="3195"/>
    </row>
    <row r="146" spans="1:5" s="1997" customFormat="1">
      <c r="A146" s="3195"/>
      <c r="C146" s="3196"/>
      <c r="E146" s="3195"/>
    </row>
    <row r="147" spans="1:5" s="1997" customFormat="1">
      <c r="A147" s="3195"/>
      <c r="C147" s="3196"/>
      <c r="E147" s="3195"/>
    </row>
    <row r="148" spans="1:5" s="1997" customFormat="1">
      <c r="A148" s="3195"/>
      <c r="C148" s="3196"/>
      <c r="E148" s="3195"/>
    </row>
    <row r="149" spans="1:5" s="1997" customFormat="1">
      <c r="A149" s="3195"/>
      <c r="C149" s="3196"/>
      <c r="E149" s="3195"/>
    </row>
    <row r="150" spans="1:5" s="1997" customFormat="1">
      <c r="A150" s="3195"/>
      <c r="C150" s="3196"/>
      <c r="E150" s="3195"/>
    </row>
    <row r="151" spans="1:5" s="1997" customFormat="1">
      <c r="A151" s="3195"/>
      <c r="C151" s="3196"/>
      <c r="E151" s="3195"/>
    </row>
    <row r="152" spans="1:5" s="1997" customFormat="1">
      <c r="A152" s="3195"/>
      <c r="C152" s="3196"/>
      <c r="E152" s="3195"/>
    </row>
    <row r="153" spans="1:5" s="1997" customFormat="1">
      <c r="A153" s="3195"/>
      <c r="C153" s="3196"/>
      <c r="E153" s="3195"/>
    </row>
    <row r="154" spans="1:5" s="1997" customFormat="1">
      <c r="A154" s="3195"/>
      <c r="C154" s="3196"/>
      <c r="E154" s="3195"/>
    </row>
    <row r="155" spans="1:5" s="1997" customFormat="1">
      <c r="A155" s="3195"/>
      <c r="C155" s="3196"/>
      <c r="E155" s="3195"/>
    </row>
    <row r="156" spans="1:5" s="1997" customFormat="1">
      <c r="A156" s="3195"/>
      <c r="C156" s="3196"/>
      <c r="E156" s="3195"/>
    </row>
    <row r="157" spans="1:5" s="1997" customFormat="1">
      <c r="A157" s="3195"/>
      <c r="C157" s="3196"/>
      <c r="E157" s="3195"/>
    </row>
    <row r="158" spans="1:5" s="1997" customFormat="1">
      <c r="A158" s="3195"/>
      <c r="C158" s="3196"/>
      <c r="E158" s="3195"/>
    </row>
    <row r="159" spans="1:5" s="1997" customFormat="1">
      <c r="A159" s="3195"/>
      <c r="C159" s="3196"/>
      <c r="E159" s="3195"/>
    </row>
    <row r="160" spans="1:5" s="1997" customFormat="1">
      <c r="A160" s="3195"/>
      <c r="C160" s="3196"/>
      <c r="E160" s="3195"/>
    </row>
    <row r="161" spans="1:5" s="1997" customFormat="1">
      <c r="A161" s="3195"/>
      <c r="C161" s="3196"/>
      <c r="E161" s="3195"/>
    </row>
    <row r="162" spans="1:5" s="1997" customFormat="1">
      <c r="A162" s="3195"/>
      <c r="C162" s="3196"/>
      <c r="E162" s="3195"/>
    </row>
    <row r="163" spans="1:5" s="1997" customFormat="1">
      <c r="A163" s="3195"/>
      <c r="C163" s="3196"/>
      <c r="E163" s="3195"/>
    </row>
    <row r="164" spans="1:5" s="1997" customFormat="1">
      <c r="A164" s="3195"/>
      <c r="C164" s="3196"/>
      <c r="E164" s="3195"/>
    </row>
    <row r="165" spans="1:5" s="1997" customFormat="1">
      <c r="A165" s="3195"/>
      <c r="C165" s="3196"/>
      <c r="E165" s="3195"/>
    </row>
    <row r="166" spans="1:5" s="1997" customFormat="1">
      <c r="A166" s="3195"/>
      <c r="C166" s="3196"/>
      <c r="E166" s="3195"/>
    </row>
    <row r="167" spans="1:5" s="1997" customFormat="1">
      <c r="A167" s="3195"/>
      <c r="C167" s="3196"/>
      <c r="E167" s="3195"/>
    </row>
    <row r="168" spans="1:5" s="1997" customFormat="1">
      <c r="A168" s="3195"/>
      <c r="C168" s="3196"/>
      <c r="E168" s="3195"/>
    </row>
    <row r="169" spans="1:5" s="1997" customFormat="1">
      <c r="A169" s="3195"/>
      <c r="C169" s="3196"/>
      <c r="E169" s="3195"/>
    </row>
    <row r="170" spans="1:5" s="1997" customFormat="1">
      <c r="A170" s="3195"/>
      <c r="C170" s="3196"/>
      <c r="E170" s="3195"/>
    </row>
    <row r="171" spans="1:5" s="1997" customFormat="1">
      <c r="A171" s="3195"/>
      <c r="C171" s="3196"/>
      <c r="E171" s="3195"/>
    </row>
    <row r="172" spans="1:5" s="1997" customFormat="1">
      <c r="A172" s="3195"/>
      <c r="C172" s="3196"/>
      <c r="E172" s="3195"/>
    </row>
    <row r="173" spans="1:5" s="1997" customFormat="1">
      <c r="A173" s="3195"/>
      <c r="C173" s="3196"/>
      <c r="E173" s="3195"/>
    </row>
    <row r="174" spans="1:5" s="1997" customFormat="1">
      <c r="A174" s="3195"/>
      <c r="C174" s="3196"/>
      <c r="E174" s="3195"/>
    </row>
    <row r="175" spans="1:5" s="1997" customFormat="1">
      <c r="A175" s="3195"/>
      <c r="C175" s="3196"/>
      <c r="E175" s="3195"/>
    </row>
    <row r="176" spans="1:5" s="1997" customFormat="1">
      <c r="A176" s="3195"/>
      <c r="C176" s="3196"/>
      <c r="E176" s="3195"/>
    </row>
    <row r="177" spans="1:5" s="1997" customFormat="1">
      <c r="A177" s="3195"/>
      <c r="C177" s="3196"/>
      <c r="E177" s="3195"/>
    </row>
    <row r="178" spans="1:5" s="1997" customFormat="1">
      <c r="A178" s="3195"/>
      <c r="C178" s="3196"/>
      <c r="E178" s="3195"/>
    </row>
    <row r="179" spans="1:5" s="1997" customFormat="1">
      <c r="A179" s="3195"/>
      <c r="C179" s="3196"/>
      <c r="E179" s="3195"/>
    </row>
    <row r="180" spans="1:5" s="1997" customFormat="1">
      <c r="A180" s="3195"/>
      <c r="C180" s="3196"/>
      <c r="E180" s="3195"/>
    </row>
    <row r="181" spans="1:5" s="1997" customFormat="1">
      <c r="A181" s="3195"/>
      <c r="C181" s="3196"/>
      <c r="E181" s="3195"/>
    </row>
    <row r="182" spans="1:5" s="1997" customFormat="1">
      <c r="A182" s="3195"/>
      <c r="C182" s="3196"/>
      <c r="E182" s="3195"/>
    </row>
    <row r="183" spans="1:5" s="1997" customFormat="1">
      <c r="A183" s="3195"/>
      <c r="C183" s="3196"/>
      <c r="E183" s="3195"/>
    </row>
    <row r="184" spans="1:5" s="1997" customFormat="1">
      <c r="A184" s="3195"/>
      <c r="C184" s="3196"/>
      <c r="E184" s="3195"/>
    </row>
    <row r="185" spans="1:5" s="1997" customFormat="1">
      <c r="A185" s="3195"/>
      <c r="C185" s="3196"/>
      <c r="E185" s="3195"/>
    </row>
    <row r="186" spans="1:5" s="1997" customFormat="1">
      <c r="A186" s="3195"/>
      <c r="C186" s="3196"/>
      <c r="E186" s="3195"/>
    </row>
    <row r="187" spans="1:5" s="1997" customFormat="1">
      <c r="A187" s="3195"/>
      <c r="C187" s="3196"/>
      <c r="E187" s="3195"/>
    </row>
    <row r="188" spans="1:5" s="1997" customFormat="1">
      <c r="A188" s="3195"/>
      <c r="C188" s="3196"/>
      <c r="E188" s="3195"/>
    </row>
    <row r="189" spans="1:5" s="1997" customFormat="1">
      <c r="A189" s="3195"/>
      <c r="C189" s="3196"/>
      <c r="E189" s="3195"/>
    </row>
    <row r="190" spans="1:5" s="1997" customFormat="1">
      <c r="A190" s="3195"/>
      <c r="C190" s="3196"/>
      <c r="E190" s="3195"/>
    </row>
    <row r="191" spans="1:5" s="1997" customFormat="1">
      <c r="A191" s="3195"/>
      <c r="C191" s="3196"/>
      <c r="E191" s="3195"/>
    </row>
    <row r="192" spans="1:5" s="1997" customFormat="1">
      <c r="A192" s="3195"/>
      <c r="C192" s="3196"/>
      <c r="E192" s="3195"/>
    </row>
    <row r="193" spans="1:5" s="1997" customFormat="1">
      <c r="A193" s="3195"/>
      <c r="C193" s="3196"/>
      <c r="E193" s="3195"/>
    </row>
    <row r="194" spans="1:5" s="1997" customFormat="1">
      <c r="A194" s="3195"/>
      <c r="C194" s="3196"/>
      <c r="E194" s="3195"/>
    </row>
    <row r="195" spans="1:5" s="1997" customFormat="1">
      <c r="A195" s="3195"/>
      <c r="C195" s="3196"/>
      <c r="E195" s="3195"/>
    </row>
    <row r="196" spans="1:5" s="1997" customFormat="1">
      <c r="A196" s="3195"/>
      <c r="C196" s="3196"/>
      <c r="E196" s="3195"/>
    </row>
    <row r="197" spans="1:5" s="1997" customFormat="1">
      <c r="A197" s="3195"/>
      <c r="C197" s="3196"/>
      <c r="E197" s="3195"/>
    </row>
    <row r="198" spans="1:5" s="1997" customFormat="1">
      <c r="A198" s="3195"/>
      <c r="C198" s="3196"/>
      <c r="E198" s="3195"/>
    </row>
    <row r="199" spans="1:5" s="1997" customFormat="1">
      <c r="A199" s="3195"/>
      <c r="C199" s="3196"/>
      <c r="E199" s="3195"/>
    </row>
    <row r="200" spans="1:5" s="1997" customFormat="1">
      <c r="A200" s="3195"/>
      <c r="C200" s="3196"/>
      <c r="E200" s="3195"/>
    </row>
    <row r="201" spans="1:5" s="1997" customFormat="1">
      <c r="A201" s="3195"/>
      <c r="C201" s="3196"/>
      <c r="E201" s="3195"/>
    </row>
    <row r="202" spans="1:5" s="1997" customFormat="1">
      <c r="A202" s="3195"/>
      <c r="C202" s="3196"/>
      <c r="E202" s="3195"/>
    </row>
    <row r="203" spans="1:5" s="1997" customFormat="1">
      <c r="A203" s="3195"/>
      <c r="C203" s="3196"/>
      <c r="E203" s="3195"/>
    </row>
    <row r="204" spans="1:5" s="1997" customFormat="1">
      <c r="A204" s="3195"/>
      <c r="C204" s="3196"/>
      <c r="E204" s="3195"/>
    </row>
    <row r="205" spans="1:5" s="1997" customFormat="1">
      <c r="A205" s="3195"/>
      <c r="C205" s="3196"/>
      <c r="E205" s="3195"/>
    </row>
    <row r="206" spans="1:5" s="1997" customFormat="1">
      <c r="A206" s="3195"/>
      <c r="C206" s="3196"/>
      <c r="E206" s="3195"/>
    </row>
    <row r="207" spans="1:5" s="1997" customFormat="1">
      <c r="A207" s="3195"/>
      <c r="C207" s="3196"/>
      <c r="E207" s="3195"/>
    </row>
    <row r="208" spans="1:5" s="1997" customFormat="1">
      <c r="A208" s="3195"/>
      <c r="C208" s="3196"/>
      <c r="E208" s="3195"/>
    </row>
    <row r="209" spans="1:5" s="1997" customFormat="1">
      <c r="A209" s="3195"/>
      <c r="C209" s="3196"/>
      <c r="E209" s="3195"/>
    </row>
    <row r="210" spans="1:5" s="1997" customFormat="1">
      <c r="A210" s="3195"/>
      <c r="C210" s="3196"/>
      <c r="E210" s="3195"/>
    </row>
    <row r="211" spans="1:5" s="1997" customFormat="1">
      <c r="A211" s="3195"/>
      <c r="C211" s="3196"/>
      <c r="E211" s="3195"/>
    </row>
    <row r="212" spans="1:5" s="1997" customFormat="1">
      <c r="A212" s="3195"/>
      <c r="C212" s="3196"/>
      <c r="E212" s="3195"/>
    </row>
    <row r="213" spans="1:5" s="1997" customFormat="1">
      <c r="A213" s="3195"/>
      <c r="C213" s="3196"/>
      <c r="E213" s="3195"/>
    </row>
    <row r="214" spans="1:5" s="1997" customFormat="1">
      <c r="A214" s="3195"/>
      <c r="C214" s="3196"/>
      <c r="E214" s="3195"/>
    </row>
    <row r="215" spans="1:5" s="1997" customFormat="1">
      <c r="A215" s="3195"/>
      <c r="C215" s="3196"/>
      <c r="E215" s="3195"/>
    </row>
    <row r="216" spans="1:5" s="1997" customFormat="1">
      <c r="A216" s="3195"/>
      <c r="C216" s="3196"/>
      <c r="E216" s="3195"/>
    </row>
    <row r="217" spans="1:5" s="1997" customFormat="1">
      <c r="A217" s="3195"/>
      <c r="C217" s="3196"/>
      <c r="E217" s="3195"/>
    </row>
    <row r="218" spans="1:5" s="1997" customFormat="1">
      <c r="A218" s="3195"/>
      <c r="C218" s="3196"/>
      <c r="E218" s="3195"/>
    </row>
    <row r="219" spans="1:5" s="1997" customFormat="1">
      <c r="A219" s="3195"/>
      <c r="C219" s="3196"/>
      <c r="E219" s="3195"/>
    </row>
    <row r="220" spans="1:5" s="1997" customFormat="1">
      <c r="A220" s="3195"/>
      <c r="C220" s="3196"/>
      <c r="E220" s="3195"/>
    </row>
    <row r="221" spans="1:5" s="1997" customFormat="1">
      <c r="A221" s="3195"/>
      <c r="C221" s="3196"/>
      <c r="E221" s="3195"/>
    </row>
    <row r="222" spans="1:5" s="1997" customFormat="1">
      <c r="A222" s="3195"/>
      <c r="C222" s="3196"/>
      <c r="E222" s="3195"/>
    </row>
    <row r="223" spans="1:5" s="1997" customFormat="1">
      <c r="A223" s="3195"/>
      <c r="C223" s="3196"/>
      <c r="E223" s="3195"/>
    </row>
    <row r="224" spans="1:5" s="1997" customFormat="1">
      <c r="A224" s="3195"/>
      <c r="C224" s="3196"/>
      <c r="E224" s="3195"/>
    </row>
    <row r="225" spans="1:5" s="1997" customFormat="1">
      <c r="A225" s="3195"/>
      <c r="C225" s="3196"/>
      <c r="E225" s="3195"/>
    </row>
  </sheetData>
  <sheetProtection password="CEE9" sheet="1" objects="1" scenarios="1" formatCells="0" formatColumns="0" formatRows="0"/>
  <phoneticPr fontId="39"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P17" sqref="P17:P37"/>
    </sheetView>
  </sheetViews>
  <sheetFormatPr defaultColWidth="9" defaultRowHeight="14.25"/>
  <cols>
    <col min="1" max="2" width="15.625" style="1291" customWidth="1"/>
    <col min="3" max="3" width="15.125" style="1291" customWidth="1"/>
    <col min="4" max="4" width="12.125" style="1291" customWidth="1"/>
    <col min="5" max="5" width="16.125" style="1291" customWidth="1"/>
    <col min="6" max="6" width="12.125" style="1291" customWidth="1"/>
    <col min="7" max="7" width="15.625" style="1291" customWidth="1"/>
    <col min="8" max="8" width="12.125" style="1291" customWidth="1"/>
    <col min="9" max="9" width="15.625" style="1291" customWidth="1"/>
    <col min="10" max="10" width="12.125" style="1291" customWidth="1"/>
    <col min="11" max="11" width="12.125" style="1296" customWidth="1"/>
    <col min="12" max="12" width="12.125" style="1297" customWidth="1"/>
    <col min="13" max="15" width="12.125" style="1291" customWidth="1"/>
    <col min="16" max="16" width="4.625" style="1291" customWidth="1"/>
    <col min="17" max="17" width="19.5" style="1291" customWidth="1"/>
    <col min="18" max="22" width="6.125" style="1291" customWidth="1"/>
    <col min="23" max="23" width="5.625" style="1291" customWidth="1"/>
    <col min="24" max="24" width="4.125" style="1291" customWidth="1"/>
    <col min="25" max="25" width="3.5" style="1291" customWidth="1"/>
    <col min="26" max="26" width="19.62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00"/>
      <c r="M1" s="3201"/>
      <c r="N1" s="3201"/>
      <c r="O1" s="3201"/>
      <c r="P1" s="2014"/>
      <c r="Q1" s="2014"/>
      <c r="R1" s="2014"/>
      <c r="S1" s="2014"/>
      <c r="T1" s="2014"/>
      <c r="U1" s="2014"/>
      <c r="V1" s="2014"/>
      <c r="W1" s="2014"/>
      <c r="X1" s="2014"/>
      <c r="Y1" s="2014"/>
      <c r="Z1" s="2014"/>
      <c r="AA1" s="2014"/>
      <c r="AB1" s="2014"/>
      <c r="AC1" s="3202"/>
      <c r="AD1" s="1289"/>
    </row>
    <row r="2" spans="1:30" s="1290" customFormat="1" ht="28.5" customHeight="1">
      <c r="A2" s="417" t="s">
        <v>461</v>
      </c>
      <c r="B2" s="502" t="e">
        <f>F68</f>
        <v>#DIV/0!</v>
      </c>
      <c r="C2" s="3210"/>
      <c r="D2" s="3210"/>
      <c r="E2" s="3212"/>
      <c r="F2" s="3213"/>
      <c r="G2" s="3212"/>
      <c r="H2" s="3212"/>
      <c r="I2" s="3212"/>
      <c r="J2" s="3212"/>
      <c r="K2" s="3214"/>
      <c r="L2" s="2013"/>
      <c r="M2" s="2014"/>
      <c r="N2" s="2014"/>
      <c r="O2" s="2014"/>
      <c r="P2" s="2014"/>
      <c r="Q2" s="2014"/>
      <c r="R2" s="2014"/>
      <c r="S2" s="2014"/>
      <c r="T2" s="2014"/>
      <c r="U2" s="2014"/>
      <c r="V2" s="2014"/>
      <c r="W2" s="2014"/>
      <c r="X2" s="2014"/>
      <c r="Y2" s="2014"/>
      <c r="Z2" s="2014"/>
      <c r="AA2" s="2014"/>
      <c r="AB2" s="2014"/>
      <c r="AC2" s="3202"/>
      <c r="AD2" s="1289"/>
    </row>
    <row r="3" spans="1:30" s="1290" customFormat="1" ht="28.5" customHeight="1">
      <c r="A3" s="1331" t="s">
        <v>1675</v>
      </c>
      <c r="B3" s="504" t="e">
        <f>ROUND(B2*10000/'数据-汇总表'!E3,0)</f>
        <v>#DIV/0!</v>
      </c>
      <c r="C3" s="3211"/>
      <c r="D3" s="3215"/>
      <c r="E3" s="3211"/>
      <c r="F3" s="3211"/>
      <c r="G3" s="3212"/>
      <c r="H3" s="3212"/>
      <c r="I3" s="3212"/>
      <c r="J3" s="3212"/>
      <c r="K3" s="3214"/>
      <c r="L3" s="2013"/>
      <c r="M3" s="2014"/>
      <c r="N3" s="2014"/>
      <c r="O3" s="2014"/>
      <c r="P3" s="2014"/>
      <c r="Q3" s="2014"/>
      <c r="R3" s="2014"/>
      <c r="S3" s="2014"/>
      <c r="T3" s="2014"/>
      <c r="U3" s="2014"/>
      <c r="V3" s="2014"/>
      <c r="W3" s="2014"/>
      <c r="X3" s="2014"/>
      <c r="Y3" s="2014"/>
      <c r="Z3" s="2014"/>
      <c r="AA3" s="2014"/>
      <c r="AB3" s="3203"/>
      <c r="AC3" s="1944"/>
    </row>
    <row r="4" spans="1:30" s="1290" customFormat="1" ht="28.5" customHeight="1">
      <c r="A4" s="505" t="s">
        <v>514</v>
      </c>
      <c r="B4" s="421" t="e">
        <f>IF(B48="单位面积地价",C50,ROUND(B2*10000/'数据-汇总表'!D3,0))</f>
        <v>#DIV/0!</v>
      </c>
      <c r="C4" s="3211"/>
      <c r="D4" s="3215"/>
      <c r="E4" s="3211"/>
      <c r="F4" s="3211"/>
      <c r="G4" s="3212"/>
      <c r="H4" s="3212"/>
      <c r="I4" s="3212"/>
      <c r="J4" s="3212"/>
      <c r="K4" s="3214"/>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t="e">
        <f>ROUND(B2/('数据-汇总表'!D3/666.67),0)</f>
        <v>#DIV/0!</v>
      </c>
      <c r="C5" s="425" t="s">
        <v>463</v>
      </c>
      <c r="D5" s="3211"/>
      <c r="E5" s="3211"/>
      <c r="F5" s="3211"/>
      <c r="G5" s="3212"/>
      <c r="H5" s="3212"/>
      <c r="I5" s="3212"/>
      <c r="J5" s="3212"/>
      <c r="K5" s="321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523" t="s">
        <v>516</v>
      </c>
      <c r="D6" s="3524"/>
      <c r="E6" s="3523" t="s">
        <v>517</v>
      </c>
      <c r="F6" s="3524"/>
      <c r="G6" s="3523" t="s">
        <v>518</v>
      </c>
      <c r="H6" s="3524"/>
      <c r="I6" s="3523" t="s">
        <v>519</v>
      </c>
      <c r="J6" s="3524"/>
      <c r="K6" s="508" t="s">
        <v>520</v>
      </c>
      <c r="L6" s="2015"/>
      <c r="M6" s="2014"/>
      <c r="N6" s="2014"/>
      <c r="O6" s="2016"/>
      <c r="P6" s="3527" t="s">
        <v>521</v>
      </c>
      <c r="Q6" s="3528"/>
      <c r="R6" s="3533" t="s">
        <v>517</v>
      </c>
      <c r="S6" s="3534"/>
      <c r="T6" s="3533" t="s">
        <v>518</v>
      </c>
      <c r="U6" s="3534"/>
      <c r="V6" s="3539" t="s">
        <v>519</v>
      </c>
      <c r="W6" s="3539"/>
      <c r="X6" s="1502"/>
      <c r="Y6" s="3533" t="s">
        <v>521</v>
      </c>
      <c r="Z6" s="3534"/>
      <c r="AA6" s="3520" t="s">
        <v>517</v>
      </c>
      <c r="AB6" s="3521" t="s">
        <v>518</v>
      </c>
      <c r="AC6" s="3520" t="s">
        <v>519</v>
      </c>
    </row>
    <row r="7" spans="1:30" ht="20.25">
      <c r="A7" s="509"/>
      <c r="B7" s="510"/>
      <c r="C7" s="3542" t="s">
        <v>2844</v>
      </c>
      <c r="D7" s="3543"/>
      <c r="E7" s="3542" t="s">
        <v>2845</v>
      </c>
      <c r="F7" s="3543"/>
      <c r="G7" s="3542" t="s">
        <v>2846</v>
      </c>
      <c r="H7" s="3543"/>
      <c r="I7" s="3542" t="s">
        <v>2847</v>
      </c>
      <c r="J7" s="3543"/>
      <c r="K7" s="508"/>
      <c r="L7" s="2015"/>
      <c r="M7" s="2014"/>
      <c r="N7" s="2014"/>
      <c r="O7" s="2016"/>
      <c r="P7" s="3529"/>
      <c r="Q7" s="3530"/>
      <c r="R7" s="3535"/>
      <c r="S7" s="3536"/>
      <c r="T7" s="3535"/>
      <c r="U7" s="3536"/>
      <c r="V7" s="3539"/>
      <c r="W7" s="3539"/>
      <c r="X7" s="1502"/>
      <c r="Y7" s="3535"/>
      <c r="Z7" s="3536"/>
      <c r="AA7" s="3521"/>
      <c r="AB7" s="3521"/>
      <c r="AC7" s="3521"/>
    </row>
    <row r="8" spans="1:30" ht="21" thickBot="1">
      <c r="A8" s="509"/>
      <c r="B8" s="510"/>
      <c r="C8" s="3565" t="s">
        <v>2848</v>
      </c>
      <c r="D8" s="3566"/>
      <c r="E8" s="3565" t="s">
        <v>2848</v>
      </c>
      <c r="F8" s="3566"/>
      <c r="G8" s="3544" t="s">
        <v>2848</v>
      </c>
      <c r="H8" s="3545"/>
      <c r="I8" s="3544" t="s">
        <v>2848</v>
      </c>
      <c r="J8" s="3545"/>
      <c r="K8" s="508" t="s">
        <v>522</v>
      </c>
      <c r="L8" s="2015"/>
      <c r="M8" s="2014"/>
      <c r="N8" s="2014"/>
      <c r="O8" s="2016"/>
      <c r="P8" s="3531"/>
      <c r="Q8" s="3532"/>
      <c r="R8" s="3535"/>
      <c r="S8" s="3536"/>
      <c r="T8" s="3537"/>
      <c r="U8" s="3538"/>
      <c r="V8" s="3539"/>
      <c r="W8" s="3539"/>
      <c r="X8" s="1502"/>
      <c r="Y8" s="3537"/>
      <c r="Z8" s="3538"/>
      <c r="AA8" s="3522"/>
      <c r="AB8" s="3522"/>
      <c r="AC8" s="3522"/>
    </row>
    <row r="9" spans="1:30" s="1203" customFormat="1" ht="21" thickBot="1">
      <c r="A9" s="2626"/>
      <c r="B9" s="2633" t="s">
        <v>523</v>
      </c>
      <c r="C9" s="2625">
        <f>'数据-取费表'!B2</f>
        <v>44097</v>
      </c>
      <c r="D9" s="514">
        <v>100</v>
      </c>
      <c r="E9" s="515"/>
      <c r="F9" s="516">
        <f>SUMIF(72:72,YEAR(E9)&amp;"-"&amp;INT((MONTH(E9)+2)/3),73:73)</f>
        <v>0</v>
      </c>
      <c r="G9" s="517"/>
      <c r="H9" s="514">
        <f>SUMIF(72:72,YEAR(G9)&amp;"-"&amp;INT((MONTH(G9)+2)/3),73:73)</f>
        <v>0</v>
      </c>
      <c r="I9" s="517"/>
      <c r="J9" s="514">
        <f>SUMIF(72:72,YEAR(I9)&amp;"-"&amp;INT((MONTH(I9)+2)/3),73:73)</f>
        <v>0</v>
      </c>
      <c r="K9" s="518"/>
      <c r="L9" s="2017"/>
      <c r="M9" s="2014"/>
      <c r="N9" s="2014"/>
      <c r="O9" s="2018"/>
      <c r="P9" s="3550" t="s">
        <v>524</v>
      </c>
      <c r="Q9" s="3552"/>
      <c r="R9" s="1503" t="s">
        <v>8</v>
      </c>
      <c r="S9" s="1504">
        <f t="shared" ref="S9:S17" si="0">F9</f>
        <v>0</v>
      </c>
      <c r="T9" s="1503" t="s">
        <v>8</v>
      </c>
      <c r="U9" s="1504">
        <f t="shared" ref="U9:U17" si="1">H9</f>
        <v>0</v>
      </c>
      <c r="V9" s="1503" t="s">
        <v>8</v>
      </c>
      <c r="W9" s="1504">
        <f t="shared" ref="W9:W17" si="2">J9</f>
        <v>0</v>
      </c>
      <c r="X9" s="1505"/>
      <c r="Y9" s="3550" t="s">
        <v>524</v>
      </c>
      <c r="Z9" s="3551"/>
      <c r="AA9" s="1506" t="e">
        <f>D9/F9</f>
        <v>#DIV/0!</v>
      </c>
      <c r="AB9" s="1506" t="e">
        <f>D9/H9</f>
        <v>#DIV/0!</v>
      </c>
      <c r="AC9" s="1506" t="e">
        <f>D9/J9</f>
        <v>#DIV/0!</v>
      </c>
    </row>
    <row r="10" spans="1:30" s="1203" customFormat="1" ht="21" thickBot="1">
      <c r="A10" s="2627"/>
      <c r="B10" s="2634"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7"/>
      <c r="M10" s="2014"/>
      <c r="N10" s="2014"/>
      <c r="O10" s="2018"/>
      <c r="P10" s="3550" t="s">
        <v>527</v>
      </c>
      <c r="Q10" s="3551"/>
      <c r="R10" s="1503" t="s">
        <v>8</v>
      </c>
      <c r="S10" s="1504">
        <f t="shared" si="0"/>
        <v>0</v>
      </c>
      <c r="T10" s="1503" t="s">
        <v>8</v>
      </c>
      <c r="U10" s="1504">
        <f t="shared" si="1"/>
        <v>0</v>
      </c>
      <c r="V10" s="1503" t="s">
        <v>8</v>
      </c>
      <c r="W10" s="1504">
        <f t="shared" si="2"/>
        <v>0</v>
      </c>
      <c r="X10" s="1505"/>
      <c r="Y10" s="3550" t="s">
        <v>527</v>
      </c>
      <c r="Z10" s="3551"/>
      <c r="AA10" s="1506" t="e">
        <f t="shared" ref="AA10:AA47" si="3">D10/F10</f>
        <v>#DIV/0!</v>
      </c>
      <c r="AB10" s="1506" t="e">
        <f t="shared" ref="AB10:AB47" si="4">D10/H10</f>
        <v>#DIV/0!</v>
      </c>
      <c r="AC10" s="1506" t="e">
        <f t="shared" ref="AC10:AC47" si="5">D10/J10</f>
        <v>#DIV/0!</v>
      </c>
    </row>
    <row r="11" spans="1:30" s="1203" customFormat="1" ht="20.25">
      <c r="A11" s="2628"/>
      <c r="B11" s="2635" t="s">
        <v>2689</v>
      </c>
      <c r="C11" s="2622"/>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554" t="s">
        <v>529</v>
      </c>
      <c r="Q11" s="1134" t="str">
        <f t="shared" ref="Q11:Q17" si="6">B11</f>
        <v>用途</v>
      </c>
      <c r="R11" s="1503" t="s">
        <v>8</v>
      </c>
      <c r="S11" s="1504">
        <f t="shared" si="0"/>
        <v>100</v>
      </c>
      <c r="T11" s="1503" t="s">
        <v>8</v>
      </c>
      <c r="U11" s="1504">
        <f t="shared" si="1"/>
        <v>100</v>
      </c>
      <c r="V11" s="1503" t="s">
        <v>8</v>
      </c>
      <c r="W11" s="1504">
        <f t="shared" si="2"/>
        <v>100</v>
      </c>
      <c r="X11" s="1505"/>
      <c r="Y11" s="3443" t="s">
        <v>530</v>
      </c>
      <c r="Z11" s="1133" t="str">
        <f t="shared" ref="Z11:Z17" si="7">Q11</f>
        <v>用途</v>
      </c>
      <c r="AA11" s="1506">
        <f t="shared" si="3"/>
        <v>1</v>
      </c>
      <c r="AB11" s="1506">
        <f t="shared" si="4"/>
        <v>1</v>
      </c>
      <c r="AC11" s="1506">
        <f t="shared" si="5"/>
        <v>1</v>
      </c>
    </row>
    <row r="12" spans="1:30" s="1292" customFormat="1" ht="27">
      <c r="A12" s="2629"/>
      <c r="B12" s="2634" t="s">
        <v>2690</v>
      </c>
      <c r="C12" s="899"/>
      <c r="D12" s="253">
        <v>100</v>
      </c>
      <c r="E12" s="523"/>
      <c r="F12" s="253">
        <f>ROUND(100/'数据-取费表'!G16,0)</f>
        <v>100</v>
      </c>
      <c r="G12" s="524"/>
      <c r="H12" s="253">
        <f>ROUND(100/'数据-取费表'!G16,0)</f>
        <v>100</v>
      </c>
      <c r="I12" s="524"/>
      <c r="J12" s="253">
        <f>ROUND(100/'数据-取费表'!G16,0)</f>
        <v>100</v>
      </c>
      <c r="K12" s="525"/>
      <c r="L12" s="2020"/>
      <c r="M12" s="2014"/>
      <c r="N12" s="2014"/>
      <c r="O12" s="2021"/>
      <c r="P12" s="3554"/>
      <c r="Q12" s="1134" t="str">
        <f t="shared" si="6"/>
        <v>土地使用年限（年）</v>
      </c>
      <c r="R12" s="1503" t="s">
        <v>8</v>
      </c>
      <c r="S12" s="1504">
        <f t="shared" si="0"/>
        <v>100</v>
      </c>
      <c r="T12" s="1503" t="s">
        <v>8</v>
      </c>
      <c r="U12" s="1504">
        <f t="shared" si="1"/>
        <v>100</v>
      </c>
      <c r="V12" s="1503" t="s">
        <v>8</v>
      </c>
      <c r="W12" s="1504">
        <f t="shared" si="2"/>
        <v>100</v>
      </c>
      <c r="X12" s="1505"/>
      <c r="Y12" s="3443"/>
      <c r="Z12" s="1133" t="str">
        <f t="shared" si="7"/>
        <v>土地使用年限（年）</v>
      </c>
      <c r="AA12" s="1506">
        <f t="shared" si="3"/>
        <v>1</v>
      </c>
      <c r="AB12" s="1506">
        <f t="shared" si="4"/>
        <v>1</v>
      </c>
      <c r="AC12" s="1506">
        <f t="shared" si="5"/>
        <v>1</v>
      </c>
    </row>
    <row r="13" spans="1:30" ht="20.25">
      <c r="A13" s="2630"/>
      <c r="B13" s="2634" t="s">
        <v>2691</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2"/>
      <c r="M13" s="2014"/>
      <c r="N13" s="2014"/>
      <c r="O13" s="2023"/>
      <c r="P13" s="3554"/>
      <c r="Q13" s="1134" t="str">
        <f t="shared" si="6"/>
        <v>容积率</v>
      </c>
      <c r="R13" s="1503" t="s">
        <v>8</v>
      </c>
      <c r="S13" s="1504" t="e">
        <f t="shared" si="0"/>
        <v>#N/A</v>
      </c>
      <c r="T13" s="1503" t="s">
        <v>8</v>
      </c>
      <c r="U13" s="1504" t="e">
        <f t="shared" si="1"/>
        <v>#N/A</v>
      </c>
      <c r="V13" s="1503" t="s">
        <v>8</v>
      </c>
      <c r="W13" s="1504" t="e">
        <f t="shared" si="2"/>
        <v>#N/A</v>
      </c>
      <c r="X13" s="1505"/>
      <c r="Y13" s="3443"/>
      <c r="Z13" s="1133" t="str">
        <f t="shared" si="7"/>
        <v>容积率</v>
      </c>
      <c r="AA13" s="1506" t="e">
        <f t="shared" si="3"/>
        <v>#N/A</v>
      </c>
      <c r="AB13" s="1506" t="e">
        <f t="shared" si="4"/>
        <v>#N/A</v>
      </c>
      <c r="AC13" s="1506" t="e">
        <f t="shared" si="5"/>
        <v>#N/A</v>
      </c>
    </row>
    <row r="14" spans="1:30" s="1203" customFormat="1" ht="20.25">
      <c r="A14" s="2627"/>
      <c r="B14" s="2636" t="s">
        <v>2692</v>
      </c>
      <c r="C14" s="2623"/>
      <c r="D14" s="532">
        <v>100</v>
      </c>
      <c r="E14" s="1326"/>
      <c r="F14" s="253">
        <f>SUMIF(84:84,E14,85:85)-SUMIF(84:84,C14,85:85)+100</f>
        <v>100</v>
      </c>
      <c r="G14" s="524"/>
      <c r="H14" s="253">
        <f>SUMIF(84:84,G14,85:85)-SUMIF(84:84,C14,85:85)+100</f>
        <v>100</v>
      </c>
      <c r="I14" s="523"/>
      <c r="J14" s="253">
        <f>SUMIF(84:84,I14,85:85)-SUMIF(84:84,C14,85:85)+100</f>
        <v>100</v>
      </c>
      <c r="K14" s="525"/>
      <c r="L14" s="2017"/>
      <c r="M14" s="2014"/>
      <c r="N14" s="2014"/>
      <c r="O14" s="2019"/>
      <c r="P14" s="3554"/>
      <c r="Q14" s="1134" t="str">
        <f t="shared" si="6"/>
        <v>配建</v>
      </c>
      <c r="R14" s="1503" t="s">
        <v>8</v>
      </c>
      <c r="S14" s="1504">
        <f t="shared" si="0"/>
        <v>100</v>
      </c>
      <c r="T14" s="1503" t="s">
        <v>8</v>
      </c>
      <c r="U14" s="1504">
        <f t="shared" si="1"/>
        <v>100</v>
      </c>
      <c r="V14" s="1503" t="s">
        <v>8</v>
      </c>
      <c r="W14" s="1504">
        <f t="shared" si="2"/>
        <v>100</v>
      </c>
      <c r="X14" s="1505"/>
      <c r="Y14" s="3443"/>
      <c r="Z14" s="1133" t="str">
        <f t="shared" si="7"/>
        <v>配建</v>
      </c>
      <c r="AA14" s="1506">
        <f>D14/F14</f>
        <v>1</v>
      </c>
      <c r="AB14" s="1506">
        <f>D14/H14</f>
        <v>1</v>
      </c>
      <c r="AC14" s="1506">
        <f>D14/J14</f>
        <v>1</v>
      </c>
    </row>
    <row r="15" spans="1:30" ht="20.25">
      <c r="A15" s="2631"/>
      <c r="B15" s="2637">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554"/>
      <c r="Q15" s="1134">
        <f t="shared" si="6"/>
        <v>111</v>
      </c>
      <c r="R15" s="1503" t="s">
        <v>8</v>
      </c>
      <c r="S15" s="1504">
        <f t="shared" si="0"/>
        <v>100</v>
      </c>
      <c r="T15" s="1503" t="s">
        <v>8</v>
      </c>
      <c r="U15" s="1504">
        <f t="shared" si="1"/>
        <v>100</v>
      </c>
      <c r="V15" s="1503" t="s">
        <v>8</v>
      </c>
      <c r="W15" s="1504">
        <f t="shared" si="2"/>
        <v>100</v>
      </c>
      <c r="X15" s="1505"/>
      <c r="Y15" s="3443"/>
      <c r="Z15" s="1133">
        <f t="shared" si="7"/>
        <v>111</v>
      </c>
      <c r="AA15" s="1506">
        <f>D15/F15</f>
        <v>1</v>
      </c>
      <c r="AB15" s="1506">
        <f>D15/H15</f>
        <v>1</v>
      </c>
      <c r="AC15" s="1506">
        <f>D15/J15</f>
        <v>1</v>
      </c>
    </row>
    <row r="16" spans="1:30" ht="21" thickBot="1">
      <c r="A16" s="2632"/>
      <c r="B16" s="2638">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554"/>
      <c r="Q16" s="1134">
        <f t="shared" si="6"/>
        <v>111</v>
      </c>
      <c r="R16" s="1503" t="s">
        <v>8</v>
      </c>
      <c r="S16" s="1504">
        <f t="shared" si="0"/>
        <v>100</v>
      </c>
      <c r="T16" s="1503" t="s">
        <v>8</v>
      </c>
      <c r="U16" s="1504">
        <f t="shared" si="1"/>
        <v>100</v>
      </c>
      <c r="V16" s="1503" t="s">
        <v>8</v>
      </c>
      <c r="W16" s="1504">
        <f t="shared" si="2"/>
        <v>100</v>
      </c>
      <c r="X16" s="1505"/>
      <c r="Y16" s="3443"/>
      <c r="Z16" s="1133">
        <f t="shared" si="7"/>
        <v>111</v>
      </c>
      <c r="AA16" s="1506">
        <f>D16/F16</f>
        <v>1</v>
      </c>
      <c r="AB16" s="1506">
        <f>D16/H16</f>
        <v>1</v>
      </c>
      <c r="AC16" s="1506">
        <f>D16/J16</f>
        <v>1</v>
      </c>
    </row>
    <row r="17" spans="1:29" ht="99.75">
      <c r="A17" s="2624" t="s">
        <v>2687</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548" t="s">
        <v>534</v>
      </c>
      <c r="Q17" s="1507" t="str">
        <f t="shared" si="6"/>
        <v>居住社区成熟度</v>
      </c>
      <c r="R17" s="1508" t="s">
        <v>8</v>
      </c>
      <c r="S17" s="1509">
        <f t="shared" si="0"/>
        <v>100</v>
      </c>
      <c r="T17" s="1508" t="s">
        <v>8</v>
      </c>
      <c r="U17" s="1509">
        <f t="shared" si="1"/>
        <v>100</v>
      </c>
      <c r="V17" s="1508" t="s">
        <v>8</v>
      </c>
      <c r="W17" s="1509">
        <f t="shared" si="2"/>
        <v>100</v>
      </c>
      <c r="X17" s="1502"/>
      <c r="Y17" s="3548"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4"/>
      <c r="M18" s="2014"/>
      <c r="N18" s="2014"/>
      <c r="O18" s="2023"/>
      <c r="P18" s="3549"/>
      <c r="Q18" s="1507"/>
      <c r="R18" s="1508"/>
      <c r="S18" s="1509"/>
      <c r="T18" s="1508"/>
      <c r="U18" s="1509"/>
      <c r="V18" s="1508"/>
      <c r="W18" s="1509"/>
      <c r="X18" s="1502"/>
      <c r="Y18" s="3549"/>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549"/>
      <c r="Q19" s="1507" t="str">
        <f>B19</f>
        <v>商业繁华度</v>
      </c>
      <c r="R19" s="1508" t="s">
        <v>8</v>
      </c>
      <c r="S19" s="1509">
        <f>F19</f>
        <v>100</v>
      </c>
      <c r="T19" s="1508" t="s">
        <v>8</v>
      </c>
      <c r="U19" s="1509">
        <f>H19</f>
        <v>100</v>
      </c>
      <c r="V19" s="1508" t="s">
        <v>8</v>
      </c>
      <c r="W19" s="1509">
        <f>J19</f>
        <v>100</v>
      </c>
      <c r="X19" s="1502"/>
      <c r="Y19" s="3549"/>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4"/>
      <c r="M20" s="2014"/>
      <c r="N20" s="2014"/>
      <c r="O20" s="2023"/>
      <c r="P20" s="3549"/>
      <c r="Q20" s="1507"/>
      <c r="R20" s="1508"/>
      <c r="S20" s="1509"/>
      <c r="T20" s="1508"/>
      <c r="U20" s="1509"/>
      <c r="V20" s="1508"/>
      <c r="W20" s="1509"/>
      <c r="X20" s="1502"/>
      <c r="Y20" s="3549"/>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49"/>
      <c r="Q21" s="1507" t="str">
        <f>B21</f>
        <v>办公集聚程度</v>
      </c>
      <c r="R21" s="1508" t="s">
        <v>8</v>
      </c>
      <c r="S21" s="1509">
        <f>F21</f>
        <v>100</v>
      </c>
      <c r="T21" s="1508" t="s">
        <v>8</v>
      </c>
      <c r="U21" s="1509">
        <f>H21</f>
        <v>100</v>
      </c>
      <c r="V21" s="1508" t="s">
        <v>8</v>
      </c>
      <c r="W21" s="1509">
        <f>J21</f>
        <v>100</v>
      </c>
      <c r="X21" s="1502"/>
      <c r="Y21" s="3549"/>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4"/>
      <c r="M22" s="2014"/>
      <c r="N22" s="2014"/>
      <c r="O22" s="2023"/>
      <c r="P22" s="3549"/>
      <c r="Q22" s="1507"/>
      <c r="R22" s="1508"/>
      <c r="S22" s="1509"/>
      <c r="T22" s="1508"/>
      <c r="U22" s="1509"/>
      <c r="V22" s="1508"/>
      <c r="W22" s="1509"/>
      <c r="X22" s="1502"/>
      <c r="Y22" s="3549"/>
      <c r="Z22" s="1510"/>
      <c r="AA22" s="1511">
        <v>1</v>
      </c>
      <c r="AB22" s="1511">
        <v>1</v>
      </c>
      <c r="AC22" s="1511">
        <v>1</v>
      </c>
    </row>
    <row r="23" spans="1:29" ht="142.5">
      <c r="A23" s="526"/>
      <c r="B23" s="554" t="s">
        <v>537</v>
      </c>
      <c r="C23" s="567" t="str">
        <f>估价对象房地状况!C18</f>
        <v>估价对象周边有顺2路、顺27路、顺28路、顺38路、顺43路、顺59路、顺60路等多条公交线路，距地铁15号线（南法信站）约500米，综合评价交通便捷度较好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549"/>
      <c r="Q23" s="1507" t="str">
        <f>B23</f>
        <v>交通便捷度</v>
      </c>
      <c r="R23" s="1508" t="s">
        <v>8</v>
      </c>
      <c r="S23" s="1509">
        <f>F23</f>
        <v>100</v>
      </c>
      <c r="T23" s="1508" t="s">
        <v>8</v>
      </c>
      <c r="U23" s="1509">
        <f>H23</f>
        <v>100</v>
      </c>
      <c r="V23" s="1508" t="s">
        <v>8</v>
      </c>
      <c r="W23" s="1509">
        <f>J23</f>
        <v>100</v>
      </c>
      <c r="X23" s="1502"/>
      <c r="Y23" s="3549"/>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4"/>
      <c r="M24" s="2014"/>
      <c r="N24" s="2014"/>
      <c r="O24" s="2023"/>
      <c r="P24" s="3549"/>
      <c r="Q24" s="1507"/>
      <c r="R24" s="1508"/>
      <c r="S24" s="1509"/>
      <c r="T24" s="1508"/>
      <c r="U24" s="1509"/>
      <c r="V24" s="1508"/>
      <c r="W24" s="1509"/>
      <c r="X24" s="1502"/>
      <c r="Y24" s="3549"/>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549"/>
      <c r="Q25" s="1507" t="str">
        <f t="shared" ref="Q25:Q39" si="8">B25</f>
        <v>区域土地利用方向</v>
      </c>
      <c r="R25" s="1508" t="s">
        <v>8</v>
      </c>
      <c r="S25" s="1509">
        <f>F25</f>
        <v>100</v>
      </c>
      <c r="T25" s="1508" t="s">
        <v>8</v>
      </c>
      <c r="U25" s="1509">
        <f>H25</f>
        <v>100</v>
      </c>
      <c r="V25" s="1508" t="s">
        <v>8</v>
      </c>
      <c r="W25" s="1509">
        <f>J25</f>
        <v>100</v>
      </c>
      <c r="X25" s="1502"/>
      <c r="Y25" s="3549"/>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4"/>
      <c r="M26" s="2014"/>
      <c r="N26" s="2014"/>
      <c r="O26" s="2023"/>
      <c r="P26" s="3549"/>
      <c r="Q26" s="1507"/>
      <c r="R26" s="1508"/>
      <c r="S26" s="1509"/>
      <c r="T26" s="1508"/>
      <c r="U26" s="1509"/>
      <c r="V26" s="1508"/>
      <c r="W26" s="1509"/>
      <c r="X26" s="1502"/>
      <c r="Y26" s="3549"/>
      <c r="Z26" s="1510"/>
      <c r="AA26" s="1511"/>
      <c r="AB26" s="1511"/>
      <c r="AC26" s="1511"/>
    </row>
    <row r="27" spans="1:29" ht="85.5">
      <c r="A27" s="509"/>
      <c r="B27" s="572" t="s">
        <v>539</v>
      </c>
      <c r="C27" s="555" t="str">
        <f>估价对象房地状况!C20</f>
        <v>区域自然环境：小众和；人文环境：国家新闻出版广电总局研修学院；综合评价环境状况一般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549"/>
      <c r="Q27" s="1507" t="str">
        <f t="shared" si="8"/>
        <v>自然及人文环境状况</v>
      </c>
      <c r="R27" s="1508" t="s">
        <v>8</v>
      </c>
      <c r="S27" s="1509">
        <f>F27</f>
        <v>100</v>
      </c>
      <c r="T27" s="1508" t="s">
        <v>8</v>
      </c>
      <c r="U27" s="1509">
        <f>H27</f>
        <v>100</v>
      </c>
      <c r="V27" s="1508" t="s">
        <v>8</v>
      </c>
      <c r="W27" s="1509">
        <f>J27</f>
        <v>100</v>
      </c>
      <c r="X27" s="1502"/>
      <c r="Y27" s="3549"/>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4"/>
      <c r="M28" s="2014"/>
      <c r="N28" s="2014"/>
      <c r="O28" s="2023"/>
      <c r="P28" s="3549"/>
      <c r="Q28" s="1507"/>
      <c r="R28" s="1508"/>
      <c r="S28" s="1509"/>
      <c r="T28" s="1508"/>
      <c r="U28" s="1509"/>
      <c r="V28" s="1508"/>
      <c r="W28" s="1509"/>
      <c r="X28" s="1502"/>
      <c r="Y28" s="3549"/>
      <c r="Z28" s="1510"/>
      <c r="AA28" s="1511">
        <v>1</v>
      </c>
      <c r="AB28" s="1511">
        <v>1</v>
      </c>
      <c r="AC28" s="1511">
        <v>1</v>
      </c>
    </row>
    <row r="29" spans="1:29" s="1203" customFormat="1" ht="42.75">
      <c r="A29" s="571"/>
      <c r="B29" s="2432" t="s">
        <v>2482</v>
      </c>
      <c r="C29" s="567" t="str">
        <f>估价对象房地状况!C21</f>
        <v>估价对象所在区域公共配套设施齐备情况一般</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549"/>
      <c r="Q29" s="1134" t="str">
        <f t="shared" si="8"/>
        <v>公共配套设施</v>
      </c>
      <c r="R29" s="1503" t="s">
        <v>8</v>
      </c>
      <c r="S29" s="1504">
        <f>F29</f>
        <v>100</v>
      </c>
      <c r="T29" s="1503" t="s">
        <v>8</v>
      </c>
      <c r="U29" s="1504">
        <f>H29</f>
        <v>100</v>
      </c>
      <c r="V29" s="1503" t="s">
        <v>8</v>
      </c>
      <c r="W29" s="1504">
        <f>J29</f>
        <v>100</v>
      </c>
      <c r="X29" s="1505"/>
      <c r="Y29" s="3549"/>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7"/>
      <c r="M30" s="2014"/>
      <c r="N30" s="2014"/>
      <c r="O30" s="2019"/>
      <c r="P30" s="3549"/>
      <c r="Q30" s="1134"/>
      <c r="R30" s="1503"/>
      <c r="S30" s="1504"/>
      <c r="T30" s="1503"/>
      <c r="U30" s="1504"/>
      <c r="V30" s="1503"/>
      <c r="W30" s="1504"/>
      <c r="X30" s="1505"/>
      <c r="Y30" s="3549"/>
      <c r="Z30" s="1133"/>
      <c r="AA30" s="1511">
        <v>1</v>
      </c>
      <c r="AB30" s="1511">
        <v>1</v>
      </c>
      <c r="AC30" s="1511">
        <v>1</v>
      </c>
    </row>
    <row r="31" spans="1:29" s="1203" customFormat="1" ht="28.5">
      <c r="A31" s="571"/>
      <c r="B31" s="2432" t="s">
        <v>2483</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549"/>
      <c r="Q31" s="2425" t="str">
        <f>B31</f>
        <v>基础设施水平</v>
      </c>
      <c r="R31" s="1503" t="s">
        <v>8</v>
      </c>
      <c r="S31" s="1504">
        <f>F31</f>
        <v>100</v>
      </c>
      <c r="T31" s="1503" t="s">
        <v>8</v>
      </c>
      <c r="U31" s="1504">
        <f>H31</f>
        <v>100</v>
      </c>
      <c r="V31" s="1503" t="s">
        <v>8</v>
      </c>
      <c r="W31" s="1504">
        <f>J31</f>
        <v>100</v>
      </c>
      <c r="X31" s="1505"/>
      <c r="Y31" s="3549"/>
      <c r="Z31" s="2424" t="str">
        <f>Q31</f>
        <v>基础设施水平</v>
      </c>
      <c r="AA31" s="1511">
        <f>D31/F31</f>
        <v>1</v>
      </c>
      <c r="AB31" s="1511">
        <f>D31/H31</f>
        <v>1</v>
      </c>
      <c r="AC31" s="1511">
        <f>D31/J31</f>
        <v>1</v>
      </c>
    </row>
    <row r="32" spans="1:29" s="1203" customFormat="1" ht="20.25">
      <c r="A32" s="571"/>
      <c r="B32" s="560"/>
      <c r="C32" s="573"/>
      <c r="D32" s="551"/>
      <c r="E32" s="2433"/>
      <c r="F32" s="549"/>
      <c r="G32" s="573"/>
      <c r="H32" s="549"/>
      <c r="I32" s="573"/>
      <c r="J32" s="549"/>
      <c r="K32" s="525"/>
      <c r="L32" s="2017"/>
      <c r="M32" s="2014"/>
      <c r="N32" s="2014"/>
      <c r="O32" s="2019"/>
      <c r="P32" s="3549"/>
      <c r="Q32" s="2425"/>
      <c r="R32" s="1503"/>
      <c r="S32" s="1504"/>
      <c r="T32" s="1503"/>
      <c r="U32" s="1504"/>
      <c r="V32" s="1503"/>
      <c r="W32" s="1504"/>
      <c r="X32" s="1505"/>
      <c r="Y32" s="3549"/>
      <c r="Z32" s="2424"/>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549"/>
      <c r="Q33" s="1507" t="str">
        <f t="shared" si="8"/>
        <v>临街状况</v>
      </c>
      <c r="R33" s="1508" t="s">
        <v>8</v>
      </c>
      <c r="S33" s="1509">
        <f t="shared" ref="S33:S47" si="9">F33</f>
        <v>100</v>
      </c>
      <c r="T33" s="1508" t="s">
        <v>8</v>
      </c>
      <c r="U33" s="1509">
        <f t="shared" ref="U33:U47" si="10">H33</f>
        <v>100</v>
      </c>
      <c r="V33" s="1508" t="s">
        <v>8</v>
      </c>
      <c r="W33" s="1509">
        <f t="shared" ref="W33:W47" si="11">J33</f>
        <v>100</v>
      </c>
      <c r="X33" s="1502"/>
      <c r="Y33" s="3549"/>
      <c r="Z33" s="1510" t="str">
        <f t="shared" ref="Z33:Z47" si="12">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549"/>
      <c r="Q34" s="1507" t="str">
        <f t="shared" si="8"/>
        <v>毗邻道路的类型与等级</v>
      </c>
      <c r="R34" s="1508" t="s">
        <v>8</v>
      </c>
      <c r="S34" s="1509">
        <f t="shared" si="9"/>
        <v>100</v>
      </c>
      <c r="T34" s="1508" t="s">
        <v>8</v>
      </c>
      <c r="U34" s="1509">
        <f t="shared" si="10"/>
        <v>100</v>
      </c>
      <c r="V34" s="1508" t="s">
        <v>8</v>
      </c>
      <c r="W34" s="1509">
        <f t="shared" si="11"/>
        <v>100</v>
      </c>
      <c r="X34" s="1502"/>
      <c r="Y34" s="3549"/>
      <c r="Z34" s="1510" t="str">
        <f t="shared" si="12"/>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4"/>
      <c r="M35" s="2014"/>
      <c r="N35" s="2014"/>
      <c r="O35" s="2023"/>
      <c r="P35" s="3549"/>
      <c r="Q35" s="1507"/>
      <c r="R35" s="1508"/>
      <c r="S35" s="1509"/>
      <c r="T35" s="1508"/>
      <c r="U35" s="1509"/>
      <c r="V35" s="1508"/>
      <c r="W35" s="1509"/>
      <c r="X35" s="1502"/>
      <c r="Y35" s="3549"/>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49"/>
      <c r="Q36" s="1507" t="str">
        <f t="shared" si="8"/>
        <v>土地级别</v>
      </c>
      <c r="R36" s="1508" t="s">
        <v>8</v>
      </c>
      <c r="S36" s="1509">
        <f t="shared" si="9"/>
        <v>100</v>
      </c>
      <c r="T36" s="1508" t="s">
        <v>8</v>
      </c>
      <c r="U36" s="1509">
        <f t="shared" si="10"/>
        <v>100</v>
      </c>
      <c r="V36" s="1508" t="s">
        <v>8</v>
      </c>
      <c r="W36" s="1509">
        <f t="shared" si="11"/>
        <v>100</v>
      </c>
      <c r="X36" s="1502"/>
      <c r="Y36" s="3549"/>
      <c r="Z36" s="1510" t="str">
        <f t="shared" si="12"/>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49"/>
      <c r="Q37" s="1507">
        <f t="shared" si="8"/>
        <v>111</v>
      </c>
      <c r="R37" s="1508" t="s">
        <v>8</v>
      </c>
      <c r="S37" s="1509">
        <f t="shared" si="9"/>
        <v>100</v>
      </c>
      <c r="T37" s="1508" t="s">
        <v>8</v>
      </c>
      <c r="U37" s="1509">
        <f t="shared" si="10"/>
        <v>100</v>
      </c>
      <c r="V37" s="1508" t="s">
        <v>8</v>
      </c>
      <c r="W37" s="1509">
        <f t="shared" si="11"/>
        <v>100</v>
      </c>
      <c r="X37" s="1502"/>
      <c r="Y37" s="3549"/>
      <c r="Z37" s="1510">
        <f t="shared" si="12"/>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55" t="s">
        <v>544</v>
      </c>
      <c r="Q38" s="1507">
        <f t="shared" si="8"/>
        <v>111</v>
      </c>
      <c r="R38" s="1508" t="s">
        <v>8</v>
      </c>
      <c r="S38" s="1509">
        <f t="shared" si="9"/>
        <v>100</v>
      </c>
      <c r="T38" s="1508" t="s">
        <v>8</v>
      </c>
      <c r="U38" s="1509">
        <f t="shared" si="10"/>
        <v>100</v>
      </c>
      <c r="V38" s="1508" t="s">
        <v>8</v>
      </c>
      <c r="W38" s="1509">
        <f t="shared" si="11"/>
        <v>100</v>
      </c>
      <c r="X38" s="1502"/>
      <c r="Y38" s="3553" t="s">
        <v>544</v>
      </c>
      <c r="Z38" s="1510">
        <f t="shared" si="12"/>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53"/>
      <c r="Q39" s="1507">
        <f t="shared" si="8"/>
        <v>111</v>
      </c>
      <c r="R39" s="1512" t="s">
        <v>8</v>
      </c>
      <c r="S39" s="1513">
        <f t="shared" si="9"/>
        <v>100</v>
      </c>
      <c r="T39" s="1512" t="s">
        <v>8</v>
      </c>
      <c r="U39" s="1513">
        <f t="shared" si="10"/>
        <v>100</v>
      </c>
      <c r="V39" s="1512" t="s">
        <v>8</v>
      </c>
      <c r="W39" s="1513">
        <f t="shared" si="11"/>
        <v>100</v>
      </c>
      <c r="X39" s="1514"/>
      <c r="Y39" s="3553"/>
      <c r="Z39" s="1515">
        <f t="shared" si="12"/>
        <v>111</v>
      </c>
      <c r="AA39" s="1511">
        <f t="shared" si="3"/>
        <v>1</v>
      </c>
      <c r="AB39" s="1511">
        <f t="shared" si="4"/>
        <v>1</v>
      </c>
      <c r="AC39" s="1511">
        <f t="shared" si="5"/>
        <v>1</v>
      </c>
    </row>
    <row r="40" spans="1:29" ht="20.25">
      <c r="A40" s="2621" t="s">
        <v>2688</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4"/>
      <c r="M40" s="2014"/>
      <c r="N40" s="2014"/>
      <c r="O40" s="2023"/>
      <c r="P40" s="3553"/>
      <c r="Q40" s="1507" t="str">
        <f>B40</f>
        <v>宗地面积</v>
      </c>
      <c r="R40" s="1508" t="s">
        <v>8</v>
      </c>
      <c r="S40" s="1509" t="e">
        <f t="shared" si="9"/>
        <v>#N/A</v>
      </c>
      <c r="T40" s="1508" t="s">
        <v>8</v>
      </c>
      <c r="U40" s="1509" t="e">
        <f t="shared" si="10"/>
        <v>#N/A</v>
      </c>
      <c r="V40" s="1508" t="s">
        <v>8</v>
      </c>
      <c r="W40" s="1509" t="e">
        <f t="shared" si="11"/>
        <v>#N/A</v>
      </c>
      <c r="X40" s="1502"/>
      <c r="Y40" s="3553"/>
      <c r="Z40" s="1510" t="str">
        <f t="shared" si="12"/>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553"/>
      <c r="Q41" s="1507" t="str">
        <f t="shared" ref="Q41:Q47" si="13">B41</f>
        <v>宗地形状</v>
      </c>
      <c r="R41" s="1508" t="s">
        <v>8</v>
      </c>
      <c r="S41" s="1509">
        <f t="shared" si="9"/>
        <v>100</v>
      </c>
      <c r="T41" s="1508" t="s">
        <v>8</v>
      </c>
      <c r="U41" s="1509">
        <f t="shared" si="10"/>
        <v>100</v>
      </c>
      <c r="V41" s="1508" t="s">
        <v>8</v>
      </c>
      <c r="W41" s="1509">
        <f t="shared" si="11"/>
        <v>100</v>
      </c>
      <c r="X41" s="1502"/>
      <c r="Y41" s="3553"/>
      <c r="Z41" s="1510" t="str">
        <f t="shared" si="12"/>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553"/>
      <c r="Q42" s="1507" t="str">
        <f t="shared" si="13"/>
        <v>临街宽度及深度</v>
      </c>
      <c r="R42" s="1508" t="s">
        <v>8</v>
      </c>
      <c r="S42" s="1509">
        <f t="shared" si="9"/>
        <v>100</v>
      </c>
      <c r="T42" s="1508" t="s">
        <v>8</v>
      </c>
      <c r="U42" s="1509">
        <f t="shared" si="10"/>
        <v>100</v>
      </c>
      <c r="V42" s="1508" t="s">
        <v>8</v>
      </c>
      <c r="W42" s="1509">
        <f t="shared" si="11"/>
        <v>100</v>
      </c>
      <c r="X42" s="1502"/>
      <c r="Y42" s="3553"/>
      <c r="Z42" s="1510" t="str">
        <f t="shared" si="12"/>
        <v>临街宽度及深度</v>
      </c>
      <c r="AA42" s="1511">
        <f t="shared" si="3"/>
        <v>1</v>
      </c>
      <c r="AB42" s="1511">
        <f t="shared" si="4"/>
        <v>1</v>
      </c>
      <c r="AC42" s="1511">
        <f t="shared" si="5"/>
        <v>1</v>
      </c>
    </row>
    <row r="43" spans="1:29" s="1203" customFormat="1" ht="20.25">
      <c r="A43" s="594"/>
      <c r="B43" s="1809" t="s">
        <v>2363</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553"/>
      <c r="Q43" s="1507" t="str">
        <f t="shared" si="13"/>
        <v>宗地开发程度</v>
      </c>
      <c r="R43" s="1503" t="s">
        <v>8</v>
      </c>
      <c r="S43" s="1504">
        <f t="shared" si="9"/>
        <v>100</v>
      </c>
      <c r="T43" s="1503" t="s">
        <v>8</v>
      </c>
      <c r="U43" s="1504">
        <f t="shared" si="10"/>
        <v>100</v>
      </c>
      <c r="V43" s="1503" t="s">
        <v>8</v>
      </c>
      <c r="W43" s="1504">
        <f t="shared" si="11"/>
        <v>100</v>
      </c>
      <c r="X43" s="1505"/>
      <c r="Y43" s="3553"/>
      <c r="Z43" s="1133" t="str">
        <f t="shared" si="12"/>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553" t="s">
        <v>544</v>
      </c>
      <c r="Q44" s="1507" t="str">
        <f t="shared" si="13"/>
        <v>工程地质条件</v>
      </c>
      <c r="R44" s="1508" t="s">
        <v>8</v>
      </c>
      <c r="S44" s="1509">
        <f t="shared" si="9"/>
        <v>100</v>
      </c>
      <c r="T44" s="1508" t="s">
        <v>8</v>
      </c>
      <c r="U44" s="1509">
        <f t="shared" si="10"/>
        <v>100</v>
      </c>
      <c r="V44" s="1508" t="s">
        <v>8</v>
      </c>
      <c r="W44" s="1509">
        <f t="shared" si="11"/>
        <v>100</v>
      </c>
      <c r="X44" s="1502"/>
      <c r="Y44" s="3553" t="s">
        <v>544</v>
      </c>
      <c r="Z44" s="1510" t="str">
        <f t="shared" si="12"/>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53"/>
      <c r="Q45" s="1507">
        <f t="shared" si="13"/>
        <v>111</v>
      </c>
      <c r="R45" s="1508" t="s">
        <v>8</v>
      </c>
      <c r="S45" s="1509">
        <f t="shared" si="9"/>
        <v>100</v>
      </c>
      <c r="T45" s="1508" t="s">
        <v>8</v>
      </c>
      <c r="U45" s="1509">
        <f t="shared" si="10"/>
        <v>100</v>
      </c>
      <c r="V45" s="1508" t="s">
        <v>8</v>
      </c>
      <c r="W45" s="1509">
        <f t="shared" si="11"/>
        <v>100</v>
      </c>
      <c r="X45" s="1502"/>
      <c r="Y45" s="3553"/>
      <c r="Z45" s="1510">
        <f t="shared" si="12"/>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53"/>
      <c r="Q46" s="1507">
        <f t="shared" si="13"/>
        <v>111</v>
      </c>
      <c r="R46" s="1508" t="s">
        <v>8</v>
      </c>
      <c r="S46" s="1509">
        <f t="shared" si="9"/>
        <v>100</v>
      </c>
      <c r="T46" s="1508" t="s">
        <v>8</v>
      </c>
      <c r="U46" s="1509">
        <f t="shared" si="10"/>
        <v>100</v>
      </c>
      <c r="V46" s="1508" t="s">
        <v>8</v>
      </c>
      <c r="W46" s="1509">
        <f t="shared" si="11"/>
        <v>100</v>
      </c>
      <c r="X46" s="1502"/>
      <c r="Y46" s="3553"/>
      <c r="Z46" s="1510">
        <f t="shared" si="12"/>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53"/>
      <c r="Q47" s="1507">
        <f t="shared" si="13"/>
        <v>111</v>
      </c>
      <c r="R47" s="1512" t="s">
        <v>8</v>
      </c>
      <c r="S47" s="1513">
        <f t="shared" si="9"/>
        <v>100</v>
      </c>
      <c r="T47" s="1512" t="s">
        <v>8</v>
      </c>
      <c r="U47" s="1513">
        <f t="shared" si="10"/>
        <v>100</v>
      </c>
      <c r="V47" s="1512" t="s">
        <v>8</v>
      </c>
      <c r="W47" s="1513">
        <f t="shared" si="11"/>
        <v>100</v>
      </c>
      <c r="X47" s="1514"/>
      <c r="Y47" s="3553"/>
      <c r="Z47" s="1515">
        <f t="shared" si="12"/>
        <v>111</v>
      </c>
      <c r="AA47" s="1511">
        <f t="shared" si="3"/>
        <v>1</v>
      </c>
      <c r="AB47" s="1511">
        <f t="shared" si="4"/>
        <v>1</v>
      </c>
      <c r="AC47" s="1511">
        <f t="shared" si="5"/>
        <v>1</v>
      </c>
    </row>
    <row r="48" spans="1:29" ht="20.25">
      <c r="A48" s="601" t="s">
        <v>550</v>
      </c>
      <c r="B48" s="602" t="s">
        <v>2849</v>
      </c>
      <c r="C48" s="603" t="s">
        <v>1</v>
      </c>
      <c r="D48" s="604"/>
      <c r="E48" s="605"/>
      <c r="F48" s="606"/>
      <c r="G48" s="607"/>
      <c r="H48" s="608"/>
      <c r="I48" s="605"/>
      <c r="J48" s="608"/>
      <c r="K48" s="1294"/>
      <c r="L48" s="2026"/>
      <c r="M48" s="2014"/>
      <c r="N48" s="2014"/>
      <c r="O48" s="2027"/>
      <c r="P48" s="3554" t="str">
        <f>A48</f>
        <v>成交单价</v>
      </c>
      <c r="Q48" s="3554"/>
      <c r="R48" s="3539">
        <f>E48</f>
        <v>0</v>
      </c>
      <c r="S48" s="3539"/>
      <c r="T48" s="3539">
        <f>G48</f>
        <v>0</v>
      </c>
      <c r="U48" s="3539"/>
      <c r="V48" s="3539">
        <f>I48</f>
        <v>0</v>
      </c>
      <c r="W48" s="3539"/>
      <c r="X48" s="1497"/>
      <c r="Y48" s="1516"/>
      <c r="Z48" s="1497"/>
      <c r="AA48" s="1497"/>
      <c r="AB48" s="1497"/>
      <c r="AC48" s="1497"/>
    </row>
    <row r="49" spans="1:29" ht="21" thickBot="1">
      <c r="A49" s="609" t="s">
        <v>2626</v>
      </c>
      <c r="B49" s="610"/>
      <c r="C49" s="611" t="e">
        <f>R50</f>
        <v>#DIV/0!</v>
      </c>
      <c r="D49" s="3008" t="s">
        <v>2915</v>
      </c>
      <c r="E49" s="611" t="e">
        <f>R49</f>
        <v>#DIV/0!</v>
      </c>
      <c r="F49" s="3009"/>
      <c r="G49" s="612" t="e">
        <f>T49</f>
        <v>#DIV/0!</v>
      </c>
      <c r="H49" s="3009"/>
      <c r="I49" s="611" t="e">
        <f>V49</f>
        <v>#DIV/0!</v>
      </c>
      <c r="J49" s="3009"/>
      <c r="K49" s="3010">
        <f>F49+H49+J49</f>
        <v>0</v>
      </c>
      <c r="L49" s="2026"/>
      <c r="M49" s="2014"/>
      <c r="N49" s="2014"/>
      <c r="O49" s="2027"/>
      <c r="P49" s="3554" t="str">
        <f>A49</f>
        <v>比较价格（元/平方米）</v>
      </c>
      <c r="Q49" s="3554"/>
      <c r="R49" s="3560" t="e">
        <f>ROUND(PRODUCT(R48,AA9:AA47),0)</f>
        <v>#DIV/0!</v>
      </c>
      <c r="S49" s="3560"/>
      <c r="T49" s="3560" t="e">
        <f>ROUND(PRODUCT(T48,AB9:AB47),0)</f>
        <v>#DIV/0!</v>
      </c>
      <c r="U49" s="3560"/>
      <c r="V49" s="3560" t="e">
        <f>ROUND(PRODUCT(V48,AC9:AC47),0)</f>
        <v>#DIV/0!</v>
      </c>
      <c r="W49" s="3560"/>
      <c r="X49" s="1497"/>
      <c r="Y49" s="1497"/>
      <c r="Z49" s="1497"/>
      <c r="AA49" s="1497"/>
      <c r="AB49" s="1497"/>
      <c r="AC49" s="1497"/>
    </row>
    <row r="50" spans="1:29" ht="21" thickBot="1">
      <c r="A50" s="613" t="s">
        <v>2850</v>
      </c>
      <c r="B50" s="614"/>
      <c r="C50" s="615" t="e">
        <f>R50</f>
        <v>#DIV/0!</v>
      </c>
      <c r="D50" s="615"/>
      <c r="E50" s="615"/>
      <c r="F50" s="615"/>
      <c r="G50" s="615"/>
      <c r="H50" s="615"/>
      <c r="I50" s="615"/>
      <c r="J50" s="615"/>
      <c r="K50" s="1295"/>
      <c r="L50" s="2026"/>
      <c r="M50" s="2014"/>
      <c r="N50" s="2014"/>
      <c r="O50" s="2027"/>
      <c r="P50" s="3557" t="str">
        <f>A50</f>
        <v>估价对象XX用房的比较价格（楼面单价，元/平方米）</v>
      </c>
      <c r="Q50" s="3558"/>
      <c r="R50" s="3572" t="e">
        <f>ROUND(IF(D49="简单平均",AVERAGE(R49:W49),R49*F49+T49*H49+V49*J49),0)</f>
        <v>#DIV/0!</v>
      </c>
      <c r="S50" s="3572"/>
      <c r="T50" s="3572"/>
      <c r="U50" s="3572"/>
      <c r="V50" s="3572"/>
      <c r="W50" s="3572"/>
      <c r="X50" s="1497"/>
      <c r="Y50" s="1497"/>
      <c r="Z50" s="1497"/>
      <c r="AA50" s="1497"/>
      <c r="AB50" s="1497"/>
      <c r="AC50" s="1497"/>
    </row>
    <row r="51" spans="1:29" ht="20.25">
      <c r="A51" s="3204"/>
      <c r="B51" s="3204"/>
      <c r="C51" s="3204"/>
      <c r="D51" s="3204"/>
      <c r="E51" s="3204"/>
      <c r="F51" s="3204"/>
      <c r="G51" s="3206"/>
      <c r="H51" s="3204"/>
      <c r="I51" s="3204"/>
      <c r="J51" s="3204"/>
      <c r="K51" s="3207"/>
      <c r="L51" s="2031"/>
      <c r="M51" s="2014"/>
      <c r="N51" s="2014"/>
      <c r="O51" s="2027"/>
      <c r="P51" s="2027"/>
      <c r="Q51" s="2027"/>
      <c r="R51" s="2027"/>
      <c r="S51" s="2027"/>
      <c r="T51" s="2027"/>
      <c r="U51" s="2027"/>
      <c r="V51" s="2027"/>
      <c r="W51" s="2027"/>
      <c r="X51" s="2027"/>
      <c r="Y51" s="2027"/>
      <c r="Z51" s="2027"/>
      <c r="AA51" s="2027"/>
      <c r="AB51" s="2027"/>
      <c r="AC51" s="2027"/>
    </row>
    <row r="52" spans="1:29" ht="20.25">
      <c r="A52" s="3204"/>
      <c r="B52" s="3204"/>
      <c r="C52" s="3204"/>
      <c r="D52" s="3204"/>
      <c r="E52" s="3204"/>
      <c r="F52" s="3204"/>
      <c r="G52" s="3204"/>
      <c r="H52" s="3204"/>
      <c r="I52" s="3204"/>
      <c r="J52" s="3204"/>
      <c r="K52" s="320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04"/>
      <c r="B53" s="320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0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04"/>
      <c r="B54" s="320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07"/>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05"/>
      <c r="B55" s="320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08"/>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0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8" t="s">
        <v>1715</v>
      </c>
      <c r="D57" s="2107" t="s">
        <v>2239</v>
      </c>
      <c r="E57" s="623" t="s">
        <v>556</v>
      </c>
      <c r="F57" s="624" t="s">
        <v>557</v>
      </c>
      <c r="G57" s="3567" t="s">
        <v>2227</v>
      </c>
      <c r="H57" s="3568"/>
      <c r="I57" s="1494" t="s">
        <v>1713</v>
      </c>
      <c r="J57" s="1494">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t="e">
        <f>C50</f>
        <v>#DIV/0!</v>
      </c>
      <c r="C58" s="627">
        <v>1</v>
      </c>
      <c r="D58" s="2108">
        <v>1</v>
      </c>
      <c r="E58" s="627">
        <f>'数据-汇总表'!E8+'数据-汇总表'!E9</f>
        <v>6546.1</v>
      </c>
      <c r="F58" s="628" t="e">
        <f t="shared" ref="F58:F67" si="14">ROUND(B58*E58/10000,0)</f>
        <v>#DIV/0!</v>
      </c>
      <c r="G58" s="3569"/>
      <c r="H58" s="3570"/>
      <c r="I58" s="1495">
        <v>1</v>
      </c>
      <c r="J58" s="1495">
        <v>1</v>
      </c>
      <c r="K58" s="320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t="e">
        <f>ROUND($C$50*C59*D59,0)</f>
        <v>#DIV/0!</v>
      </c>
      <c r="C59" s="372">
        <f t="shared" ref="C59:C67" si="15">IF($C$57="北京市系数",I59,J59)</f>
        <v>0</v>
      </c>
      <c r="D59" s="2109">
        <v>0.25</v>
      </c>
      <c r="E59" s="631">
        <v>0</v>
      </c>
      <c r="F59" s="628" t="e">
        <f t="shared" si="14"/>
        <v>#DIV/0!</v>
      </c>
      <c r="G59" s="3571" t="s">
        <v>2228</v>
      </c>
      <c r="H59" s="1862">
        <f>项目基本情况!B43</f>
        <v>0</v>
      </c>
      <c r="I59" s="1495">
        <f>SUMIF(修正!$A$45:$A$56,H59,修正!B45:B56)</f>
        <v>0</v>
      </c>
      <c r="J59" s="1496"/>
      <c r="K59" s="320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t="e">
        <f t="shared" ref="B60:B67" si="16">ROUND($C$50*C60*D60,0)</f>
        <v>#DIV/0!</v>
      </c>
      <c r="C60" s="372">
        <f t="shared" si="15"/>
        <v>0</v>
      </c>
      <c r="D60" s="2109">
        <v>0.25</v>
      </c>
      <c r="E60" s="631">
        <v>0</v>
      </c>
      <c r="F60" s="628" t="e">
        <f t="shared" si="14"/>
        <v>#DIV/0!</v>
      </c>
      <c r="G60" s="3571"/>
      <c r="H60" s="1862">
        <f>项目基本情况!B43</f>
        <v>0</v>
      </c>
      <c r="I60" s="1495">
        <f>SUMIF(修正!$A$45:$A$56,H60,修正!C45:C56)</f>
        <v>0</v>
      </c>
      <c r="J60" s="1496"/>
      <c r="K60" s="320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t="e">
        <f t="shared" si="16"/>
        <v>#DIV/0!</v>
      </c>
      <c r="C61" s="372">
        <f t="shared" si="15"/>
        <v>0</v>
      </c>
      <c r="D61" s="2109">
        <v>0.25</v>
      </c>
      <c r="E61" s="631">
        <v>0</v>
      </c>
      <c r="F61" s="628" t="e">
        <f t="shared" si="14"/>
        <v>#DIV/0!</v>
      </c>
      <c r="G61" s="3571"/>
      <c r="H61" s="1862">
        <f>项目基本情况!B43</f>
        <v>0</v>
      </c>
      <c r="I61" s="1495">
        <f>SUMIF(修正!$A$45:$A$56,H61,修正!D45:D56)</f>
        <v>0</v>
      </c>
      <c r="J61" s="1496"/>
      <c r="K61" s="320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t="e">
        <f t="shared" si="16"/>
        <v>#DIV/0!</v>
      </c>
      <c r="C62" s="372">
        <f t="shared" si="15"/>
        <v>0</v>
      </c>
      <c r="D62" s="2109">
        <v>0.25</v>
      </c>
      <c r="E62" s="631">
        <v>0</v>
      </c>
      <c r="F62" s="628" t="e">
        <f t="shared" si="14"/>
        <v>#DIV/0!</v>
      </c>
      <c r="G62" s="3571"/>
      <c r="H62" s="1862">
        <f>项目基本情况!B43</f>
        <v>0</v>
      </c>
      <c r="I62" s="1495">
        <f>SUMIF(修正!$A$45:$A$56,H62,修正!E45:E56)</f>
        <v>0</v>
      </c>
      <c r="J62" s="1496"/>
      <c r="K62" s="320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2270</v>
      </c>
      <c r="B63" s="630" t="e">
        <f t="shared" si="16"/>
        <v>#DIV/0!</v>
      </c>
      <c r="C63" s="372">
        <f t="shared" si="15"/>
        <v>0</v>
      </c>
      <c r="D63" s="2109">
        <v>0.25</v>
      </c>
      <c r="E63" s="633">
        <f>'数据-汇总表'!E11</f>
        <v>0</v>
      </c>
      <c r="F63" s="628" t="e">
        <f t="shared" si="14"/>
        <v>#DIV/0!</v>
      </c>
      <c r="G63" s="1859" t="s">
        <v>2229</v>
      </c>
      <c r="H63" s="1862">
        <f>项目基本情况!C43</f>
        <v>0</v>
      </c>
      <c r="I63" s="1495">
        <f>SUMIF(修正!$A$45:$A$56,H63,修正!F45:F56)</f>
        <v>0</v>
      </c>
      <c r="J63" s="1496"/>
      <c r="K63" s="3209"/>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t="e">
        <f t="shared" si="16"/>
        <v>#DIV/0!</v>
      </c>
      <c r="C64" s="372">
        <f t="shared" si="15"/>
        <v>0</v>
      </c>
      <c r="D64" s="2109">
        <v>0.25</v>
      </c>
      <c r="E64" s="633">
        <f>'数据-汇总表'!E12</f>
        <v>0</v>
      </c>
      <c r="F64" s="628" t="e">
        <f t="shared" si="14"/>
        <v>#DIV/0!</v>
      </c>
      <c r="G64" s="1860" t="s">
        <v>1668</v>
      </c>
      <c r="H64" s="1858">
        <f>IF(G64="商业",项目基本情况!B43,IF(G64="办公",项目基本情况!C43,IF(G64="住宅",项目基本情况!D43,项目基本情况!E43)))</f>
        <v>0</v>
      </c>
      <c r="I64" s="1495">
        <f>SUMIF(修正!$A$45:$A$56,H64,修正!G45:G56)</f>
        <v>0</v>
      </c>
      <c r="J64" s="1496"/>
      <c r="K64" s="3209"/>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t="e">
        <f t="shared" si="16"/>
        <v>#DIV/0!</v>
      </c>
      <c r="C65" s="372">
        <f t="shared" si="15"/>
        <v>0</v>
      </c>
      <c r="D65" s="2109">
        <v>0.25</v>
      </c>
      <c r="E65" s="633">
        <f>'数据-汇总表'!E13</f>
        <v>0</v>
      </c>
      <c r="F65" s="628" t="e">
        <f t="shared" si="14"/>
        <v>#DIV/0!</v>
      </c>
      <c r="G65" s="1860" t="s">
        <v>914</v>
      </c>
      <c r="H65" s="1858">
        <f>IF(G65="商业",项目基本情况!B43,IF(G65="办公",项目基本情况!C43,IF(G65="住宅",项目基本情况!D43,项目基本情况!E43)))</f>
        <v>0</v>
      </c>
      <c r="I65" s="1495">
        <f>SUMIF(修正!$A$45:$A$56,H65,修正!H45:H56)</f>
        <v>0</v>
      </c>
      <c r="J65" s="1496"/>
      <c r="K65" s="3209"/>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t="e">
        <f t="shared" si="16"/>
        <v>#DIV/0!</v>
      </c>
      <c r="C66" s="372">
        <f t="shared" si="15"/>
        <v>0</v>
      </c>
      <c r="D66" s="2109">
        <v>0.25</v>
      </c>
      <c r="E66" s="633">
        <f>'数据-汇总表'!E14</f>
        <v>0</v>
      </c>
      <c r="F66" s="628" t="e">
        <f t="shared" si="14"/>
        <v>#DIV/0!</v>
      </c>
      <c r="G66" s="1859" t="s">
        <v>2228</v>
      </c>
      <c r="H66" s="1862">
        <f>项目基本情况!B43</f>
        <v>0</v>
      </c>
      <c r="I66" s="1495">
        <f>SUMIF(修正!$A$45:$A$56,H66,修正!H45:H56)</f>
        <v>0</v>
      </c>
      <c r="J66" s="1496"/>
      <c r="K66" s="3209"/>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t="e">
        <f t="shared" si="16"/>
        <v>#DIV/0!</v>
      </c>
      <c r="C67" s="372">
        <f t="shared" si="15"/>
        <v>0</v>
      </c>
      <c r="D67" s="2109">
        <v>0.25</v>
      </c>
      <c r="E67" s="633">
        <f>'数据-汇总表'!E15</f>
        <v>0</v>
      </c>
      <c r="F67" s="628" t="e">
        <f t="shared" si="14"/>
        <v>#DIV/0!</v>
      </c>
      <c r="G67" s="1861" t="s">
        <v>2229</v>
      </c>
      <c r="H67" s="1863">
        <f>项目基本情况!C43</f>
        <v>0</v>
      </c>
      <c r="I67" s="1495">
        <f>SUMIF(修正!$A$45:$A$56,H67,修正!H45:H56)</f>
        <v>0</v>
      </c>
      <c r="J67" s="1496"/>
      <c r="K67" s="3209"/>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2240</v>
      </c>
      <c r="E68" s="635">
        <f>IF(B48="楼面地价",SUM(E58:E67),'数据-汇总表'!D3)</f>
        <v>22121.8</v>
      </c>
      <c r="F68" s="636" t="e">
        <f>IF(B48="楼面地价",SUM(F58:F67),ROUND(C50*E68/10000,0))</f>
        <v>#DIV/0!</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3" t="str">
        <f>YEAR(C9)&amp;"-"&amp;MONTH(C9)&amp;"-1"</f>
        <v>2020-9-1</v>
      </c>
      <c r="D70" s="2513">
        <f>EDATE(C70,-3)</f>
        <v>43983</v>
      </c>
      <c r="E70" s="2513">
        <f t="shared" ref="E70:N70" si="17">EDATE(D70,-3)</f>
        <v>43891</v>
      </c>
      <c r="F70" s="2513">
        <f t="shared" si="17"/>
        <v>43800</v>
      </c>
      <c r="G70" s="2513">
        <f t="shared" si="17"/>
        <v>43709</v>
      </c>
      <c r="H70" s="2513">
        <f t="shared" si="17"/>
        <v>43617</v>
      </c>
      <c r="I70" s="2513">
        <f t="shared" si="17"/>
        <v>43525</v>
      </c>
      <c r="J70" s="2513">
        <f t="shared" si="17"/>
        <v>43435</v>
      </c>
      <c r="K70" s="2513">
        <f t="shared" si="17"/>
        <v>43344</v>
      </c>
      <c r="L70" s="2513">
        <f t="shared" si="17"/>
        <v>43252</v>
      </c>
      <c r="M70" s="2513">
        <f t="shared" si="17"/>
        <v>43160</v>
      </c>
      <c r="N70" s="2513">
        <f t="shared" si="17"/>
        <v>43070</v>
      </c>
      <c r="O70" s="2027"/>
      <c r="P70" s="2027"/>
      <c r="Q70" s="2027"/>
      <c r="R70" s="2027"/>
      <c r="S70" s="2027"/>
      <c r="T70" s="2027"/>
      <c r="U70" s="2027"/>
      <c r="V70" s="2027"/>
      <c r="W70" s="2027"/>
      <c r="X70" s="2027"/>
      <c r="Y70" s="2027"/>
      <c r="Z70" s="2027"/>
      <c r="AA70" s="2027"/>
      <c r="AB70" s="2027"/>
      <c r="AC70" s="2027"/>
    </row>
    <row r="71" spans="1:29" ht="21.75" thickBot="1">
      <c r="A71" s="1519" t="s">
        <v>568</v>
      </c>
      <c r="B71" s="1497"/>
      <c r="C71" s="1518"/>
      <c r="D71" s="1518"/>
      <c r="E71" s="1518"/>
      <c r="F71" s="1520"/>
      <c r="G71" s="1520"/>
      <c r="H71" s="1518"/>
      <c r="I71" s="1518"/>
      <c r="J71" s="1518"/>
      <c r="K71" s="1521"/>
      <c r="L71" s="1517"/>
      <c r="M71" s="1518"/>
      <c r="N71" s="1518"/>
      <c r="O71" s="2038"/>
      <c r="P71" s="2038"/>
      <c r="Q71" s="2039"/>
      <c r="R71" s="2027"/>
      <c r="S71" s="2027"/>
      <c r="T71" s="2027"/>
      <c r="U71" s="2027"/>
      <c r="V71" s="2027"/>
      <c r="W71" s="2027"/>
      <c r="X71" s="2027"/>
      <c r="Y71" s="2027"/>
      <c r="Z71" s="2027"/>
      <c r="AA71" s="2027"/>
      <c r="AB71" s="2027"/>
      <c r="AC71" s="2027"/>
    </row>
    <row r="72" spans="1:29" s="1300" customFormat="1" ht="15">
      <c r="A72" s="2418" t="s">
        <v>2467</v>
      </c>
      <c r="B72" s="2419"/>
      <c r="C72" s="2510" t="str">
        <f>YEAR(C70)&amp;"-"&amp;ROUNDUP(MONTH(C70)/3,0)</f>
        <v>2020-3</v>
      </c>
      <c r="D72" s="2515" t="str">
        <f>YEAR(D70)&amp;"-"&amp;ROUNDUP(MONTH(D70)/3,0)</f>
        <v>2020-2</v>
      </c>
      <c r="E72" s="2515" t="str">
        <f t="shared" ref="E72:N72" si="18">YEAR(E70)&amp;"-"&amp;ROUNDUP(MONTH(E70)/3,0)</f>
        <v>2020-1</v>
      </c>
      <c r="F72" s="2515" t="str">
        <f t="shared" si="18"/>
        <v>2019-4</v>
      </c>
      <c r="G72" s="2515" t="str">
        <f t="shared" si="18"/>
        <v>2019-3</v>
      </c>
      <c r="H72" s="2515" t="str">
        <f t="shared" si="18"/>
        <v>2019-2</v>
      </c>
      <c r="I72" s="2515" t="str">
        <f t="shared" si="18"/>
        <v>2019-1</v>
      </c>
      <c r="J72" s="2515" t="str">
        <f t="shared" si="18"/>
        <v>2018-4</v>
      </c>
      <c r="K72" s="2515" t="str">
        <f t="shared" si="18"/>
        <v>2018-3</v>
      </c>
      <c r="L72" s="2515" t="str">
        <f t="shared" si="18"/>
        <v>2018-2</v>
      </c>
      <c r="M72" s="2515" t="str">
        <f t="shared" si="18"/>
        <v>2018-1</v>
      </c>
      <c r="N72" s="2515" t="str">
        <f t="shared" si="18"/>
        <v>2017-4</v>
      </c>
      <c r="O72" s="2040"/>
      <c r="P72" s="2041"/>
      <c r="Q72" s="2042"/>
      <c r="R72" s="2042"/>
      <c r="S72" s="2042"/>
      <c r="T72" s="2042"/>
      <c r="U72" s="2042"/>
      <c r="V72" s="2042"/>
      <c r="W72" s="2042"/>
      <c r="X72" s="2042"/>
      <c r="Y72" s="2042"/>
      <c r="Z72" s="2042"/>
      <c r="AA72" s="2042"/>
      <c r="AB72" s="2042"/>
      <c r="AC72" s="2042"/>
    </row>
    <row r="73" spans="1:29" s="1203" customFormat="1" ht="27" customHeight="1">
      <c r="A73" s="2520" t="s">
        <v>2580</v>
      </c>
      <c r="B73" s="473" t="str">
        <f>"北京市平均增长率"&amp;TEXT(SUMIF(基准地价!N21:N25,A73,基准地价!P21:P25),"0.00%")</f>
        <v>北京市平均增长率1.79%</v>
      </c>
      <c r="C73" s="883">
        <v>100</v>
      </c>
      <c r="D73" s="722"/>
      <c r="E73" s="722"/>
      <c r="F73" s="722"/>
      <c r="G73" s="722"/>
      <c r="H73" s="722"/>
      <c r="I73" s="722"/>
      <c r="J73" s="722"/>
      <c r="K73" s="722"/>
      <c r="L73" s="722"/>
      <c r="M73" s="2508"/>
      <c r="N73" s="2509"/>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1" t="s">
        <v>2579</v>
      </c>
      <c r="B74" s="2519"/>
      <c r="C74" s="2506"/>
      <c r="D74" s="2507"/>
      <c r="E74" s="2507"/>
      <c r="F74" s="2507"/>
      <c r="G74" s="2507"/>
      <c r="H74" s="2507"/>
      <c r="I74" s="2507"/>
      <c r="J74" s="2507"/>
      <c r="K74" s="2507"/>
      <c r="L74" s="2507"/>
      <c r="M74" s="2507"/>
      <c r="N74" s="2507"/>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（含）-</v>
      </c>
      <c r="D81" s="674" t="str">
        <f t="shared" ref="D81:L81" si="19">D82&amp;"（含）"&amp;"-"&amp;E82</f>
        <v>（含）-</v>
      </c>
      <c r="E81" s="674" t="str">
        <f t="shared" si="19"/>
        <v>（含）-</v>
      </c>
      <c r="F81" s="674" t="str">
        <f t="shared" si="19"/>
        <v>（含）-</v>
      </c>
      <c r="G81" s="674" t="str">
        <f t="shared" si="19"/>
        <v>（含）-</v>
      </c>
      <c r="H81" s="674" t="str">
        <f t="shared" si="19"/>
        <v>（含）-</v>
      </c>
      <c r="I81" s="674" t="str">
        <f t="shared" si="19"/>
        <v>（含）-</v>
      </c>
      <c r="J81" s="674" t="str">
        <f t="shared" si="19"/>
        <v>（含）-</v>
      </c>
      <c r="K81" s="674" t="str">
        <f t="shared" si="19"/>
        <v>（含）-</v>
      </c>
      <c r="L81" s="674" t="str">
        <f t="shared" si="19"/>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c r="D82" s="535"/>
      <c r="E82" s="535"/>
      <c r="F82" s="535"/>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100</v>
      </c>
      <c r="E83" s="671">
        <f t="shared" ref="E83:M83" si="20">IF($B$48="单位面积地价",D83+$K13,D83-$K13)</f>
        <v>100</v>
      </c>
      <c r="F83" s="671">
        <f t="shared" si="20"/>
        <v>100</v>
      </c>
      <c r="G83" s="671">
        <f t="shared" si="20"/>
        <v>100</v>
      </c>
      <c r="H83" s="671">
        <f t="shared" si="20"/>
        <v>100</v>
      </c>
      <c r="I83" s="671">
        <f t="shared" si="20"/>
        <v>100</v>
      </c>
      <c r="J83" s="671">
        <f t="shared" si="20"/>
        <v>100</v>
      </c>
      <c r="K83" s="671">
        <f t="shared" si="20"/>
        <v>100</v>
      </c>
      <c r="L83" s="671">
        <f t="shared" si="20"/>
        <v>100</v>
      </c>
      <c r="M83" s="671">
        <f t="shared" si="20"/>
        <v>100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7"/>
      <c r="E84" s="1328"/>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2482</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38" t="s">
        <v>2484</v>
      </c>
      <c r="C104" s="2439" t="s">
        <v>2485</v>
      </c>
      <c r="D104" s="2439" t="s">
        <v>2486</v>
      </c>
      <c r="E104" s="2439" t="s">
        <v>2487</v>
      </c>
      <c r="F104" s="2439" t="s">
        <v>2488</v>
      </c>
      <c r="G104" s="2439" t="s">
        <v>2489</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1"/>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1">D107-$K33</f>
        <v>100</v>
      </c>
      <c r="F107" s="671">
        <f t="shared" si="21"/>
        <v>100</v>
      </c>
      <c r="G107" s="671">
        <f t="shared" si="21"/>
        <v>100</v>
      </c>
      <c r="H107" s="671">
        <f t="shared" si="21"/>
        <v>100</v>
      </c>
      <c r="I107" s="671">
        <f t="shared" si="21"/>
        <v>100</v>
      </c>
      <c r="J107" s="671">
        <f t="shared" si="21"/>
        <v>100</v>
      </c>
      <c r="K107" s="671">
        <f t="shared" si="21"/>
        <v>100</v>
      </c>
      <c r="L107" s="671">
        <f t="shared" si="21"/>
        <v>100</v>
      </c>
      <c r="M107" s="671">
        <f t="shared" si="21"/>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2">D109-$K34</f>
        <v>100</v>
      </c>
      <c r="F109" s="671">
        <f t="shared" si="22"/>
        <v>100</v>
      </c>
      <c r="G109" s="671">
        <f t="shared" si="22"/>
        <v>100</v>
      </c>
      <c r="H109" s="671">
        <f t="shared" si="22"/>
        <v>100</v>
      </c>
      <c r="I109" s="671">
        <f t="shared" si="22"/>
        <v>100</v>
      </c>
      <c r="J109" s="671">
        <f t="shared" si="22"/>
        <v>100</v>
      </c>
      <c r="K109" s="671">
        <f t="shared" si="22"/>
        <v>100</v>
      </c>
      <c r="L109" s="671">
        <f t="shared" si="22"/>
        <v>100</v>
      </c>
      <c r="M109" s="671">
        <f t="shared" si="22"/>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3">D111-$K36</f>
        <v>100</v>
      </c>
      <c r="F111" s="671">
        <f t="shared" si="23"/>
        <v>100</v>
      </c>
      <c r="G111" s="671">
        <f t="shared" si="23"/>
        <v>100</v>
      </c>
      <c r="H111" s="671">
        <f t="shared" si="23"/>
        <v>100</v>
      </c>
      <c r="I111" s="671">
        <f t="shared" si="23"/>
        <v>100</v>
      </c>
      <c r="J111" s="671">
        <f t="shared" si="23"/>
        <v>100</v>
      </c>
      <c r="K111" s="671">
        <f t="shared" si="23"/>
        <v>100</v>
      </c>
      <c r="L111" s="671">
        <f t="shared" si="23"/>
        <v>100</v>
      </c>
      <c r="M111" s="671">
        <f t="shared" si="23"/>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c r="A118" s="656" t="s">
        <v>545</v>
      </c>
      <c r="B118" s="657" t="s">
        <v>587</v>
      </c>
      <c r="C118" s="696" t="str">
        <f t="shared" ref="C118:L118" si="24">C119&amp;"(含)"&amp;"-"&amp;D119</f>
        <v>(含)-</v>
      </c>
      <c r="D118" s="696" t="str">
        <f t="shared" si="24"/>
        <v>(含)-</v>
      </c>
      <c r="E118" s="696" t="str">
        <f t="shared" si="24"/>
        <v>(含)-</v>
      </c>
      <c r="F118" s="696" t="str">
        <f t="shared" si="24"/>
        <v>(含)-</v>
      </c>
      <c r="G118" s="696" t="str">
        <f t="shared" si="24"/>
        <v>(含)-</v>
      </c>
      <c r="H118" s="696" t="str">
        <f t="shared" si="24"/>
        <v>(含)-</v>
      </c>
      <c r="I118" s="696" t="str">
        <f t="shared" si="24"/>
        <v>(含)-</v>
      </c>
      <c r="J118" s="2774" t="str">
        <f t="shared" si="24"/>
        <v>(含)-</v>
      </c>
      <c r="K118" s="2774" t="str">
        <f t="shared" si="24"/>
        <v>(含)-</v>
      </c>
      <c r="L118" s="2775" t="str">
        <f t="shared" si="24"/>
        <v>(含)-</v>
      </c>
      <c r="M118" s="2776"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c r="D119" s="722"/>
      <c r="E119" s="722"/>
      <c r="F119" s="722"/>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c r="D120" s="718"/>
      <c r="E120" s="718"/>
      <c r="F120" s="718"/>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5">C122-$K41</f>
        <v>100</v>
      </c>
      <c r="E122" s="671">
        <f t="shared" si="25"/>
        <v>100</v>
      </c>
      <c r="F122" s="671">
        <f t="shared" si="25"/>
        <v>100</v>
      </c>
      <c r="G122" s="671">
        <f t="shared" si="25"/>
        <v>100</v>
      </c>
      <c r="H122" s="671">
        <f t="shared" si="25"/>
        <v>100</v>
      </c>
      <c r="I122" s="671">
        <f t="shared" si="25"/>
        <v>100</v>
      </c>
      <c r="J122" s="671">
        <f t="shared" si="25"/>
        <v>100</v>
      </c>
      <c r="K122" s="671">
        <f t="shared" si="25"/>
        <v>100</v>
      </c>
      <c r="L122" s="671">
        <f t="shared" si="25"/>
        <v>100</v>
      </c>
      <c r="M122" s="672">
        <f t="shared" si="25"/>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6">C124-$K42</f>
        <v>100</v>
      </c>
      <c r="E124" s="671">
        <f t="shared" si="26"/>
        <v>100</v>
      </c>
      <c r="F124" s="671">
        <f t="shared" si="26"/>
        <v>100</v>
      </c>
      <c r="G124" s="671">
        <f t="shared" si="26"/>
        <v>100</v>
      </c>
      <c r="H124" s="671">
        <f t="shared" si="26"/>
        <v>100</v>
      </c>
      <c r="I124" s="671">
        <f t="shared" si="26"/>
        <v>100</v>
      </c>
      <c r="J124" s="671">
        <f t="shared" si="26"/>
        <v>100</v>
      </c>
      <c r="K124" s="671">
        <f t="shared" si="26"/>
        <v>100</v>
      </c>
      <c r="L124" s="671">
        <f t="shared" si="26"/>
        <v>100</v>
      </c>
      <c r="M124" s="672">
        <f t="shared" si="26"/>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2364</v>
      </c>
      <c r="C125" s="1327"/>
      <c r="D125" s="1327"/>
      <c r="E125" s="1327"/>
      <c r="F125" s="1327"/>
      <c r="G125" s="1327"/>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7">D126-$K43</f>
        <v>100</v>
      </c>
      <c r="F126" s="671">
        <f t="shared" si="27"/>
        <v>100</v>
      </c>
      <c r="G126" s="671">
        <f t="shared" si="27"/>
        <v>100</v>
      </c>
      <c r="H126" s="671">
        <f t="shared" si="27"/>
        <v>100</v>
      </c>
      <c r="I126" s="671">
        <f t="shared" si="27"/>
        <v>100</v>
      </c>
      <c r="J126" s="671">
        <f t="shared" si="27"/>
        <v>100</v>
      </c>
      <c r="K126" s="671">
        <f t="shared" si="27"/>
        <v>100</v>
      </c>
      <c r="L126" s="671">
        <f t="shared" si="27"/>
        <v>100</v>
      </c>
      <c r="M126" s="672">
        <f t="shared" si="27"/>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8">C128-$K44</f>
        <v>100</v>
      </c>
      <c r="E128" s="671">
        <f t="shared" si="28"/>
        <v>100</v>
      </c>
      <c r="F128" s="671">
        <f t="shared" si="28"/>
        <v>100</v>
      </c>
      <c r="G128" s="671">
        <f t="shared" si="28"/>
        <v>100</v>
      </c>
      <c r="H128" s="671">
        <f t="shared" si="28"/>
        <v>100</v>
      </c>
      <c r="I128" s="671">
        <f t="shared" si="28"/>
        <v>100</v>
      </c>
      <c r="J128" s="671">
        <f t="shared" si="28"/>
        <v>100</v>
      </c>
      <c r="K128" s="671">
        <f t="shared" si="28"/>
        <v>100</v>
      </c>
      <c r="L128" s="671">
        <f t="shared" si="28"/>
        <v>100</v>
      </c>
      <c r="M128" s="672">
        <f t="shared" si="28"/>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2"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2"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2"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2"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2"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2"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2"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2"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2"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2"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2"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2"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2"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2"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2"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2"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2"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2"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2"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2"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2"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2"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2"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2"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2"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2"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2"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2"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2"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2"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2"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2"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2"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2"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2"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2"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2"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2"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2"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2"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2"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2"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2"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2"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2"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2"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2"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2"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2"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2"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2"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2"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2"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2"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2"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2"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2"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2"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2"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2"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2"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2"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2"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2"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2"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2"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2"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2"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2"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2"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2"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2"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2"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2"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2"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2"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2"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2"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2"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2"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2"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2"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2"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2"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2"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2"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2"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2"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2"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2"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2"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2"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2"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2"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2"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2"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2"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2"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2"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2"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2"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2"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2"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2"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2"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2"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2"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2"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2"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2"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2"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2"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2"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2"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2"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2"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2"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2"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2"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2"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2"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50:Q50"/>
    <mergeCell ref="R50:W50"/>
    <mergeCell ref="P48:Q48"/>
    <mergeCell ref="R48:S48"/>
    <mergeCell ref="T48:U48"/>
    <mergeCell ref="V48:W48"/>
    <mergeCell ref="C6:D6"/>
    <mergeCell ref="E6:F6"/>
    <mergeCell ref="G6:H6"/>
    <mergeCell ref="I6:J6"/>
    <mergeCell ref="P6:Q8"/>
    <mergeCell ref="I8:J8"/>
    <mergeCell ref="G7:H7"/>
    <mergeCell ref="C7:D7"/>
    <mergeCell ref="C8:D8"/>
    <mergeCell ref="I7:J7"/>
    <mergeCell ref="E8:F8"/>
    <mergeCell ref="G8:H8"/>
    <mergeCell ref="E7:F7"/>
    <mergeCell ref="P49:Q49"/>
    <mergeCell ref="R49:S49"/>
    <mergeCell ref="T49:U49"/>
    <mergeCell ref="V49:W49"/>
    <mergeCell ref="AC6:AC8"/>
    <mergeCell ref="T6:U8"/>
    <mergeCell ref="V6:W8"/>
    <mergeCell ref="P10:Q10"/>
    <mergeCell ref="P9:Q9"/>
    <mergeCell ref="P17:P37"/>
    <mergeCell ref="Y17:Y37"/>
    <mergeCell ref="P38:P47"/>
    <mergeCell ref="Y38:Y47"/>
  </mergeCells>
  <phoneticPr fontId="24" type="noConversion"/>
  <conditionalFormatting sqref="F53 H53 J53">
    <cfRule type="containsText" dxfId="149" priority="18" stopIfTrue="1" operator="containsText" text="超过">
      <formula>NOT(ISERROR(SEARCH("超过",F53)))</formula>
    </cfRule>
  </conditionalFormatting>
  <conditionalFormatting sqref="J55">
    <cfRule type="containsText" dxfId="148" priority="17" stopIfTrue="1" operator="containsText" text="超过">
      <formula>NOT(ISERROR(SEARCH("超过",J55)))</formula>
    </cfRule>
  </conditionalFormatting>
  <conditionalFormatting sqref="H55">
    <cfRule type="containsText" dxfId="147" priority="16" stopIfTrue="1" operator="containsText" text="超过">
      <formula>NOT(ISERROR(SEARCH("超过",H55)))</formula>
    </cfRule>
  </conditionalFormatting>
  <conditionalFormatting sqref="F55">
    <cfRule type="containsText" dxfId="146" priority="15" stopIfTrue="1" operator="containsText" text="超过">
      <formula>NOT(ISERROR(SEARCH("超过",F55)))</formula>
    </cfRule>
  </conditionalFormatting>
  <conditionalFormatting sqref="F54 H54 J54">
    <cfRule type="containsText" dxfId="145" priority="14" stopIfTrue="1" operator="containsText" text="超过">
      <formula>NOT(ISERROR(SEARCH("超过",F54)))</formula>
    </cfRule>
  </conditionalFormatting>
  <conditionalFormatting sqref="E53">
    <cfRule type="expression" dxfId="144" priority="13" stopIfTrue="1">
      <formula>$F$53="超过30%"</formula>
    </cfRule>
  </conditionalFormatting>
  <conditionalFormatting sqref="G55">
    <cfRule type="expression" dxfId="143" priority="12" stopIfTrue="1">
      <formula>$H$55="超过30%"</formula>
    </cfRule>
  </conditionalFormatting>
  <conditionalFormatting sqref="E54">
    <cfRule type="expression" dxfId="142" priority="11" stopIfTrue="1">
      <formula>$F$54="超过20%"</formula>
    </cfRule>
  </conditionalFormatting>
  <conditionalFormatting sqref="E55">
    <cfRule type="expression" dxfId="141" priority="10" stopIfTrue="1">
      <formula>$F$55="超过30%"</formula>
    </cfRule>
  </conditionalFormatting>
  <conditionalFormatting sqref="G53">
    <cfRule type="expression" dxfId="140" priority="9" stopIfTrue="1">
      <formula>$H$55+$H$53="超过30%"</formula>
    </cfRule>
  </conditionalFormatting>
  <conditionalFormatting sqref="G54">
    <cfRule type="expression" dxfId="139" priority="8" stopIfTrue="1">
      <formula>$H$54="超过20%"</formula>
    </cfRule>
  </conditionalFormatting>
  <conditionalFormatting sqref="I53">
    <cfRule type="expression" dxfId="138" priority="7" stopIfTrue="1">
      <formula>$J$53="超过30%"</formula>
    </cfRule>
  </conditionalFormatting>
  <conditionalFormatting sqref="I54">
    <cfRule type="expression" dxfId="137" priority="6" stopIfTrue="1">
      <formula>$J$54="超过20%"</formula>
    </cfRule>
  </conditionalFormatting>
  <conditionalFormatting sqref="I55">
    <cfRule type="expression" dxfId="136" priority="5" stopIfTrue="1">
      <formula>$J$55="超过30%"</formula>
    </cfRule>
  </conditionalFormatting>
  <conditionalFormatting sqref="F49">
    <cfRule type="expression" dxfId="135" priority="4">
      <formula>$D$49="简单平均"</formula>
    </cfRule>
  </conditionalFormatting>
  <conditionalFormatting sqref="H49">
    <cfRule type="expression" dxfId="134" priority="3">
      <formula>$D$49="简单平均"</formula>
    </cfRule>
  </conditionalFormatting>
  <conditionalFormatting sqref="J49">
    <cfRule type="expression" dxfId="133" priority="2">
      <formula>$D$49="简单平均"</formula>
    </cfRule>
  </conditionalFormatting>
  <conditionalFormatting sqref="F9:F47 H9:H47 J9:J47">
    <cfRule type="cellIs" dxfId="132"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E26" sqref="E26"/>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625" style="1943" customWidth="1"/>
    <col min="6" max="6" width="10.625" style="1943" customWidth="1"/>
    <col min="7" max="7" width="4.875" style="1943" customWidth="1"/>
    <col min="8" max="8" width="8.5" style="1943" customWidth="1"/>
    <col min="9" max="9" width="21.125" style="1943" customWidth="1"/>
    <col min="10" max="10" width="12.1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62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t="s">
        <v>972</v>
      </c>
      <c r="D1" s="2792" t="s">
        <v>943</v>
      </c>
      <c r="E1" s="2242" t="s">
        <v>2313</v>
      </c>
      <c r="F1" s="2243">
        <f ca="1">J53</f>
        <v>50</v>
      </c>
      <c r="G1" s="3249">
        <f>MATCH(C1,'数据-取费表'!A6:A16,0)+5</f>
        <v>6</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f ca="1">C40+J29+L46</f>
        <v>3396</v>
      </c>
      <c r="C2" s="3254"/>
      <c r="D2" s="3255"/>
      <c r="E2" s="3256"/>
      <c r="F2" s="3256"/>
      <c r="G2" s="3250"/>
      <c r="H2" s="1940"/>
      <c r="I2" s="1940"/>
      <c r="J2" s="1940"/>
      <c r="K2" s="1941"/>
      <c r="L2" s="1940"/>
      <c r="M2" s="1940"/>
    </row>
    <row r="3" spans="1:33" ht="18" customHeight="1" thickBot="1">
      <c r="A3" s="822" t="s">
        <v>1718</v>
      </c>
      <c r="B3" s="823">
        <f ca="1">IF(ISERROR(B2*10000/F43),0,ROUND(B2*10000/F43,0))</f>
        <v>5188</v>
      </c>
      <c r="C3" s="3254"/>
      <c r="D3" s="3255"/>
      <c r="E3" s="3256"/>
      <c r="F3" s="3256"/>
      <c r="G3" s="3250"/>
      <c r="H3" s="766" t="s">
        <v>689</v>
      </c>
      <c r="I3" s="1316"/>
      <c r="J3" s="1316"/>
      <c r="K3" s="1526"/>
      <c r="L3" s="1316"/>
      <c r="M3" s="1316"/>
    </row>
    <row r="4" spans="1:33" ht="18" customHeight="1">
      <c r="A4" s="3701" t="s">
        <v>3185</v>
      </c>
      <c r="B4" s="3702" t="s">
        <v>3186</v>
      </c>
      <c r="C4" s="3702" t="s">
        <v>3187</v>
      </c>
      <c r="D4" s="3702" t="s">
        <v>3215</v>
      </c>
      <c r="E4" s="3703" t="s">
        <v>3216</v>
      </c>
      <c r="F4" s="3704"/>
      <c r="G4" s="1945"/>
      <c r="H4" s="767" t="s">
        <v>1719</v>
      </c>
      <c r="I4" s="768" t="s">
        <v>1720</v>
      </c>
      <c r="J4" s="768" t="s">
        <v>1721</v>
      </c>
      <c r="K4" s="768" t="s">
        <v>1722</v>
      </c>
      <c r="L4" s="769" t="s">
        <v>1723</v>
      </c>
      <c r="M4" s="770"/>
    </row>
    <row r="5" spans="1:33" ht="18" customHeight="1">
      <c r="A5" s="3705">
        <v>1</v>
      </c>
      <c r="B5" s="3706" t="s">
        <v>3217</v>
      </c>
      <c r="C5" s="3707">
        <f ca="1">C6+C10+C12</f>
        <v>264</v>
      </c>
      <c r="D5" s="3700" t="s">
        <v>2397</v>
      </c>
      <c r="E5" s="3708"/>
      <c r="F5" s="3709"/>
      <c r="G5" s="1945"/>
      <c r="H5" s="771">
        <v>1</v>
      </c>
      <c r="I5" s="772" t="s">
        <v>2394</v>
      </c>
      <c r="J5" s="55">
        <f ca="1">J6+J10+J12</f>
        <v>0</v>
      </c>
      <c r="K5" s="2349" t="s">
        <v>2397</v>
      </c>
      <c r="L5" s="2343"/>
      <c r="M5" s="2344"/>
    </row>
    <row r="6" spans="1:33" ht="18" customHeight="1">
      <c r="A6" s="3710" t="s">
        <v>3218</v>
      </c>
      <c r="B6" s="3711" t="s">
        <v>2399</v>
      </c>
      <c r="C6" s="3712">
        <f ca="1">ROUND(F6*F8*F7*(1-F9)/10000,0)</f>
        <v>264</v>
      </c>
      <c r="D6" s="3700" t="s">
        <v>2398</v>
      </c>
      <c r="E6" s="3713" t="s">
        <v>3219</v>
      </c>
      <c r="F6" s="3714">
        <f ca="1">INDIRECT("'数据-取费表'!u"&amp;$G$1)</f>
        <v>1.3</v>
      </c>
      <c r="G6" s="1945"/>
      <c r="H6" s="2356" t="s">
        <v>2403</v>
      </c>
      <c r="I6" s="3575" t="s">
        <v>2399</v>
      </c>
      <c r="J6" s="773">
        <f ca="1">ROUND(M6*M8*M7*(1-M9)/10000,0)</f>
        <v>0</v>
      </c>
      <c r="K6" s="339" t="s">
        <v>1724</v>
      </c>
      <c r="L6" s="774" t="s">
        <v>1725</v>
      </c>
      <c r="M6" s="775">
        <f ca="1">INDIRECT("'数据-取费表'!z"&amp;$G$1)</f>
        <v>0</v>
      </c>
    </row>
    <row r="7" spans="1:33" ht="18" customHeight="1">
      <c r="A7" s="3715"/>
      <c r="B7" s="3716"/>
      <c r="C7" s="3717"/>
      <c r="D7" s="3718"/>
      <c r="E7" s="3713" t="s">
        <v>3220</v>
      </c>
      <c r="F7" s="3714">
        <f ca="1">IF(INDIRECT("'数据-取费表'!ah"&amp;$G$1)="",INDIRECT("'数据-取费表'!k"&amp;$G$1),INDIRECT("'数据-取费表'!ah"&amp;$G$1))</f>
        <v>6546.1</v>
      </c>
      <c r="G7" s="1945"/>
      <c r="H7" s="2342"/>
      <c r="I7" s="3576"/>
      <c r="J7" s="778"/>
      <c r="K7" s="779"/>
      <c r="L7" s="774" t="s">
        <v>1726</v>
      </c>
      <c r="M7" s="775">
        <f ca="1">F7</f>
        <v>6546.1</v>
      </c>
    </row>
    <row r="8" spans="1:33" ht="18" customHeight="1">
      <c r="A8" s="3719"/>
      <c r="B8" s="3720"/>
      <c r="C8" s="3717"/>
      <c r="D8" s="3718"/>
      <c r="E8" s="3713" t="s">
        <v>3221</v>
      </c>
      <c r="F8" s="3714">
        <f ca="1">INDIRECT("'数据-取费表'!ai"&amp;$G$1)</f>
        <v>365</v>
      </c>
      <c r="G8" s="1945"/>
      <c r="H8" s="2342"/>
      <c r="I8" s="3577"/>
      <c r="J8" s="778"/>
      <c r="K8" s="779"/>
      <c r="L8" s="774" t="s">
        <v>1727</v>
      </c>
      <c r="M8" s="775">
        <f ca="1">INDIRECT("'数据-取费表'!ai"&amp;$G$1)</f>
        <v>365</v>
      </c>
    </row>
    <row r="9" spans="1:33" ht="18" customHeight="1">
      <c r="A9" s="3721"/>
      <c r="B9" s="3722"/>
      <c r="C9" s="3717"/>
      <c r="D9" s="3718"/>
      <c r="E9" s="3713" t="s">
        <v>3222</v>
      </c>
      <c r="F9" s="3723">
        <f ca="1">INDIRECT("'数据-取费表'!w"&amp;$G$1)</f>
        <v>0.15</v>
      </c>
      <c r="G9" s="1945"/>
      <c r="H9" s="2357"/>
      <c r="I9" s="3577"/>
      <c r="J9" s="778"/>
      <c r="K9" s="779"/>
      <c r="L9" s="785" t="s">
        <v>1728</v>
      </c>
      <c r="M9" s="786">
        <f ca="1">INDIRECT("'数据-取费表'!ab"&amp;$G$1)</f>
        <v>0</v>
      </c>
    </row>
    <row r="10" spans="1:33" ht="18" customHeight="1">
      <c r="A10" s="3710" t="s">
        <v>3223</v>
      </c>
      <c r="B10" s="3724" t="s">
        <v>2395</v>
      </c>
      <c r="C10" s="3725">
        <f ca="1">ROUND(IF(F10="押一",C6/12*F11,IF(F10="押二",C6/12*2*F11,IF(F10="押三",C6/12*3*F11,C11*F11))),0)</f>
        <v>0</v>
      </c>
      <c r="D10" s="3726" t="s">
        <v>2884</v>
      </c>
      <c r="E10" s="3727" t="s">
        <v>2400</v>
      </c>
      <c r="F10" s="3728" t="s">
        <v>2959</v>
      </c>
      <c r="G10" s="1945"/>
      <c r="H10" s="2411" t="s">
        <v>2404</v>
      </c>
      <c r="I10" s="2416" t="s">
        <v>2395</v>
      </c>
      <c r="J10" s="773">
        <f ca="1">ROUND(IF(M10="押一",J6/12*M11,IF(M10="押二",J6/12*2*M11,IF(M10="押三",J6/12*3*M11,J11*M11))),0)</f>
        <v>0</v>
      </c>
      <c r="K10" s="2353" t="s">
        <v>2884</v>
      </c>
      <c r="L10" s="2350" t="s">
        <v>2400</v>
      </c>
      <c r="M10" s="2462"/>
    </row>
    <row r="11" spans="1:33" ht="18" customHeight="1">
      <c r="A11" s="3729"/>
      <c r="B11" s="3730" t="s">
        <v>3224</v>
      </c>
      <c r="C11" s="3731"/>
      <c r="D11" s="3718"/>
      <c r="E11" s="3727" t="s">
        <v>2401</v>
      </c>
      <c r="F11" s="3732">
        <f ca="1">'数据-取费表'!B39</f>
        <v>1.4999999999999999E-2</v>
      </c>
      <c r="G11" s="1945"/>
      <c r="H11" s="2412"/>
      <c r="I11" s="2348" t="s">
        <v>2507</v>
      </c>
      <c r="J11" s="2351"/>
      <c r="K11" s="2413"/>
      <c r="L11" s="2350" t="s">
        <v>2401</v>
      </c>
      <c r="M11" s="2345">
        <f ca="1">'数据-取费表'!B39</f>
        <v>1.4999999999999999E-2</v>
      </c>
    </row>
    <row r="12" spans="1:33" ht="18" customHeight="1" thickBot="1">
      <c r="A12" s="3733" t="s">
        <v>3225</v>
      </c>
      <c r="B12" s="3734" t="s">
        <v>2396</v>
      </c>
      <c r="C12" s="3735"/>
      <c r="D12" s="3736"/>
      <c r="E12" s="3737"/>
      <c r="F12" s="3738"/>
      <c r="G12" s="1945"/>
      <c r="H12" s="2401" t="s">
        <v>2405</v>
      </c>
      <c r="I12" s="2414" t="s">
        <v>2396</v>
      </c>
      <c r="J12" s="2415"/>
      <c r="K12" s="2391"/>
      <c r="L12" s="2392"/>
      <c r="M12" s="2404"/>
    </row>
    <row r="13" spans="1:33" ht="18" customHeight="1" thickTop="1">
      <c r="A13" s="3739">
        <v>2</v>
      </c>
      <c r="B13" s="3740" t="s">
        <v>3226</v>
      </c>
      <c r="C13" s="3741">
        <f ca="1">ROUND(C29*F13,0)</f>
        <v>1191</v>
      </c>
      <c r="D13" s="3742" t="s">
        <v>3227</v>
      </c>
      <c r="E13" s="3742" t="s">
        <v>3228</v>
      </c>
      <c r="F13" s="3743">
        <f ca="1">INDIRECT("'数据-取费表'!y"&amp;$G$1)</f>
        <v>0.7</v>
      </c>
      <c r="G13" s="1945"/>
      <c r="H13" s="1744">
        <v>2</v>
      </c>
      <c r="I13" s="1742" t="s">
        <v>1729</v>
      </c>
      <c r="J13" s="1734">
        <f ca="1">ROUND(J14*J15,0)</f>
        <v>0</v>
      </c>
      <c r="K13" s="1736" t="s">
        <v>1730</v>
      </c>
      <c r="L13" s="2402"/>
      <c r="M13" s="2403"/>
    </row>
    <row r="14" spans="1:33" ht="18" customHeight="1">
      <c r="A14" s="3744" t="s">
        <v>3229</v>
      </c>
      <c r="B14" s="3713" t="s">
        <v>3189</v>
      </c>
      <c r="C14" s="3745">
        <f ca="1">INDIRECT("'数据-取费表'!m"&amp;$G$1)+INDIRECT("'数据-取费表'!t"&amp;$G$1)</f>
        <v>1178</v>
      </c>
      <c r="D14" s="3746" t="s">
        <v>3230</v>
      </c>
      <c r="E14" s="3747"/>
      <c r="F14" s="3748"/>
      <c r="G14" s="1945"/>
      <c r="H14" s="1578" t="s">
        <v>1782</v>
      </c>
      <c r="I14" s="2111" t="s">
        <v>2758</v>
      </c>
      <c r="J14" s="53">
        <f ca="1">C29</f>
        <v>1701</v>
      </c>
      <c r="K14" s="26"/>
      <c r="L14" s="791"/>
      <c r="M14" s="792"/>
    </row>
    <row r="15" spans="1:33" s="1947" customFormat="1" ht="18" customHeight="1" thickBot="1">
      <c r="A15" s="3744" t="s">
        <v>3231</v>
      </c>
      <c r="B15" s="3713" t="s">
        <v>3190</v>
      </c>
      <c r="C15" s="3749">
        <f ca="1">ROUND(C14*F15,0)</f>
        <v>35</v>
      </c>
      <c r="D15" s="3750" t="s">
        <v>3232</v>
      </c>
      <c r="E15" s="3750" t="s">
        <v>3233</v>
      </c>
      <c r="F15" s="3751">
        <f>'数据-取费表'!B33</f>
        <v>0.03</v>
      </c>
      <c r="G15" s="3251"/>
      <c r="H15" s="2401" t="s">
        <v>1838</v>
      </c>
      <c r="I15" s="2396" t="s">
        <v>1731</v>
      </c>
      <c r="J15" s="2405">
        <f ca="1">INDIRECT("'数据-取费表'!ad"&amp;$G$1)</f>
        <v>0</v>
      </c>
      <c r="K15" s="2406"/>
      <c r="L15" s="2407"/>
      <c r="M15" s="2408"/>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3744" t="s">
        <v>3234</v>
      </c>
      <c r="B16" s="3713" t="s">
        <v>3191</v>
      </c>
      <c r="C16" s="3749">
        <f ca="1">ROUND(INDIRECT("'数据-取费表'!m"&amp;$G$1)*F16,0)</f>
        <v>0</v>
      </c>
      <c r="D16" s="3713" t="s">
        <v>3232</v>
      </c>
      <c r="E16" s="3713" t="s">
        <v>3233</v>
      </c>
      <c r="F16" s="3752">
        <f ca="1">IF(INDIRECT("'数据-取费表'!c"&amp;$G$1)="住宅",'数据-取费表'!B34,0)</f>
        <v>0</v>
      </c>
      <c r="G16" s="1945"/>
      <c r="H16" s="1744" t="s">
        <v>1733</v>
      </c>
      <c r="I16" s="1742" t="s">
        <v>1734</v>
      </c>
      <c r="J16" s="782">
        <f ca="1">ROUND(J17+J22+J23+J24,0)</f>
        <v>172</v>
      </c>
      <c r="K16" s="1736" t="s">
        <v>1735</v>
      </c>
      <c r="L16" s="2339"/>
      <c r="M16" s="2344"/>
    </row>
    <row r="17" spans="1:33" s="1947" customFormat="1" ht="18" customHeight="1">
      <c r="A17" s="3744" t="s">
        <v>3235</v>
      </c>
      <c r="B17" s="3713" t="s">
        <v>3192</v>
      </c>
      <c r="C17" s="3749">
        <f ca="1">ROUND(F17*(F43+INDIRECT("'数据-取费表'!S"&amp;$G$1))/10000,0)</f>
        <v>118</v>
      </c>
      <c r="D17" s="3713" t="s">
        <v>3236</v>
      </c>
      <c r="E17" s="3713" t="s">
        <v>3237</v>
      </c>
      <c r="F17" s="3753">
        <f>'数据-取费表'!B35</f>
        <v>180</v>
      </c>
      <c r="G17" s="3251"/>
      <c r="H17" s="1578" t="s">
        <v>1782</v>
      </c>
      <c r="I17" s="774" t="s">
        <v>650</v>
      </c>
      <c r="J17" s="3013">
        <f ca="1">ROUND(IF(AND(项目基本情况!B11="自然人",项目基本情况!B10="北京市"),J6*M17/(1+'数据-取费表'!C42),J18+J19+J20),0)</f>
        <v>146</v>
      </c>
      <c r="K17" s="2338" t="s">
        <v>1736</v>
      </c>
      <c r="L17" s="2337" t="s">
        <v>1737</v>
      </c>
      <c r="M17" s="3012"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3744" t="s">
        <v>3193</v>
      </c>
      <c r="B18" s="3713" t="s">
        <v>3194</v>
      </c>
      <c r="C18" s="3749">
        <f ca="1">ROUND(C14*F18,0)</f>
        <v>18</v>
      </c>
      <c r="D18" s="3713" t="s">
        <v>3238</v>
      </c>
      <c r="E18" s="3713" t="s">
        <v>3239</v>
      </c>
      <c r="F18" s="3752">
        <f>'数据-取费表'!B36</f>
        <v>1.4999999999999999E-2</v>
      </c>
      <c r="G18" s="3251"/>
      <c r="H18" s="1577" t="s">
        <v>1836</v>
      </c>
      <c r="I18" s="774" t="s">
        <v>1738</v>
      </c>
      <c r="J18" s="53">
        <f ca="1">ROUND(J6*M18/(1+'数据-取费表'!C42),1)</f>
        <v>0</v>
      </c>
      <c r="K18" s="2337" t="s">
        <v>1739</v>
      </c>
      <c r="L18" s="774" t="s">
        <v>1732</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3754" t="s">
        <v>3188</v>
      </c>
      <c r="B19" s="3713" t="s">
        <v>3195</v>
      </c>
      <c r="C19" s="3749">
        <f ca="1">SUM(C14:C18)</f>
        <v>1349</v>
      </c>
      <c r="D19" s="3755" t="s">
        <v>3240</v>
      </c>
      <c r="E19" s="3756"/>
      <c r="F19" s="3753"/>
      <c r="G19" s="1945"/>
      <c r="H19" s="1577" t="s">
        <v>1837</v>
      </c>
      <c r="I19" s="774" t="s">
        <v>1740</v>
      </c>
      <c r="J19" s="53">
        <f ca="1">IF(K19="按租金收入计税",ROUND(J6*M19/(1+'数据-取费表'!C42),1),ROUND(C29*F33*0.7,1))</f>
        <v>142.9</v>
      </c>
      <c r="K19" s="800" t="s">
        <v>659</v>
      </c>
      <c r="L19" s="774" t="s">
        <v>1732</v>
      </c>
      <c r="M19" s="799">
        <f>IF(K19="按租金收入计税",'数据-取费表'!B51,'数据-取费表'!B50)</f>
        <v>1.2E-2</v>
      </c>
    </row>
    <row r="20" spans="1:33" s="1947" customFormat="1" ht="18" customHeight="1">
      <c r="A20" s="3754" t="s">
        <v>3196</v>
      </c>
      <c r="B20" s="3713" t="s">
        <v>3197</v>
      </c>
      <c r="C20" s="3749">
        <f ca="1">ROUND(C19*F20,0)</f>
        <v>27</v>
      </c>
      <c r="D20" s="3757" t="s">
        <v>3241</v>
      </c>
      <c r="E20" s="3713" t="s">
        <v>3239</v>
      </c>
      <c r="F20" s="3752">
        <f>'数据-取费表'!B37</f>
        <v>0.02</v>
      </c>
      <c r="G20" s="3251"/>
      <c r="H20" s="1580" t="s">
        <v>1832</v>
      </c>
      <c r="I20" s="339" t="s">
        <v>1741</v>
      </c>
      <c r="J20" s="54">
        <f ca="1">ROUND(M20*M21/10000,0)</f>
        <v>3</v>
      </c>
      <c r="K20" s="803" t="s">
        <v>1742</v>
      </c>
      <c r="L20" s="774" t="s">
        <v>1743</v>
      </c>
      <c r="M20" s="632">
        <f>'数据-取费表'!B52</f>
        <v>1.5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3754" t="s">
        <v>3209</v>
      </c>
      <c r="B21" s="3713" t="s">
        <v>3242</v>
      </c>
      <c r="C21" s="3749" t="s">
        <v>1744</v>
      </c>
      <c r="D21" s="3757" t="s">
        <v>3243</v>
      </c>
      <c r="E21" s="3713" t="s">
        <v>3244</v>
      </c>
      <c r="F21" s="3752">
        <f>'数据-取费表'!B38</f>
        <v>0.02</v>
      </c>
      <c r="G21" s="3251"/>
      <c r="H21" s="2358"/>
      <c r="I21" s="783"/>
      <c r="J21" s="69"/>
      <c r="K21" s="805"/>
      <c r="L21" s="774" t="s">
        <v>1745</v>
      </c>
      <c r="M21" s="775">
        <f ca="1">INDIRECT("'数据-取费表'!r"&amp;$G$1)</f>
        <v>22121.8</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3754" t="s">
        <v>3245</v>
      </c>
      <c r="B22" s="3713" t="s">
        <v>3246</v>
      </c>
      <c r="C22" s="3749"/>
      <c r="D22" s="3758" t="str">
        <f>IF(F23&lt;=1,"单利计息。","复利计息。")&amp;"建造成本、管理费用、销售费用产生的利息。"</f>
        <v>单利计息。建造成本、管理费用、销售费用产生的利息。</v>
      </c>
      <c r="E22" s="3756"/>
      <c r="F22" s="3753"/>
      <c r="G22" s="1945"/>
      <c r="H22" s="1578" t="s">
        <v>1838</v>
      </c>
      <c r="I22" s="774" t="s">
        <v>1746</v>
      </c>
      <c r="J22" s="53">
        <f ca="1">ROUND(J14*M22,0)</f>
        <v>26</v>
      </c>
      <c r="K22" s="2337" t="s">
        <v>1747</v>
      </c>
      <c r="L22" s="774" t="s">
        <v>1732</v>
      </c>
      <c r="M22" s="806">
        <f ca="1">INDIRECT("'数据-取费表'!Ak"&amp;$G$1)</f>
        <v>1.4999999999999999E-2</v>
      </c>
    </row>
    <row r="23" spans="1:33" s="1947" customFormat="1" ht="18" customHeight="1">
      <c r="A23" s="3744" t="s">
        <v>3200</v>
      </c>
      <c r="B23" s="3713" t="s">
        <v>3247</v>
      </c>
      <c r="C23" s="3749">
        <f ca="1">ROUND(IF('数据-取费表'!B22&lt;=1,(C19+C20)*F24*F23/2,(C19+C20)*(POWER((1+F24),F23/2)-1)),0)</f>
        <v>32</v>
      </c>
      <c r="D23" s="3759" t="str">
        <f>IF(F23&lt;=1,"(建造成本+管理费用)×利率×(建设周期÷2)","(建造成本+管理费用)×((1+利率)^(建设周期÷2)-1)")</f>
        <v>(建造成本+管理费用)×利率×(建设周期÷2)</v>
      </c>
      <c r="E23" s="3713" t="s">
        <v>3248</v>
      </c>
      <c r="F23" s="3760">
        <f>'数据-取费表'!B20</f>
        <v>1</v>
      </c>
      <c r="G23" s="3251"/>
      <c r="H23" s="1578" t="s">
        <v>1839</v>
      </c>
      <c r="I23" s="774" t="s">
        <v>673</v>
      </c>
      <c r="J23" s="53">
        <f ca="1">ROUND(J13*M23,0)</f>
        <v>0</v>
      </c>
      <c r="K23" s="2337" t="s">
        <v>1748</v>
      </c>
      <c r="L23" s="774" t="s">
        <v>1732</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3744" t="s">
        <v>3204</v>
      </c>
      <c r="B24" s="3713" t="s">
        <v>3249</v>
      </c>
      <c r="C24" s="3749">
        <f ca="1">ROUND(IF('数据-取费表'!B22&lt;=1,F21*F24*F23/2,F21*(POWER((1+F24),F23/2)-1)),4)</f>
        <v>5.0000000000000001E-4</v>
      </c>
      <c r="D24" s="3759" t="str">
        <f>IF(F23&lt;=1,"销售费用×利率×(建设周期÷2)","销售费用×((1+利率)^(建设周期÷2)-1)")</f>
        <v>销售费用×利率×(建设周期÷2)</v>
      </c>
      <c r="E24" s="3713" t="s">
        <v>3250</v>
      </c>
      <c r="F24" s="3761">
        <f ca="1">'数据-取费表'!B40</f>
        <v>4.7500000000000001E-2</v>
      </c>
      <c r="G24" s="3251"/>
      <c r="H24" s="2401" t="s">
        <v>1840</v>
      </c>
      <c r="I24" s="2396" t="s">
        <v>660</v>
      </c>
      <c r="J24" s="2394">
        <f ca="1">ROUND(J5*M24,0)</f>
        <v>0</v>
      </c>
      <c r="K24" s="2395" t="s">
        <v>1749</v>
      </c>
      <c r="L24" s="2396" t="s">
        <v>1732</v>
      </c>
      <c r="M24" s="2393">
        <f ca="1">INDIRECT("'数据-取费表'!Am"&amp;$G$1)</f>
        <v>1.4999999999999999E-2</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3762" t="s">
        <v>1792</v>
      </c>
      <c r="B25" s="3713" t="s">
        <v>3198</v>
      </c>
      <c r="C25" s="3749"/>
      <c r="D25" s="3755" t="s">
        <v>3199</v>
      </c>
      <c r="E25" s="3756"/>
      <c r="F25" s="3753"/>
      <c r="G25" s="1945"/>
      <c r="H25" s="1744" t="s">
        <v>1750</v>
      </c>
      <c r="I25" s="2717" t="s">
        <v>2754</v>
      </c>
      <c r="J25" s="782">
        <f ca="1">J5-J16</f>
        <v>-172</v>
      </c>
      <c r="K25" s="2398" t="s">
        <v>1751</v>
      </c>
      <c r="L25" s="2399"/>
      <c r="M25" s="2400"/>
    </row>
    <row r="26" spans="1:33" ht="18" customHeight="1">
      <c r="A26" s="3744" t="s">
        <v>3200</v>
      </c>
      <c r="B26" s="3713" t="s">
        <v>3201</v>
      </c>
      <c r="C26" s="3749">
        <f ca="1">ROUND((C19+C20)*F26,0)</f>
        <v>165</v>
      </c>
      <c r="D26" s="3757" t="s">
        <v>3202</v>
      </c>
      <c r="E26" s="3763" t="s">
        <v>3203</v>
      </c>
      <c r="F26" s="3723">
        <f ca="1">INDIRECT("'数据-取费表'!q"&amp;$G$1)</f>
        <v>0.12</v>
      </c>
      <c r="G26" s="1945"/>
      <c r="H26" s="2354" t="s">
        <v>1752</v>
      </c>
      <c r="I26" s="2112" t="s">
        <v>2759</v>
      </c>
      <c r="J26" s="773">
        <f ca="1">IF(J5&lt;&gt;0,ROUND(J25*(1-((1+M28)/(1+M26))^M27)/(M26-M28),0),0)</f>
        <v>0</v>
      </c>
      <c r="K26" s="803" t="s">
        <v>1753</v>
      </c>
      <c r="L26" s="774" t="s">
        <v>2358</v>
      </c>
      <c r="M26" s="784">
        <f ca="1">INDIRECT("'数据-取费表'!I"&amp;$G$1)</f>
        <v>0.05</v>
      </c>
    </row>
    <row r="27" spans="1:33" ht="18" customHeight="1">
      <c r="A27" s="3744" t="s">
        <v>3204</v>
      </c>
      <c r="B27" s="3713" t="s">
        <v>503</v>
      </c>
      <c r="C27" s="3749">
        <f ca="1">ROUND(F21*F26,4)</f>
        <v>2.3999999999999998E-3</v>
      </c>
      <c r="D27" s="3757" t="s">
        <v>3205</v>
      </c>
      <c r="E27" s="3750"/>
      <c r="F27" s="3751"/>
      <c r="G27" s="1945"/>
      <c r="H27" s="2355"/>
      <c r="I27" s="777"/>
      <c r="J27" s="778"/>
      <c r="K27" s="810" t="s">
        <v>1754</v>
      </c>
      <c r="L27" s="774" t="s">
        <v>1755</v>
      </c>
      <c r="M27" s="811">
        <f ca="1">INDIRECT("'数据-取费表'!ag"&amp;$G$1)</f>
        <v>0</v>
      </c>
    </row>
    <row r="28" spans="1:33" s="1947" customFormat="1" ht="18" customHeight="1">
      <c r="A28" s="3762" t="s">
        <v>1793</v>
      </c>
      <c r="B28" s="3713" t="s">
        <v>3206</v>
      </c>
      <c r="C28" s="3749">
        <f>ROUND(F28/(1+'数据-取费表'!C42),4)</f>
        <v>5.2400000000000002E-2</v>
      </c>
      <c r="D28" s="3757" t="s">
        <v>3251</v>
      </c>
      <c r="E28" s="3713" t="s">
        <v>3239</v>
      </c>
      <c r="F28" s="3752">
        <f>'数据-取费表'!B41</f>
        <v>5.5000000000000007E-2</v>
      </c>
      <c r="G28" s="3251"/>
      <c r="H28" s="1744"/>
      <c r="I28" s="781"/>
      <c r="J28" s="782"/>
      <c r="K28" s="805"/>
      <c r="L28" s="774" t="s">
        <v>1756</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3764" t="s">
        <v>1841</v>
      </c>
      <c r="B29" s="3737" t="s">
        <v>3252</v>
      </c>
      <c r="C29" s="3765">
        <f ca="1">ROUND((C19+C20+C23+C26)/(1-F21-C24-C27-C28),0)</f>
        <v>1701</v>
      </c>
      <c r="D29" s="3766"/>
      <c r="E29" s="3767"/>
      <c r="F29" s="3768"/>
      <c r="G29" s="3251"/>
      <c r="H29" s="812" t="s">
        <v>1757</v>
      </c>
      <c r="I29" s="813" t="s">
        <v>1758</v>
      </c>
      <c r="J29" s="814">
        <f ca="1">ROUND(J26/(1+F40)^F41,0)</f>
        <v>0</v>
      </c>
      <c r="K29" s="815" t="s">
        <v>1759</v>
      </c>
      <c r="L29" s="816"/>
      <c r="M29" s="817">
        <f ca="1">INDIRECT("'数据-取费表'!k"&amp;$G$1)</f>
        <v>6546.1</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3739" t="s">
        <v>1842</v>
      </c>
      <c r="B30" s="3740" t="s">
        <v>3253</v>
      </c>
      <c r="C30" s="3741">
        <f ca="1">ROUND(C31+C36+C37+C38,0)</f>
        <v>78</v>
      </c>
      <c r="D30" s="3769" t="s">
        <v>3254</v>
      </c>
      <c r="E30" s="3770"/>
      <c r="F30" s="3709"/>
      <c r="G30" s="1945"/>
      <c r="H30" s="1948"/>
      <c r="I30" s="1949"/>
      <c r="J30" s="1950"/>
      <c r="K30" s="1951"/>
      <c r="L30" s="1952"/>
      <c r="M30" s="1953"/>
    </row>
    <row r="31" spans="1:33" ht="18" customHeight="1">
      <c r="A31" s="3754" t="s">
        <v>3188</v>
      </c>
      <c r="B31" s="3713" t="s">
        <v>3207</v>
      </c>
      <c r="C31" s="3749">
        <f ca="1">ROUND(IF(AND(项目基本情况!B11="自然人",项目基本情况!B10="北京市"),C6*F31/(1+'数据-取费表'!C42),C32+C33+C34),0)</f>
        <v>47</v>
      </c>
      <c r="D31" s="3746" t="s">
        <v>3255</v>
      </c>
      <c r="E31" s="3771" t="s">
        <v>3256</v>
      </c>
      <c r="F31" s="3772" t="str">
        <f>IF(项目基本情况!B11="企业","——",IF('数据-取费表'!B10="住宅",IF(F6*F7*F8/12/(1+'数据-取费表'!F30)&gt;100000,4%,2.5%),IF(F6*F7*F8/12/(1+'数据-取费表'!F30)&gt;100000,12%,7%)))</f>
        <v>——</v>
      </c>
      <c r="G31" s="1945"/>
      <c r="H31" s="3248" t="s">
        <v>2940</v>
      </c>
      <c r="I31" s="1949"/>
      <c r="J31" s="1950"/>
      <c r="K31" s="1951"/>
      <c r="L31" s="1952"/>
      <c r="M31" s="1953"/>
    </row>
    <row r="32" spans="1:33" ht="18" customHeight="1">
      <c r="A32" s="3744" t="s">
        <v>3200</v>
      </c>
      <c r="B32" s="3713" t="s">
        <v>3208</v>
      </c>
      <c r="C32" s="3749">
        <f ca="1">ROUND(C6*F32/(1+'数据-取费表'!C42),1)</f>
        <v>13.8</v>
      </c>
      <c r="D32" s="3771" t="s">
        <v>3257</v>
      </c>
      <c r="E32" s="3713" t="s">
        <v>3239</v>
      </c>
      <c r="F32" s="3752">
        <f>'数据-取费表'!B41</f>
        <v>5.5000000000000007E-2</v>
      </c>
      <c r="G32" s="1945"/>
      <c r="H32" s="1954"/>
      <c r="I32" s="1955"/>
      <c r="J32" s="1956"/>
      <c r="K32" s="1957"/>
      <c r="L32" s="1958"/>
      <c r="M32" s="1959"/>
    </row>
    <row r="33" spans="1:18" ht="18" customHeight="1">
      <c r="A33" s="3744" t="s">
        <v>3204</v>
      </c>
      <c r="B33" s="3713" t="s">
        <v>3258</v>
      </c>
      <c r="C33" s="3749">
        <f ca="1">IF(D33="按租金收入计税",ROUND(C6*F33/(1+'数据-取费表'!C42),1),IF(D33="按房产原值计税",ROUND(C29*F33*0.7,1),INDIRECT("'数据-取费表'!Aj"&amp;$G$1)))</f>
        <v>30.2</v>
      </c>
      <c r="D33" s="3773" t="s">
        <v>2960</v>
      </c>
      <c r="E33" s="3713" t="s">
        <v>3239</v>
      </c>
      <c r="F33" s="3752">
        <f>IF(D33="按租金收入计税",'数据-取费表'!B51,'数据-取费表'!B50)</f>
        <v>0.12</v>
      </c>
      <c r="G33" s="1945"/>
      <c r="H33" s="1960"/>
      <c r="I33" s="1960"/>
      <c r="J33" s="1960"/>
      <c r="K33" s="1961"/>
      <c r="L33" s="1960"/>
      <c r="M33" s="1960"/>
    </row>
    <row r="34" spans="1:18" ht="18" customHeight="1">
      <c r="A34" s="3774" t="s">
        <v>3259</v>
      </c>
      <c r="B34" s="3775" t="s">
        <v>3260</v>
      </c>
      <c r="C34" s="3776">
        <f ca="1">ROUND(F34*F35/10000,1)</f>
        <v>3.3</v>
      </c>
      <c r="D34" s="3777" t="s">
        <v>3261</v>
      </c>
      <c r="E34" s="3713" t="s">
        <v>3262</v>
      </c>
      <c r="F34" s="3760">
        <f>'数据-取费表'!B52</f>
        <v>1.5</v>
      </c>
      <c r="G34" s="1945"/>
      <c r="H34" s="1948"/>
      <c r="I34" s="824" t="s">
        <v>1765</v>
      </c>
      <c r="J34" s="825"/>
      <c r="K34" s="1963"/>
      <c r="L34" s="1962"/>
      <c r="M34" s="1962"/>
    </row>
    <row r="35" spans="1:18" ht="18" customHeight="1">
      <c r="A35" s="3778"/>
      <c r="B35" s="3779"/>
      <c r="C35" s="3780"/>
      <c r="D35" s="3781"/>
      <c r="E35" s="3713" t="s">
        <v>3263</v>
      </c>
      <c r="F35" s="3714">
        <f ca="1">INDIRECT("'数据-取费表'!r"&amp;$G$1)</f>
        <v>22121.8</v>
      </c>
      <c r="G35" s="1945"/>
      <c r="H35" s="1948"/>
      <c r="I35" s="826" t="s">
        <v>1766</v>
      </c>
      <c r="J35" s="827">
        <f ca="1">ROUND(C13*J36,0)</f>
        <v>101</v>
      </c>
      <c r="K35" s="1961"/>
      <c r="L35" s="1960"/>
      <c r="M35" s="1960"/>
    </row>
    <row r="36" spans="1:18" ht="18" customHeight="1">
      <c r="A36" s="3754" t="s">
        <v>3196</v>
      </c>
      <c r="B36" s="3713" t="s">
        <v>3264</v>
      </c>
      <c r="C36" s="3749">
        <f ca="1">ROUND(C29*F36,1)</f>
        <v>25.5</v>
      </c>
      <c r="D36" s="3771" t="s">
        <v>3265</v>
      </c>
      <c r="E36" s="3713" t="s">
        <v>3239</v>
      </c>
      <c r="F36" s="3782">
        <f ca="1">INDIRECT("'数据-取费表'!Ak"&amp;$G$1)</f>
        <v>1.4999999999999999E-2</v>
      </c>
      <c r="G36" s="1945"/>
      <c r="H36" s="1960"/>
      <c r="I36" s="828" t="s">
        <v>1767</v>
      </c>
      <c r="J36" s="829">
        <f ca="1">INDIRECT("'数据-取费表'!j"&amp;$G$1)</f>
        <v>8.5000000000000006E-2</v>
      </c>
      <c r="K36" s="1964"/>
      <c r="L36" s="1960"/>
      <c r="M36" s="1960"/>
    </row>
    <row r="37" spans="1:18" ht="18" customHeight="1">
      <c r="A37" s="3754" t="s">
        <v>3209</v>
      </c>
      <c r="B37" s="3713" t="s">
        <v>3210</v>
      </c>
      <c r="C37" s="3749">
        <f ca="1">ROUND(C13*F37,1)</f>
        <v>1.8</v>
      </c>
      <c r="D37" s="3771" t="s">
        <v>3211</v>
      </c>
      <c r="E37" s="3713" t="s">
        <v>3212</v>
      </c>
      <c r="F37" s="3783">
        <f ca="1">INDIRECT("'数据-取费表'!Al"&amp;$G$1)</f>
        <v>1.5E-3</v>
      </c>
      <c r="G37" s="1945"/>
      <c r="H37" s="1960"/>
      <c r="I37" s="830" t="s">
        <v>1768</v>
      </c>
      <c r="J37" s="831"/>
      <c r="K37" s="1964"/>
      <c r="L37" s="1960"/>
      <c r="M37" s="1960"/>
    </row>
    <row r="38" spans="1:18" ht="18" customHeight="1" thickBot="1">
      <c r="A38" s="3784" t="s">
        <v>3213</v>
      </c>
      <c r="B38" s="3767" t="s">
        <v>3197</v>
      </c>
      <c r="C38" s="3765">
        <f ca="1">ROUND(C5*F38,1)</f>
        <v>4</v>
      </c>
      <c r="D38" s="3766" t="s">
        <v>3214</v>
      </c>
      <c r="E38" s="3767" t="s">
        <v>3212</v>
      </c>
      <c r="F38" s="3738">
        <f ca="1">INDIRECT("'数据-取费表'!Am"&amp;$G$1)</f>
        <v>1.4999999999999999E-2</v>
      </c>
      <c r="G38" s="1945"/>
      <c r="H38" s="1960"/>
      <c r="I38" s="832" t="s">
        <v>1769</v>
      </c>
      <c r="J38" s="833"/>
      <c r="K38" s="1965"/>
      <c r="L38" s="1960"/>
      <c r="M38" s="1960"/>
    </row>
    <row r="39" spans="1:18" ht="24.6" customHeight="1" thickTop="1">
      <c r="A39" s="3739" t="s">
        <v>1843</v>
      </c>
      <c r="B39" s="3785" t="s">
        <v>2754</v>
      </c>
      <c r="C39" s="3741">
        <f ca="1">C5-C30</f>
        <v>186</v>
      </c>
      <c r="D39" s="3786" t="s">
        <v>3266</v>
      </c>
      <c r="E39" s="3787"/>
      <c r="F39" s="3788"/>
      <c r="G39" s="1945"/>
      <c r="H39" s="1960"/>
      <c r="I39" s="826" t="s">
        <v>1770</v>
      </c>
      <c r="J39" s="834">
        <f ca="1">ROUND(J35/C39,3)</f>
        <v>0.54300000000000004</v>
      </c>
      <c r="K39" s="1965"/>
      <c r="L39" s="1960"/>
      <c r="M39" s="1960"/>
    </row>
    <row r="40" spans="1:18" ht="18" customHeight="1">
      <c r="A40" s="3705" t="s">
        <v>1844</v>
      </c>
      <c r="B40" s="3789" t="s">
        <v>2243</v>
      </c>
      <c r="C40" s="3712">
        <f ca="1">ROUND(C39*(1-((1+F42)/(1+F40))^F41)/(F40-F42),0)</f>
        <v>3396</v>
      </c>
      <c r="D40" s="3777" t="s">
        <v>3267</v>
      </c>
      <c r="E40" s="3713" t="s">
        <v>3268</v>
      </c>
      <c r="F40" s="3723">
        <f ca="1">INDIRECT("'数据-取费表'!I"&amp;$G$1)</f>
        <v>0.05</v>
      </c>
      <c r="G40" s="1945"/>
      <c r="H40" s="1945"/>
      <c r="I40" s="826" t="s">
        <v>1771</v>
      </c>
      <c r="J40" s="834">
        <f ca="1">1-J39</f>
        <v>0.45699999999999996</v>
      </c>
      <c r="K40" s="1965"/>
      <c r="L40" s="1945"/>
      <c r="M40" s="1945"/>
    </row>
    <row r="41" spans="1:18" ht="18" customHeight="1">
      <c r="A41" s="3721"/>
      <c r="B41" s="3790"/>
      <c r="C41" s="3717"/>
      <c r="D41" s="3791" t="s">
        <v>3269</v>
      </c>
      <c r="E41" s="3713" t="s">
        <v>3270</v>
      </c>
      <c r="F41" s="3792">
        <f ca="1">IF(INDIRECT("'数据-取费表'!af"&amp;$G$1)=0,INDIRECT("'数据-取费表'!ae"&amp;$G$1),INDIRECT("'数据-取费表'!af"&amp;$G$1))</f>
        <v>50</v>
      </c>
      <c r="G41" s="1945"/>
      <c r="H41" s="1900"/>
      <c r="I41" s="832" t="s">
        <v>1772</v>
      </c>
      <c r="J41" s="835"/>
      <c r="K41" s="1964"/>
      <c r="L41" s="1900"/>
      <c r="M41" s="1900"/>
    </row>
    <row r="42" spans="1:18" ht="18" customHeight="1">
      <c r="A42" s="3729"/>
      <c r="B42" s="3793"/>
      <c r="C42" s="3741"/>
      <c r="D42" s="3781"/>
      <c r="E42" s="3713" t="s">
        <v>3271</v>
      </c>
      <c r="F42" s="3723">
        <f ca="1">INDIRECT("'数据-取费表'!v"&amp;$G$1)</f>
        <v>0</v>
      </c>
      <c r="G42" s="1945"/>
      <c r="H42" s="1900"/>
      <c r="I42" s="836" t="s">
        <v>1773</v>
      </c>
      <c r="J42" s="834">
        <f ca="1">ROUND(C13/C40,3)</f>
        <v>0.35099999999999998</v>
      </c>
      <c r="K42" s="1964"/>
      <c r="L42" s="1900"/>
      <c r="M42" s="1900"/>
    </row>
    <row r="43" spans="1:18" ht="18" customHeight="1" thickBot="1">
      <c r="A43" s="3794" t="s">
        <v>1757</v>
      </c>
      <c r="B43" s="3795" t="s">
        <v>3272</v>
      </c>
      <c r="C43" s="3796">
        <f ca="1">ROUND(C40*10000/F43,0)</f>
        <v>5188</v>
      </c>
      <c r="D43" s="3797" t="s">
        <v>3273</v>
      </c>
      <c r="E43" s="3798" t="s">
        <v>3274</v>
      </c>
      <c r="F43" s="3799">
        <f ca="1">INDIRECT("'数据-取费表'!k"&amp;$G$1)</f>
        <v>6546.1</v>
      </c>
      <c r="G43" s="1945"/>
      <c r="H43" s="1900"/>
      <c r="I43" s="836" t="s">
        <v>1774</v>
      </c>
      <c r="J43" s="837">
        <f ca="1">1-J42</f>
        <v>0.64900000000000002</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2241</v>
      </c>
      <c r="B46" s="1967"/>
      <c r="C46" s="2423">
        <f ca="1">C67-C40</f>
        <v>-3944</v>
      </c>
      <c r="D46" s="3252"/>
      <c r="E46" s="3252"/>
      <c r="F46" s="3252"/>
      <c r="I46" s="2233" t="s">
        <v>2282</v>
      </c>
      <c r="J46" s="2234"/>
      <c r="K46" s="2235"/>
      <c r="L46" s="2805" t="str">
        <f ca="1">IF(OR(M47="住宅",D1="土地（套用方法）"),0,IF(L48&gt;J51,L60,J60))</f>
        <v>0</v>
      </c>
      <c r="M46" s="3253"/>
      <c r="O46" s="2249" t="s">
        <v>2349</v>
      </c>
      <c r="P46" s="1527"/>
      <c r="Q46" s="1535"/>
      <c r="R46" s="1527"/>
    </row>
    <row r="47" spans="1:18" s="1942" customFormat="1" ht="18" customHeight="1" thickBot="1">
      <c r="A47" s="2227">
        <v>1</v>
      </c>
      <c r="B47" s="2228" t="s">
        <v>629</v>
      </c>
      <c r="C47" s="2423">
        <f ca="1">C48+C52+C54</f>
        <v>0</v>
      </c>
      <c r="D47" s="3252"/>
      <c r="E47" s="3252"/>
      <c r="F47" s="3252"/>
      <c r="I47" s="2796" t="s">
        <v>2283</v>
      </c>
      <c r="J47" s="2236" t="s">
        <v>2961</v>
      </c>
      <c r="K47" s="2802" t="s">
        <v>2288</v>
      </c>
      <c r="L47" s="2806">
        <f ca="1">INDIRECT("'数据-取费表'!d"&amp;$G$1)</f>
        <v>50</v>
      </c>
      <c r="M47" s="1535" t="str">
        <f>IF(ISNUMBER(FIND("住宅",C1)),"住宅","非住宅")</f>
        <v>非住宅</v>
      </c>
      <c r="O47" s="2250" t="s">
        <v>2314</v>
      </c>
      <c r="P47" s="2251" t="s">
        <v>2315</v>
      </c>
      <c r="Q47" s="2252" t="s">
        <v>2316</v>
      </c>
      <c r="R47" s="2251" t="s">
        <v>2317</v>
      </c>
    </row>
    <row r="48" spans="1:18" s="1942" customFormat="1" ht="18" customHeight="1" thickBot="1">
      <c r="A48" s="2481" t="s">
        <v>2471</v>
      </c>
      <c r="B48" s="2482" t="s">
        <v>2472</v>
      </c>
      <c r="C48" s="2229">
        <f ca="1">ROUND(F48*F50*F49*(1-F51)/10000,0)</f>
        <v>0</v>
      </c>
      <c r="D48" s="2230" t="s">
        <v>630</v>
      </c>
      <c r="E48" s="2231" t="s">
        <v>2242</v>
      </c>
      <c r="F48" s="2232"/>
      <c r="G48" s="1972"/>
      <c r="I48" s="2793" t="s">
        <v>2284</v>
      </c>
      <c r="J48" s="2237" t="s">
        <v>2289</v>
      </c>
      <c r="K48" s="2803" t="s">
        <v>2290</v>
      </c>
      <c r="L48" s="1822">
        <f ca="1">INDIRECT("'数据-取费表'!f"&amp;$G$1)</f>
        <v>50</v>
      </c>
      <c r="M48" s="3253"/>
      <c r="O48" s="2253" t="s">
        <v>2318</v>
      </c>
      <c r="P48" s="2254" t="s">
        <v>2344</v>
      </c>
      <c r="Q48" s="2255">
        <f ca="1">C40+J29</f>
        <v>3396</v>
      </c>
      <c r="R48" s="2254" t="s">
        <v>2319</v>
      </c>
    </row>
    <row r="49" spans="1:18" s="1942" customFormat="1" ht="18" customHeight="1" thickBot="1">
      <c r="A49" s="776"/>
      <c r="B49" s="777"/>
      <c r="C49" s="778"/>
      <c r="D49" s="779"/>
      <c r="E49" s="774" t="s">
        <v>1726</v>
      </c>
      <c r="F49" s="775">
        <f ca="1">F7</f>
        <v>6546.1</v>
      </c>
      <c r="G49" s="1972"/>
      <c r="H49" s="1975"/>
      <c r="I49" s="2793" t="s">
        <v>2285</v>
      </c>
      <c r="J49" s="2238"/>
      <c r="K49" s="2804" t="s">
        <v>2291</v>
      </c>
      <c r="L49" s="2239"/>
      <c r="M49" s="3253"/>
      <c r="O49" s="2253" t="s">
        <v>2320</v>
      </c>
      <c r="P49" s="2254" t="s">
        <v>2345</v>
      </c>
      <c r="Q49" s="2255" t="str">
        <f ca="1">J60</f>
        <v>0</v>
      </c>
      <c r="R49" s="2254" t="s">
        <v>2321</v>
      </c>
    </row>
    <row r="50" spans="1:18" s="1942" customFormat="1" ht="18" customHeight="1" thickBot="1">
      <c r="A50" s="776"/>
      <c r="B50" s="777"/>
      <c r="C50" s="778"/>
      <c r="D50" s="779"/>
      <c r="E50" s="774" t="s">
        <v>1727</v>
      </c>
      <c r="F50" s="775">
        <f ca="1">F8</f>
        <v>365</v>
      </c>
      <c r="G50" s="1977"/>
      <c r="H50" s="1975"/>
      <c r="I50" s="2793" t="s">
        <v>2286</v>
      </c>
      <c r="J50" s="2800">
        <f>SUMPRODUCT((I63:I65=J47)*(J62:L62=J48)*(J63:L65))</f>
        <v>50</v>
      </c>
      <c r="K50" s="2804" t="s">
        <v>2292</v>
      </c>
      <c r="L50" s="2239"/>
      <c r="M50" s="3253"/>
      <c r="O50" s="2256" t="s">
        <v>2322</v>
      </c>
      <c r="P50" s="2254" t="s">
        <v>2346</v>
      </c>
      <c r="Q50" s="2255">
        <f ca="1">C29</f>
        <v>1701</v>
      </c>
      <c r="R50" s="2254" t="s">
        <v>2319</v>
      </c>
    </row>
    <row r="51" spans="1:18" s="1942" customFormat="1" ht="18" customHeight="1" thickBot="1">
      <c r="A51" s="776"/>
      <c r="B51" s="777"/>
      <c r="C51" s="778"/>
      <c r="D51" s="779"/>
      <c r="E51" s="774" t="s">
        <v>634</v>
      </c>
      <c r="F51" s="2226"/>
      <c r="H51" s="1975"/>
      <c r="I51" s="2797" t="s">
        <v>2287</v>
      </c>
      <c r="J51" s="2801">
        <f>IF(J49="",J50,J49+J50-YEAR('数据-取费表'!B2))</f>
        <v>50</v>
      </c>
      <c r="K51" s="2793" t="s">
        <v>2293</v>
      </c>
      <c r="L51" s="2807">
        <f ca="1">ROUND(-PV(INDIRECT("'数据-取费表'!h"&amp;$G$1),J51,(C39-C13*J36),0),0)</f>
        <v>1597</v>
      </c>
      <c r="M51" s="3253"/>
      <c r="O51" s="2256" t="s">
        <v>2323</v>
      </c>
      <c r="P51" s="2254" t="s">
        <v>2324</v>
      </c>
      <c r="Q51" s="2257" t="e">
        <f ca="1">J58</f>
        <v>#VALUE!</v>
      </c>
      <c r="R51" s="2258"/>
    </row>
    <row r="52" spans="1:18" s="1942" customFormat="1" ht="18" customHeight="1" thickBot="1">
      <c r="A52" s="771" t="s">
        <v>2470</v>
      </c>
      <c r="B52" s="2347" t="s">
        <v>2395</v>
      </c>
      <c r="C52" s="789">
        <f ca="1">ROUND(IF(F52="押一",C48/12*F11,IF(F52="押二",C48/12*2*F11,IF(F52="押三",C48/12*3*F11,C53*F11))),0)</f>
        <v>0</v>
      </c>
      <c r="D52" s="2353" t="s">
        <v>2885</v>
      </c>
      <c r="E52" s="2350" t="s">
        <v>2400</v>
      </c>
      <c r="F52" s="2462"/>
      <c r="I52" s="2798" t="s">
        <v>2360</v>
      </c>
      <c r="J52" s="2240"/>
      <c r="K52" s="2798" t="s">
        <v>2359</v>
      </c>
      <c r="L52" s="2240"/>
      <c r="M52" s="3253"/>
      <c r="O52" s="2256" t="s">
        <v>2325</v>
      </c>
      <c r="P52" s="2254" t="s">
        <v>2326</v>
      </c>
      <c r="Q52" s="2257">
        <f>J52</f>
        <v>0</v>
      </c>
      <c r="R52" s="2258"/>
    </row>
    <row r="53" spans="1:18" s="1942" customFormat="1" ht="39.75" customHeight="1" thickBot="1">
      <c r="A53" s="776"/>
      <c r="B53" s="2348" t="s">
        <v>2507</v>
      </c>
      <c r="C53" s="2351"/>
      <c r="D53" s="2353"/>
      <c r="E53" s="2350"/>
      <c r="F53" s="790"/>
      <c r="I53" s="2799" t="s">
        <v>2888</v>
      </c>
      <c r="J53" s="2852">
        <f ca="1">IF(M47="住宅",IF(D1="——",MAX(J51,L48),MAX(J51,L48-'数据-取费表'!B20)),IF(D1="——",MIN(J51,L48),MIN(J51,L48-'数据-取费表'!B20)))</f>
        <v>50</v>
      </c>
      <c r="K53" s="3573" t="s">
        <v>2877</v>
      </c>
      <c r="L53" s="3574"/>
      <c r="M53" s="3253"/>
      <c r="O53" s="2256" t="s">
        <v>2327</v>
      </c>
      <c r="P53" s="2254" t="s">
        <v>2328</v>
      </c>
      <c r="Q53" s="2255">
        <f ca="1">J53</f>
        <v>50</v>
      </c>
      <c r="R53" s="2254" t="s">
        <v>2329</v>
      </c>
    </row>
    <row r="54" spans="1:18" s="1942" customFormat="1" ht="18" customHeight="1" thickBot="1">
      <c r="A54" s="2388" t="s">
        <v>2402</v>
      </c>
      <c r="B54" s="2389" t="s">
        <v>2396</v>
      </c>
      <c r="C54" s="2390"/>
      <c r="D54" s="2353"/>
      <c r="E54" s="2350"/>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53"/>
      <c r="O54" s="2253" t="s">
        <v>2330</v>
      </c>
      <c r="P54" s="2254" t="s">
        <v>2347</v>
      </c>
      <c r="Q54" s="2255">
        <f ca="1">Q48+Q49</f>
        <v>3396</v>
      </c>
      <c r="R54" s="2258" t="s">
        <v>2331</v>
      </c>
    </row>
    <row r="55" spans="1:18" s="1942" customFormat="1" ht="18" customHeight="1" thickTop="1" thickBot="1">
      <c r="A55" s="787">
        <v>2</v>
      </c>
      <c r="B55" s="788" t="s">
        <v>638</v>
      </c>
      <c r="C55" s="789">
        <f ca="1">C13</f>
        <v>1191</v>
      </c>
      <c r="D55" s="785"/>
      <c r="E55" s="785"/>
      <c r="F55" s="790"/>
      <c r="I55" s="2810" t="s">
        <v>2294</v>
      </c>
      <c r="J55" s="2782" t="e">
        <f ca="1">ROUND(IF(J47="钢混",J57/J50,1-(1-2%)*(J50-J57)/J50),3)</f>
        <v>#VALUE!</v>
      </c>
      <c r="K55" s="2811" t="s">
        <v>2295</v>
      </c>
      <c r="L55" s="2241"/>
      <c r="M55" s="3253"/>
      <c r="O55" s="2259" t="s">
        <v>2350</v>
      </c>
      <c r="P55" s="1527"/>
      <c r="Q55" s="1535"/>
      <c r="R55" s="1527"/>
    </row>
    <row r="56" spans="1:18" s="1942" customFormat="1" ht="42.75" customHeight="1" thickBot="1">
      <c r="A56" s="1579"/>
      <c r="B56" s="2111" t="s">
        <v>2244</v>
      </c>
      <c r="C56" s="53">
        <f ca="1">C29</f>
        <v>1701</v>
      </c>
      <c r="D56" s="2478"/>
      <c r="E56" s="774"/>
      <c r="F56" s="799"/>
      <c r="I56" s="2812" t="s">
        <v>2296</v>
      </c>
      <c r="J56" s="2822" t="s">
        <v>1669</v>
      </c>
      <c r="K56" s="2793" t="s">
        <v>2301</v>
      </c>
      <c r="L56" s="1822">
        <f ca="1">IF(L48&lt;J51,"——",L48-J51)</f>
        <v>0</v>
      </c>
      <c r="M56" s="3253"/>
      <c r="O56" s="2250" t="s">
        <v>2314</v>
      </c>
      <c r="P56" s="2251" t="s">
        <v>2315</v>
      </c>
      <c r="Q56" s="2252" t="s">
        <v>2316</v>
      </c>
      <c r="R56" s="2251" t="s">
        <v>2317</v>
      </c>
    </row>
    <row r="57" spans="1:18" s="1942" customFormat="1" ht="28.5" customHeight="1" thickBot="1">
      <c r="A57" s="787" t="s">
        <v>1733</v>
      </c>
      <c r="B57" s="788" t="s">
        <v>645</v>
      </c>
      <c r="C57" s="789">
        <f ca="1">ROUND(C58+C63+C64+C65,0)</f>
        <v>30</v>
      </c>
      <c r="D57" s="26" t="s">
        <v>1735</v>
      </c>
      <c r="E57" s="2479"/>
      <c r="F57" s="56"/>
      <c r="I57" s="2813" t="s">
        <v>2297</v>
      </c>
      <c r="J57" s="2814" t="str">
        <f ca="1">IF(OR(M47="住宅",J51&lt;L48,J56="是"),"——",J51-L48)</f>
        <v>——</v>
      </c>
      <c r="K57" s="2793" t="s">
        <v>2302</v>
      </c>
      <c r="L57" s="1822">
        <f ca="1">IF(L48&lt;J51,"——",IF(L55="比较法",L49,IF(L55="基准地价",L50,L51)))</f>
        <v>1597</v>
      </c>
      <c r="M57" s="3253"/>
      <c r="O57" s="2253" t="s">
        <v>2318</v>
      </c>
      <c r="P57" s="2254" t="s">
        <v>2348</v>
      </c>
      <c r="Q57" s="2255">
        <f ca="1">C40+J29</f>
        <v>3396</v>
      </c>
      <c r="R57" s="2254" t="s">
        <v>2319</v>
      </c>
    </row>
    <row r="58" spans="1:18" s="1942" customFormat="1" ht="28.5" customHeight="1" thickBot="1">
      <c r="A58" s="1578" t="s">
        <v>1776</v>
      </c>
      <c r="B58" s="774" t="s">
        <v>650</v>
      </c>
      <c r="C58" s="3013">
        <f ca="1">ROUND(IF(AND(项目基本情况!B11="自然人",项目基本情况!B10="北京市"),C48*F58/(1+'数据-取费表'!C42),C59+C60+C61),0)</f>
        <v>3</v>
      </c>
      <c r="D58" s="2477" t="s">
        <v>651</v>
      </c>
      <c r="E58" s="2478" t="s">
        <v>684</v>
      </c>
      <c r="F58" s="3012" t="str">
        <f>IF(项目基本情况!B11="企业","——",IF('数据-取费表'!B10="住宅",IF(F48*F49*F50/12/(1+'数据-取费表'!F30)&gt;100000,4%,2.5%),IF(F48*F49*F50/12/(1+'数据-取费表'!F30)&gt;100000,12%,7%)))</f>
        <v>——</v>
      </c>
      <c r="I58" s="2813" t="s">
        <v>2298</v>
      </c>
      <c r="J58" s="2783" t="e">
        <f ca="1">IF(J55&lt;0.4,0.4,J55)</f>
        <v>#VALUE!</v>
      </c>
      <c r="K58" s="2793" t="s">
        <v>2303</v>
      </c>
      <c r="L58" s="1822" t="e">
        <f ca="1">ROUND(POWER(1+L52,L47-L48)*(POWER(1+L52,L48)-1)/(POWER(1+L52,L47)-1),4)</f>
        <v>#DIV/0!</v>
      </c>
      <c r="M58" s="3253"/>
      <c r="O58" s="2253" t="s">
        <v>2320</v>
      </c>
      <c r="P58" s="2254" t="s">
        <v>2351</v>
      </c>
      <c r="Q58" s="2255" t="e">
        <f ca="1">L60</f>
        <v>#DIV/0!</v>
      </c>
      <c r="R58" s="2258" t="s">
        <v>2353</v>
      </c>
    </row>
    <row r="59" spans="1:18" s="1942" customFormat="1" ht="28.5" customHeight="1" thickBot="1">
      <c r="A59" s="1577" t="s">
        <v>1783</v>
      </c>
      <c r="B59" s="774" t="s">
        <v>654</v>
      </c>
      <c r="C59" s="53">
        <f ca="1">ROUND(C47*F59/1.05,1)</f>
        <v>0</v>
      </c>
      <c r="D59" s="2478" t="s">
        <v>1739</v>
      </c>
      <c r="E59" s="774" t="s">
        <v>1732</v>
      </c>
      <c r="F59" s="799">
        <f t="shared" ref="F59:F65" si="0">F32</f>
        <v>5.5000000000000007E-2</v>
      </c>
      <c r="I59" s="2813" t="s">
        <v>2299</v>
      </c>
      <c r="J59" s="2814" t="str">
        <f ca="1">IF(OR(M47="住宅",J51&lt;L48,J56="是"),"——",ROUND(C29*J58,0))</f>
        <v>——</v>
      </c>
      <c r="K59" s="2793"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53"/>
      <c r="O59" s="2256" t="s">
        <v>2322</v>
      </c>
      <c r="P59" s="2254" t="s">
        <v>2352</v>
      </c>
      <c r="Q59" s="2255">
        <f>IF(L55="比较法",L49,IF(L55="基准地价",L50,0))</f>
        <v>0</v>
      </c>
      <c r="R59" s="2254" t="s">
        <v>2319</v>
      </c>
    </row>
    <row r="60" spans="1:18" s="1942" customFormat="1" ht="18" customHeight="1" thickBot="1">
      <c r="A60" s="1577" t="s">
        <v>1784</v>
      </c>
      <c r="B60" s="774" t="s">
        <v>1740</v>
      </c>
      <c r="C60" s="53">
        <f ca="1">IF(D60="按租金收入计税",ROUND(C47*F60,1),IF(D60="按房产原值计税",ROUND(C56*F60*0.7,1),INDIRECT("'数据-取费表'!Aj"&amp;$G$1)))</f>
        <v>0</v>
      </c>
      <c r="D60" s="2478" t="str">
        <f>D33</f>
        <v>按租金收入计税</v>
      </c>
      <c r="E60" s="774" t="s">
        <v>1732</v>
      </c>
      <c r="F60" s="799">
        <f t="shared" si="0"/>
        <v>0.12</v>
      </c>
      <c r="I60" s="2815" t="s">
        <v>2300</v>
      </c>
      <c r="J60" s="2816" t="str">
        <f ca="1">IF(OR(M47="住宅",J51&lt;L48,J56="是"),"0",ROUND(J59/(1+J52)^J53,0))</f>
        <v>0</v>
      </c>
      <c r="K60" s="2817" t="s">
        <v>2305</v>
      </c>
      <c r="L60" s="2816" t="e">
        <f ca="1">IF(OR(M47="住宅",L48&lt;J51),0,ROUND(L57*(L58/L59-1),0))</f>
        <v>#DIV/0!</v>
      </c>
      <c r="M60" s="3253"/>
      <c r="O60" s="2256" t="s">
        <v>2323</v>
      </c>
      <c r="P60" s="2254" t="s">
        <v>2332</v>
      </c>
      <c r="Q60" s="2257">
        <f>L52</f>
        <v>0</v>
      </c>
      <c r="R60" s="2258"/>
    </row>
    <row r="61" spans="1:18" s="1942" customFormat="1" ht="18" customHeight="1" thickBot="1">
      <c r="A61" s="1580" t="s">
        <v>1785</v>
      </c>
      <c r="B61" s="339" t="s">
        <v>662</v>
      </c>
      <c r="C61" s="54">
        <f ca="1">ROUND(F61*F62/10000,1)</f>
        <v>3.3</v>
      </c>
      <c r="D61" s="803" t="s">
        <v>663</v>
      </c>
      <c r="E61" s="774" t="s">
        <v>664</v>
      </c>
      <c r="F61" s="632">
        <f t="shared" si="0"/>
        <v>1.5</v>
      </c>
      <c r="K61" s="1968"/>
      <c r="O61" s="2256" t="s">
        <v>2325</v>
      </c>
      <c r="P61" s="2254" t="s">
        <v>2333</v>
      </c>
      <c r="Q61" s="2255" t="e">
        <f ca="1">L58</f>
        <v>#DIV/0!</v>
      </c>
      <c r="R61" s="2258" t="s">
        <v>2334</v>
      </c>
    </row>
    <row r="62" spans="1:18" s="1942" customFormat="1" ht="15.75" thickBot="1">
      <c r="A62" s="804"/>
      <c r="B62" s="783"/>
      <c r="C62" s="69"/>
      <c r="D62" s="805"/>
      <c r="E62" s="774" t="s">
        <v>668</v>
      </c>
      <c r="F62" s="775">
        <f t="shared" ca="1" si="0"/>
        <v>22121.8</v>
      </c>
      <c r="I62" s="2818" t="s">
        <v>2306</v>
      </c>
      <c r="J62" s="2819" t="s">
        <v>2307</v>
      </c>
      <c r="K62" s="2819" t="s">
        <v>2308</v>
      </c>
      <c r="L62" s="2819" t="s">
        <v>2289</v>
      </c>
      <c r="M62" s="2820" t="s">
        <v>2857</v>
      </c>
      <c r="O62" s="2256" t="s">
        <v>2327</v>
      </c>
      <c r="P62" s="2254" t="str">
        <f>K59</f>
        <v>建筑物剩余耐用年限下的土地年期修正系数Kn</v>
      </c>
      <c r="Q62" s="2255" t="e">
        <f ca="1">L59</f>
        <v>#DIV/0!</v>
      </c>
      <c r="R62" s="2258" t="s">
        <v>2336</v>
      </c>
    </row>
    <row r="63" spans="1:18" s="1942" customFormat="1" ht="15.75" thickBot="1">
      <c r="A63" s="1578" t="s">
        <v>1838</v>
      </c>
      <c r="B63" s="774" t="s">
        <v>670</v>
      </c>
      <c r="C63" s="53">
        <f ca="1">ROUND(C56*F63,1)</f>
        <v>25.5</v>
      </c>
      <c r="D63" s="2478" t="s">
        <v>1760</v>
      </c>
      <c r="E63" s="774" t="s">
        <v>1732</v>
      </c>
      <c r="F63" s="806">
        <f t="shared" ca="1" si="0"/>
        <v>1.4999999999999999E-2</v>
      </c>
      <c r="I63" s="2818" t="s">
        <v>2309</v>
      </c>
      <c r="J63" s="2819">
        <v>70</v>
      </c>
      <c r="K63" s="2819">
        <v>50</v>
      </c>
      <c r="L63" s="2819">
        <v>80</v>
      </c>
      <c r="M63" s="2821">
        <v>0.02</v>
      </c>
      <c r="O63" s="2253" t="s">
        <v>2330</v>
      </c>
      <c r="P63" s="2254" t="s">
        <v>2347</v>
      </c>
      <c r="Q63" s="2255" t="e">
        <f ca="1">Q57+Q58</f>
        <v>#DIV/0!</v>
      </c>
      <c r="R63" s="2258" t="s">
        <v>2331</v>
      </c>
    </row>
    <row r="64" spans="1:18" s="1942" customFormat="1" ht="16.5" thickBot="1">
      <c r="A64" s="1578" t="s">
        <v>1839</v>
      </c>
      <c r="B64" s="774" t="s">
        <v>673</v>
      </c>
      <c r="C64" s="53">
        <f ca="1">ROUND(C55*F64,1)</f>
        <v>1.8</v>
      </c>
      <c r="D64" s="2478" t="s">
        <v>674</v>
      </c>
      <c r="E64" s="774" t="s">
        <v>1732</v>
      </c>
      <c r="F64" s="807">
        <f t="shared" ca="1" si="0"/>
        <v>1.5E-3</v>
      </c>
      <c r="I64" s="2818" t="s">
        <v>2310</v>
      </c>
      <c r="J64" s="2819">
        <v>50</v>
      </c>
      <c r="K64" s="2819">
        <v>35</v>
      </c>
      <c r="L64" s="2819">
        <v>60</v>
      </c>
      <c r="M64" s="835">
        <v>0</v>
      </c>
      <c r="O64" s="2259" t="s">
        <v>2354</v>
      </c>
      <c r="P64" s="1527"/>
      <c r="Q64" s="1535"/>
      <c r="R64" s="1527"/>
    </row>
    <row r="65" spans="1:18" s="1942" customFormat="1" ht="15.75" thickBot="1">
      <c r="A65" s="1578" t="s">
        <v>1840</v>
      </c>
      <c r="B65" s="774" t="s">
        <v>660</v>
      </c>
      <c r="C65" s="53">
        <f ca="1">ROUND(C47*F65,1)</f>
        <v>0</v>
      </c>
      <c r="D65" s="2478" t="s">
        <v>677</v>
      </c>
      <c r="E65" s="774" t="s">
        <v>1732</v>
      </c>
      <c r="F65" s="784">
        <f t="shared" ca="1" si="0"/>
        <v>1.4999999999999999E-2</v>
      </c>
      <c r="I65" s="2818" t="s">
        <v>2311</v>
      </c>
      <c r="J65" s="2819">
        <v>40</v>
      </c>
      <c r="K65" s="2819">
        <v>30</v>
      </c>
      <c r="L65" s="2819">
        <v>50</v>
      </c>
      <c r="M65" s="2821">
        <v>0.02</v>
      </c>
      <c r="O65" s="2250" t="s">
        <v>2314</v>
      </c>
      <c r="P65" s="2251" t="s">
        <v>2315</v>
      </c>
      <c r="Q65" s="2252" t="s">
        <v>2316</v>
      </c>
      <c r="R65" s="2251" t="s">
        <v>2317</v>
      </c>
    </row>
    <row r="66" spans="1:18" s="1942" customFormat="1" ht="24.75" thickBot="1">
      <c r="A66" s="787" t="s">
        <v>1750</v>
      </c>
      <c r="B66" s="2718" t="s">
        <v>2754</v>
      </c>
      <c r="C66" s="789">
        <f ca="1">C47-C57</f>
        <v>-30</v>
      </c>
      <c r="D66" s="2477" t="s">
        <v>694</v>
      </c>
      <c r="E66" s="2476"/>
      <c r="F66" s="809"/>
      <c r="K66" s="1968"/>
      <c r="O66" s="2253" t="s">
        <v>2318</v>
      </c>
      <c r="P66" s="2254" t="s">
        <v>2348</v>
      </c>
      <c r="Q66" s="2255">
        <f ca="1">C40+J29</f>
        <v>3396</v>
      </c>
      <c r="R66" s="2254" t="s">
        <v>2319</v>
      </c>
    </row>
    <row r="67" spans="1:18" s="1942" customFormat="1" ht="20.25" thickBot="1">
      <c r="A67" s="771" t="s">
        <v>1752</v>
      </c>
      <c r="B67" s="2112" t="s">
        <v>2243</v>
      </c>
      <c r="C67" s="773">
        <f ca="1">ROUND(C66*(1-((1+F69)/(1+F67))^F68)/(F67-F69),0)</f>
        <v>-548</v>
      </c>
      <c r="D67" s="803" t="s">
        <v>698</v>
      </c>
      <c r="E67" s="774" t="s">
        <v>699</v>
      </c>
      <c r="F67" s="784">
        <f ca="1">F40</f>
        <v>0.05</v>
      </c>
      <c r="K67" s="1968"/>
      <c r="O67" s="2253" t="s">
        <v>2320</v>
      </c>
      <c r="P67" s="2254" t="s">
        <v>2351</v>
      </c>
      <c r="Q67" s="2255" t="e">
        <f ca="1">L60</f>
        <v>#DIV/0!</v>
      </c>
      <c r="R67" s="2258" t="s">
        <v>2353</v>
      </c>
    </row>
    <row r="68" spans="1:18" ht="21.75" thickBot="1">
      <c r="A68" s="776"/>
      <c r="B68" s="777"/>
      <c r="C68" s="778"/>
      <c r="D68" s="810" t="s">
        <v>1761</v>
      </c>
      <c r="E68" s="774" t="s">
        <v>1755</v>
      </c>
      <c r="F68" s="811">
        <f ca="1">F41</f>
        <v>50</v>
      </c>
      <c r="O68" s="2256" t="s">
        <v>2322</v>
      </c>
      <c r="P68" s="2254" t="s">
        <v>2352</v>
      </c>
      <c r="Q68" s="2260">
        <f ca="1">L51</f>
        <v>1597</v>
      </c>
      <c r="R68" s="2261" t="s">
        <v>2355</v>
      </c>
    </row>
    <row r="69" spans="1:18" ht="20.25" thickBot="1">
      <c r="A69" s="780"/>
      <c r="B69" s="781"/>
      <c r="C69" s="782"/>
      <c r="D69" s="805"/>
      <c r="E69" s="774" t="s">
        <v>704</v>
      </c>
      <c r="F69" s="2226"/>
      <c r="O69" s="2256" t="s">
        <v>2323</v>
      </c>
      <c r="P69" s="2262" t="s">
        <v>2337</v>
      </c>
      <c r="Q69" s="2255">
        <f ca="1">ROUND(Q70-Q71*Q72,0)</f>
        <v>85</v>
      </c>
      <c r="R69" s="2258"/>
    </row>
    <row r="70" spans="1:18" ht="15.75" thickBot="1">
      <c r="A70" s="812" t="s">
        <v>1757</v>
      </c>
      <c r="B70" s="813" t="s">
        <v>1762</v>
      </c>
      <c r="C70" s="814">
        <f ca="1">ROUND(C67*10000/F70,0)</f>
        <v>-837</v>
      </c>
      <c r="D70" s="815" t="s">
        <v>1763</v>
      </c>
      <c r="E70" s="816" t="s">
        <v>1764</v>
      </c>
      <c r="F70" s="817">
        <f ca="1">F43</f>
        <v>6546.1</v>
      </c>
      <c r="O70" s="2256" t="s">
        <v>2338</v>
      </c>
      <c r="P70" s="2262" t="s">
        <v>2339</v>
      </c>
      <c r="Q70" s="2255">
        <f ca="1">C39</f>
        <v>186</v>
      </c>
      <c r="R70" s="2254" t="s">
        <v>2319</v>
      </c>
    </row>
    <row r="71" spans="1:18" ht="15.75" thickBot="1">
      <c r="O71" s="2256" t="s">
        <v>2340</v>
      </c>
      <c r="P71" s="2262" t="s">
        <v>2341</v>
      </c>
      <c r="Q71" s="2255">
        <f ca="1">C13</f>
        <v>1191</v>
      </c>
      <c r="R71" s="2254" t="s">
        <v>2319</v>
      </c>
    </row>
    <row r="72" spans="1:18" ht="15.75" thickBot="1">
      <c r="O72" s="2256" t="s">
        <v>2342</v>
      </c>
      <c r="P72" s="2262" t="s">
        <v>2343</v>
      </c>
      <c r="Q72" s="2257">
        <f ca="1">J36</f>
        <v>8.5000000000000006E-2</v>
      </c>
      <c r="R72" s="2258"/>
    </row>
    <row r="73" spans="1:18" ht="15.75" thickBot="1">
      <c r="O73" s="2256" t="s">
        <v>2325</v>
      </c>
      <c r="P73" s="2254" t="s">
        <v>2332</v>
      </c>
      <c r="Q73" s="2257">
        <f>L52</f>
        <v>0</v>
      </c>
      <c r="R73" s="2258"/>
    </row>
    <row r="74" spans="1:18" ht="20.25" thickBot="1">
      <c r="O74" s="2256" t="s">
        <v>2327</v>
      </c>
      <c r="P74" s="2254" t="s">
        <v>2333</v>
      </c>
      <c r="Q74" s="2255" t="e">
        <f ca="1">L58</f>
        <v>#DIV/0!</v>
      </c>
      <c r="R74" s="2258" t="s">
        <v>2334</v>
      </c>
    </row>
    <row r="75" spans="1:18" ht="15.75" thickBot="1">
      <c r="O75" s="2256" t="s">
        <v>2356</v>
      </c>
      <c r="P75" s="2254" t="str">
        <f>K59</f>
        <v>建筑物剩余耐用年限下的土地年期修正系数Kn</v>
      </c>
      <c r="Q75" s="2255" t="e">
        <f ca="1">L59</f>
        <v>#DIV/0!</v>
      </c>
      <c r="R75" s="2258" t="s">
        <v>2336</v>
      </c>
    </row>
    <row r="76" spans="1:18" ht="15.75" thickBot="1">
      <c r="O76" s="2253" t="s">
        <v>2330</v>
      </c>
      <c r="P76" s="2254" t="s">
        <v>2347</v>
      </c>
      <c r="Q76" s="2255" t="e">
        <f ca="1">Q66+Q67</f>
        <v>#DIV/0!</v>
      </c>
      <c r="R76" s="2258" t="s">
        <v>2331</v>
      </c>
    </row>
  </sheetData>
  <sheetProtection password="CEE9" sheet="1" objects="1" scenarios="1" formatCells="0" formatColumns="0" formatRows="0"/>
  <mergeCells count="3">
    <mergeCell ref="K53:L53"/>
    <mergeCell ref="B6:B9"/>
    <mergeCell ref="I6:I9"/>
  </mergeCells>
  <phoneticPr fontId="1" type="noConversion"/>
  <conditionalFormatting sqref="K55">
    <cfRule type="expression" dxfId="131" priority="7">
      <formula>$L$48&gt;$J$51</formula>
    </cfRule>
  </conditionalFormatting>
  <conditionalFormatting sqref="I55">
    <cfRule type="expression" dxfId="130" priority="8">
      <formula>$J$51&gt;$L$48</formula>
    </cfRule>
  </conditionalFormatting>
  <conditionalFormatting sqref="I60">
    <cfRule type="expression" dxfId="129" priority="6">
      <formula>$J$51&gt;$L$48</formula>
    </cfRule>
  </conditionalFormatting>
  <conditionalFormatting sqref="K60">
    <cfRule type="expression" dxfId="128" priority="5">
      <formula>$L$48&gt;$J$51</formula>
    </cfRule>
  </conditionalFormatting>
  <conditionalFormatting sqref="C11">
    <cfRule type="expression" dxfId="127" priority="4">
      <formula>$F$10="自定义"</formula>
    </cfRule>
  </conditionalFormatting>
  <conditionalFormatting sqref="J11">
    <cfRule type="expression" dxfId="126" priority="2">
      <formula>$M$10="自定义"</formula>
    </cfRule>
  </conditionalFormatting>
  <conditionalFormatting sqref="C53">
    <cfRule type="expression" dxfId="12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3" zoomScale="85" zoomScaleNormal="60" zoomScaleSheetLayoutView="85" workbookViewId="0">
      <selection activeCell="B80" sqref="B80:D87"/>
    </sheetView>
  </sheetViews>
  <sheetFormatPr defaultColWidth="12" defaultRowHeight="12"/>
  <cols>
    <col min="1" max="1" width="9.625" style="1353" customWidth="1"/>
    <col min="2" max="2" width="20.875" style="1468" customWidth="1"/>
    <col min="3" max="4" width="12" style="1354"/>
    <col min="5" max="5" width="14.625" style="1354" customWidth="1"/>
    <col min="6" max="8" width="12" style="1354"/>
    <col min="9" max="9" width="12.1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2365</v>
      </c>
      <c r="D1" s="1461">
        <f>SUM(D29:D30,D33:D39)</f>
        <v>6546.1</v>
      </c>
      <c r="E1" s="1355" t="s">
        <v>2366</v>
      </c>
      <c r="F1" s="2307">
        <f>'数据-汇总表'!D3</f>
        <v>22121.8</v>
      </c>
      <c r="G1" s="1350"/>
      <c r="H1" s="1350"/>
      <c r="I1" s="1350"/>
      <c r="J1" s="1350"/>
      <c r="K1" s="2070"/>
      <c r="L1" s="1796" t="s">
        <v>2185</v>
      </c>
      <c r="M1" s="1797">
        <f>SUMPRODUCT((区片价!B5:B9=I2)*(区片价!C3:F3=E2)*(区片价!C5:F9))</f>
        <v>0</v>
      </c>
      <c r="N1" s="1798">
        <f>SUMPRODUCT((因素修正幅度!B5:B9=I2)*(因素修正幅度!C3:F3=E2)*(因素修正幅度!C5:F9))</f>
        <v>0</v>
      </c>
      <c r="O1" s="2070"/>
      <c r="P1" s="2070"/>
      <c r="Q1" s="2070"/>
      <c r="R1" s="2650" t="s">
        <v>2694</v>
      </c>
      <c r="S1" s="2650" t="s">
        <v>2695</v>
      </c>
      <c r="T1" s="2650" t="s">
        <v>2716</v>
      </c>
      <c r="U1" s="2650" t="s">
        <v>2717</v>
      </c>
      <c r="V1" s="2650" t="s">
        <v>2718</v>
      </c>
      <c r="W1" s="2070"/>
      <c r="X1" s="2070"/>
      <c r="Y1" s="2070"/>
      <c r="Z1" s="2070"/>
      <c r="AA1" s="2070"/>
      <c r="AB1" s="2070"/>
      <c r="AC1" s="2071"/>
    </row>
    <row r="2" spans="1:39" ht="15.75">
      <c r="A2" s="1355" t="s">
        <v>911</v>
      </c>
      <c r="B2" s="1025">
        <f ca="1">C26</f>
        <v>988</v>
      </c>
      <c r="C2" s="1356" t="s">
        <v>912</v>
      </c>
      <c r="D2" s="1357" t="s">
        <v>913</v>
      </c>
      <c r="E2" s="1358" t="s">
        <v>972</v>
      </c>
      <c r="F2" s="1357" t="s">
        <v>915</v>
      </c>
      <c r="G2" s="1581" t="str">
        <f>IF(E2="商业",项目基本情况!B43,IF(E2="办公",项目基本情况!C43,IF(E2="住宅",项目基本情况!D43,项目基本情况!E43)))</f>
        <v>八级</v>
      </c>
      <c r="H2" s="1357" t="s">
        <v>917</v>
      </c>
      <c r="I2" s="1582" t="str">
        <f>IF(E2="商业",项目基本情况!B44,IF(E2="办公",项目基本情况!C44,IF(E2="住宅",项目基本情况!D44,项目基本情况!E44)))</f>
        <v>Ⅷ-顺1</v>
      </c>
      <c r="J2" s="1359"/>
      <c r="K2" s="3222"/>
      <c r="L2" s="1799" t="s">
        <v>2186</v>
      </c>
      <c r="M2" s="1800">
        <f>SUMPRODUCT((区片价!B10:B28=I2)*(区片价!C3:F3=E2)*(区片价!C10:F28))</f>
        <v>0</v>
      </c>
      <c r="N2" s="1801">
        <f>SUMPRODUCT((因素修正幅度!B10:B28=I2)*(因素修正幅度!C3:F3=E2)*(因素修正幅度!C10:F28))</f>
        <v>0</v>
      </c>
      <c r="O2" s="3222"/>
      <c r="P2" s="2070"/>
      <c r="Q2" s="2070"/>
      <c r="R2" s="2651">
        <v>1</v>
      </c>
      <c r="S2" s="2651">
        <f>ROUND(IF(G3&gt;1,IF(R2&lt;7,SUMPRODUCT((B93:B98=R2)*(C92:N92=G2)*(C93:N98)),SUMIF(C92:N92,G2,C100:N100)),IF(R2&lt;7,SUMPRODUCT((B102:B107=R2)*(C92:N92=G2)*(C102:N107)),SUMIF(C92:N92,G2,C109:N109))),4)</f>
        <v>1.9419999999999999</v>
      </c>
      <c r="T2" s="2651">
        <f ca="1">ROUND($C$5*$C$18*$C$19*$C$20*S2*$C$24,0)</f>
        <v>2931</v>
      </c>
      <c r="U2" s="2640"/>
      <c r="V2" s="2651">
        <f ca="1">ROUND(T2*U2/10000,0)</f>
        <v>0</v>
      </c>
      <c r="W2" s="2070"/>
      <c r="X2" s="2070"/>
      <c r="Y2" s="2070"/>
      <c r="Z2" s="2070"/>
      <c r="AA2" s="2070"/>
      <c r="AB2" s="2070"/>
      <c r="AC2" s="2071"/>
    </row>
    <row r="3" spans="1:39" ht="15.75">
      <c r="A3" s="1360" t="s">
        <v>1678</v>
      </c>
      <c r="B3" s="1025">
        <f ca="1">ROUND(B2*10000/D1,0)</f>
        <v>1509</v>
      </c>
      <c r="C3" s="1356" t="s">
        <v>918</v>
      </c>
      <c r="D3" s="1357" t="s">
        <v>919</v>
      </c>
      <c r="E3" s="1361" t="s">
        <v>2962</v>
      </c>
      <c r="F3" s="1362" t="s">
        <v>2956</v>
      </c>
      <c r="G3" s="1026">
        <f>IF(F3="宗地容积率",'数据-汇总表'!I4,IF(F3="估价对象容积率",'数据-汇总表'!I6,'数据-汇总表'!I7))</f>
        <v>1</v>
      </c>
      <c r="H3" s="1363" t="s">
        <v>920</v>
      </c>
      <c r="I3" s="1027"/>
      <c r="J3" s="1359" t="s">
        <v>921</v>
      </c>
      <c r="K3" s="3222"/>
      <c r="L3" s="1799" t="s">
        <v>2187</v>
      </c>
      <c r="M3" s="1800">
        <f>SUMPRODUCT((区片价!B29:B48=I2)*(区片价!C3:F3=E2)*(区片价!C29:F48))</f>
        <v>0</v>
      </c>
      <c r="N3" s="1801">
        <f>SUMPRODUCT((因素修正幅度!B29:B48=I2)*(因素修正幅度!C3:F3=E2)*(因素修正幅度!C29:F48))</f>
        <v>0</v>
      </c>
      <c r="O3" s="3222"/>
      <c r="P3" s="2070"/>
      <c r="Q3" s="2070"/>
      <c r="R3" s="2651">
        <v>2</v>
      </c>
      <c r="S3" s="2651">
        <f>ROUND(IF(G3&gt;1,IF(R3&lt;7,SUMPRODUCT((B93:B98=R3)*(C92:N92=G2)*(C93:N98)),SUMIF(C92:N92,G2,C100:N100)),IF(R3&lt;7,SUMPRODUCT((B102:B107=R3)*(C92:N92=G2)*(C102:N107)),SUMIF(C92:N92,G2,C109:N109))),4)</f>
        <v>1.2799</v>
      </c>
      <c r="T3" s="2651">
        <f t="shared" ref="T3:T16" ca="1" si="0">ROUND($C$5*$C$18*$C$19*$C$20*S3*$C$24,0)</f>
        <v>1931</v>
      </c>
      <c r="U3" s="2640"/>
      <c r="V3" s="2651">
        <f t="shared" ref="V3:V16" ca="1" si="1">ROUND(T3*U3/10000,0)</f>
        <v>0</v>
      </c>
      <c r="W3" s="2070"/>
      <c r="X3" s="2070"/>
      <c r="Y3" s="2070"/>
      <c r="Z3" s="2070"/>
      <c r="AA3" s="2070"/>
      <c r="AB3" s="2070"/>
      <c r="AC3" s="2071"/>
    </row>
    <row r="4" spans="1:39" ht="28.5">
      <c r="A4" s="1805" t="s">
        <v>2226</v>
      </c>
      <c r="B4" s="2308">
        <f ca="1">ROUND(B2*10000/F1,0)</f>
        <v>447</v>
      </c>
      <c r="C4" s="1808" t="s">
        <v>2201</v>
      </c>
      <c r="D4" s="1808">
        <f ca="1">ROUND(B2/(F1/666.67),0)</f>
        <v>30</v>
      </c>
      <c r="E4" s="1808" t="s">
        <v>2202</v>
      </c>
      <c r="F4" s="1806"/>
      <c r="G4" s="1806"/>
      <c r="H4" s="1806"/>
      <c r="I4" s="1806"/>
      <c r="J4" s="1807"/>
      <c r="K4" s="3223"/>
      <c r="L4" s="1799" t="s">
        <v>2188</v>
      </c>
      <c r="M4" s="1800">
        <f>SUMPRODUCT((区片价!B49:B75=I2)*(区片价!C3:F3=E2)*(区片价!C49:F75))</f>
        <v>0</v>
      </c>
      <c r="N4" s="1801">
        <f>SUMPRODUCT((因素修正幅度!B49:B75=I2)*(因素修正幅度!C3:F3=E2)*(因素修正幅度!C49:F75))</f>
        <v>0</v>
      </c>
      <c r="O4" s="3223"/>
      <c r="P4" s="2070"/>
      <c r="Q4" s="2070"/>
      <c r="R4" s="2651">
        <v>3</v>
      </c>
      <c r="S4" s="2651">
        <f>ROUND(IF(G3&gt;1,IF(R4&lt;7,SUMPRODUCT((B93:B98=R4)*(C92:N92=G2)*(C93:N98)),SUMIF(C92:N92,G2,C100:N100)),IF(R4&lt;7,SUMPRODUCT((B102:B107=R4)*(C92:N92=G2)*(C102:N107)),SUMIF(C92:N92,G2,C109:N109))),4)</f>
        <v>1.0072000000000001</v>
      </c>
      <c r="T4" s="2651">
        <f t="shared" ca="1" si="0"/>
        <v>1520</v>
      </c>
      <c r="U4" s="2640"/>
      <c r="V4" s="2651">
        <f t="shared" ca="1" si="1"/>
        <v>0</v>
      </c>
      <c r="W4" s="2070"/>
      <c r="X4" s="2070"/>
      <c r="Y4" s="2070"/>
      <c r="Z4" s="2070"/>
      <c r="AA4" s="2070"/>
      <c r="AB4" s="2070"/>
      <c r="AC4" s="2071"/>
    </row>
    <row r="5" spans="1:39" s="1370" customFormat="1" ht="15.75" thickBot="1">
      <c r="A5" s="1567" t="s">
        <v>1775</v>
      </c>
      <c r="B5" s="1364" t="s">
        <v>922</v>
      </c>
      <c r="C5" s="1028">
        <f>ROUND(IF(E2="商业",C6*C7+C16,(IF(E2="住宅",C6*C12+C16,C6+C16))),0)</f>
        <v>1020</v>
      </c>
      <c r="D5" s="2787">
        <f>ROUND(C6+C16,0)</f>
        <v>1020</v>
      </c>
      <c r="E5" s="2787"/>
      <c r="F5" s="1365"/>
      <c r="G5" s="1366"/>
      <c r="H5" s="1366"/>
      <c r="I5" s="1366"/>
      <c r="J5" s="1367"/>
      <c r="K5" s="3224"/>
      <c r="L5" s="1799" t="s">
        <v>2189</v>
      </c>
      <c r="M5" s="1800">
        <f>SUMPRODUCT((区片价!B76:B109=I2)*(区片价!C3:F3=E2)*(区片价!C76:F109))</f>
        <v>0</v>
      </c>
      <c r="N5" s="1801">
        <f>SUMPRODUCT((因素修正幅度!B76:B109=I2)*(因素修正幅度!C3:F3=E2)*(因素修正幅度!C76:F109))</f>
        <v>0</v>
      </c>
      <c r="O5" s="3224"/>
      <c r="P5" s="3227"/>
      <c r="Q5" s="2070"/>
      <c r="R5" s="2651">
        <v>4</v>
      </c>
      <c r="S5" s="2651">
        <f>ROUND(IF(G3&gt;1,IF(R5&lt;7,SUMPRODUCT((B93:B98=R5)*(C92:N92=G2)*(C93:N98)),SUMIF(C92:N92,G2,C100:N100)),IF(R5&lt;7,SUMPRODUCT((B102:B107=R5)*(C92:N92=G2)*(C102:N107)),SUMIF(C92:N92,G2,C109:N109))),4)</f>
        <v>0.75249999999999995</v>
      </c>
      <c r="T5" s="2651">
        <f t="shared" ca="1" si="0"/>
        <v>1136</v>
      </c>
      <c r="U5" s="2640"/>
      <c r="V5" s="2651">
        <f t="shared" ca="1" si="1"/>
        <v>0</v>
      </c>
      <c r="W5" s="2070"/>
      <c r="X5" s="2070"/>
      <c r="Y5" s="2070"/>
      <c r="Z5" s="2070"/>
      <c r="AA5" s="2070"/>
      <c r="AB5" s="2070"/>
      <c r="AC5" s="2072"/>
      <c r="AD5" s="1368"/>
      <c r="AE5" s="1368"/>
      <c r="AF5" s="1368"/>
      <c r="AG5" s="1368"/>
      <c r="AH5" s="1368"/>
      <c r="AI5" s="1368"/>
      <c r="AJ5" s="1369"/>
      <c r="AK5" s="1369"/>
      <c r="AL5" s="1369"/>
      <c r="AM5" s="1369"/>
    </row>
    <row r="6" spans="1:39" ht="15.75" thickBot="1">
      <c r="A6" s="1568" t="s">
        <v>1822</v>
      </c>
      <c r="B6" s="1371" t="s">
        <v>922</v>
      </c>
      <c r="C6" s="1029">
        <f>SUMIF(L1:L12,基准地价!G2,M1:M12)</f>
        <v>1020</v>
      </c>
      <c r="D6" s="1372" t="s">
        <v>1686</v>
      </c>
      <c r="E6" s="1373"/>
      <c r="F6" s="1373"/>
      <c r="G6" s="1374"/>
      <c r="H6" s="1374"/>
      <c r="I6" s="1374"/>
      <c r="J6" s="1375"/>
      <c r="K6" s="3225"/>
      <c r="L6" s="1799" t="s">
        <v>2190</v>
      </c>
      <c r="M6" s="1800">
        <f>SUMPRODUCT((区片价!B110:B157=I2)*(区片价!C3:F3=E2)*(区片价!C110:F157))</f>
        <v>0</v>
      </c>
      <c r="N6" s="1801">
        <f>SUMPRODUCT((因素修正幅度!B110:B157=I2)*(因素修正幅度!C3:F3=E2)*(因素修正幅度!C110:F157))</f>
        <v>0</v>
      </c>
      <c r="O6" s="3225"/>
      <c r="P6" s="3228"/>
      <c r="Q6" s="2070"/>
      <c r="R6" s="2651">
        <v>5</v>
      </c>
      <c r="S6" s="2651">
        <f>ROUND(IF(G3&gt;1,IF(R6&lt;7,SUMPRODUCT((B93:B98=R6)*(C92:N92=G2)*(C93:N98)),SUMIF(C92:N92,G2,C100:N100)),IF(R6&lt;7,SUMPRODUCT((B102:B107=R6)*(C92:N92=G2)*(C102:N107)),SUMIF(C92:N92,G2,C109:N109))),4)</f>
        <v>0.56589999999999996</v>
      </c>
      <c r="T6" s="2651">
        <f t="shared" ca="1" si="0"/>
        <v>854</v>
      </c>
      <c r="U6" s="2640"/>
      <c r="V6" s="2651">
        <f t="shared" ca="1" si="1"/>
        <v>0</v>
      </c>
      <c r="W6" s="2070"/>
      <c r="X6" s="2070"/>
      <c r="Y6" s="2070"/>
      <c r="Z6" s="2070"/>
      <c r="AA6" s="2070"/>
      <c r="AB6" s="2070"/>
      <c r="AC6" s="2072"/>
      <c r="AD6" s="1368"/>
      <c r="AE6" s="1368"/>
      <c r="AF6" s="1368"/>
      <c r="AG6" s="1368"/>
      <c r="AH6" s="1368"/>
      <c r="AI6" s="1368"/>
      <c r="AJ6" s="1369"/>
    </row>
    <row r="7" spans="1:39" ht="24">
      <c r="A7" s="3593" t="str">
        <f>IF(E2="商业",IF(C8="不临58条商业街","",2),"")</f>
        <v/>
      </c>
      <c r="B7" s="1376" t="s">
        <v>923</v>
      </c>
      <c r="C7" s="1030" t="e">
        <f>IF(C8="不临58条商业街",1,ROUND(1+(1.6*E8+1.2*E9+0.8*E10+0.4*E11)*C9,4))</f>
        <v>#DIV/0!</v>
      </c>
      <c r="D7" s="1377" t="s">
        <v>924</v>
      </c>
      <c r="E7" s="1031"/>
      <c r="F7" s="1378"/>
      <c r="G7" s="1379"/>
      <c r="H7" s="1379"/>
      <c r="I7" s="1379"/>
      <c r="J7" s="1380"/>
      <c r="K7" s="3225"/>
      <c r="L7" s="1799" t="s">
        <v>2191</v>
      </c>
      <c r="M7" s="1800">
        <f>SUMPRODUCT((区片价!B158:B205=I2)*(区片价!C3:F3=E2)*(区片价!C158:F205))</f>
        <v>0</v>
      </c>
      <c r="N7" s="1801">
        <f>SUMPRODUCT((因素修正幅度!B158:B205=I2)*(因素修正幅度!C3:F3=E2)*(因素修正幅度!C158:F205))</f>
        <v>0</v>
      </c>
      <c r="O7" s="3225"/>
      <c r="P7" s="3228"/>
      <c r="Q7" s="2070"/>
      <c r="R7" s="2651">
        <v>6</v>
      </c>
      <c r="S7" s="2651">
        <f>ROUND(IF(G3&gt;1,IF(R7&lt;7,SUMPRODUCT((B93:B98=R7)*(C92:N92=G2)*(C93:N98)),SUMIF(C92:N92,G2,C100:N100)),IF(R7&lt;7,SUMPRODUCT((B102:B107=R7)*(C92:N92=G2)*(C102:N107)),SUMIF(C92:N92,G2,C109:N109))),4)</f>
        <v>0.45250000000000001</v>
      </c>
      <c r="T7" s="2651">
        <f t="shared" ca="1" si="0"/>
        <v>683</v>
      </c>
      <c r="U7" s="2640"/>
      <c r="V7" s="2651">
        <f t="shared" ca="1" si="1"/>
        <v>0</v>
      </c>
      <c r="W7" s="2649" t="s">
        <v>2697</v>
      </c>
      <c r="X7" s="2641" t="str">
        <f>G2</f>
        <v>八级</v>
      </c>
      <c r="Y7" s="2641" t="s">
        <v>2698</v>
      </c>
      <c r="Z7" s="2642">
        <f>G3</f>
        <v>1</v>
      </c>
      <c r="AA7" s="2073"/>
      <c r="AB7" s="2073"/>
      <c r="AC7" s="2074"/>
      <c r="AD7" s="2643"/>
      <c r="AE7" s="2643"/>
      <c r="AF7" s="2643"/>
      <c r="AG7" s="2643"/>
      <c r="AH7" s="2643"/>
      <c r="AI7" s="2643"/>
      <c r="AJ7" s="2644"/>
    </row>
    <row r="8" spans="1:39" ht="15">
      <c r="A8" s="3594"/>
      <c r="B8" s="1363" t="s">
        <v>925</v>
      </c>
      <c r="C8" s="1469"/>
      <c r="D8" s="1032" t="s">
        <v>926</v>
      </c>
      <c r="E8" s="1033" t="e">
        <f>ROUND(C11/E7,4)</f>
        <v>#DIV/0!</v>
      </c>
      <c r="F8" s="1381" t="s">
        <v>927</v>
      </c>
      <c r="G8" s="1382"/>
      <c r="H8" s="1382"/>
      <c r="I8" s="1382"/>
      <c r="J8" s="1383"/>
      <c r="K8" s="3225"/>
      <c r="L8" s="1799" t="s">
        <v>2192</v>
      </c>
      <c r="M8" s="1800">
        <f>SUMPRODUCT((区片价!B206:B244=I2)*(区片价!C3:F3=E2)*(区片价!C206:F244))</f>
        <v>1020</v>
      </c>
      <c r="N8" s="1801">
        <f>SUMPRODUCT((因素修正幅度!B206:B244=I2)*(因素修正幅度!C3:F3=E2)*(因素修正幅度!C206:F244))</f>
        <v>0.15</v>
      </c>
      <c r="O8" s="3225"/>
      <c r="P8" s="2070"/>
      <c r="Q8" s="2070"/>
      <c r="R8" s="2651">
        <v>7</v>
      </c>
      <c r="S8" s="2640"/>
      <c r="T8" s="2651">
        <f t="shared" ca="1" si="0"/>
        <v>0</v>
      </c>
      <c r="U8" s="2640"/>
      <c r="V8" s="2651">
        <f t="shared" ca="1" si="1"/>
        <v>0</v>
      </c>
      <c r="W8" s="3580" t="s">
        <v>2715</v>
      </c>
      <c r="X8" s="3581"/>
      <c r="Y8" s="1763" t="s">
        <v>2699</v>
      </c>
      <c r="Z8" s="1763" t="s">
        <v>2700</v>
      </c>
      <c r="AA8" s="1763" t="s">
        <v>2701</v>
      </c>
      <c r="AB8" s="1763" t="s">
        <v>2702</v>
      </c>
      <c r="AC8" s="1763" t="s">
        <v>2703</v>
      </c>
      <c r="AD8" s="1763" t="s">
        <v>2704</v>
      </c>
      <c r="AE8" s="1763" t="s">
        <v>2705</v>
      </c>
      <c r="AF8" s="1763" t="s">
        <v>2706</v>
      </c>
      <c r="AG8" s="1763" t="s">
        <v>2707</v>
      </c>
      <c r="AH8" s="1763" t="s">
        <v>2708</v>
      </c>
      <c r="AI8" s="1763" t="s">
        <v>2709</v>
      </c>
      <c r="AJ8" s="1763" t="s">
        <v>2710</v>
      </c>
    </row>
    <row r="9" spans="1:39" ht="15">
      <c r="A9" s="3594"/>
      <c r="B9" s="1363" t="s">
        <v>928</v>
      </c>
      <c r="C9" s="1034">
        <f>SUMIF(修正!C59:C119,C8,修正!E59:E119)</f>
        <v>0</v>
      </c>
      <c r="D9" s="1035" t="s">
        <v>929</v>
      </c>
      <c r="E9" s="1035" t="e">
        <f>ROUND(C11/E7,4)</f>
        <v>#DIV/0!</v>
      </c>
      <c r="F9" s="1381" t="s">
        <v>930</v>
      </c>
      <c r="G9" s="1382"/>
      <c r="H9" s="1382"/>
      <c r="I9" s="1382"/>
      <c r="J9" s="1383"/>
      <c r="K9" s="3225"/>
      <c r="L9" s="1799" t="s">
        <v>2193</v>
      </c>
      <c r="M9" s="1800">
        <f>SUMPRODUCT((区片价!B245:B289=I2)*(区片价!C3:F3=E2)*(区片价!C245:F289))</f>
        <v>0</v>
      </c>
      <c r="N9" s="1801">
        <f>SUMPRODUCT((因素修正幅度!B245:B289=I2)*(因素修正幅度!C3:F3=E2)*(因素修正幅度!C245:F289))</f>
        <v>0</v>
      </c>
      <c r="O9" s="3225"/>
      <c r="P9" s="2070"/>
      <c r="Q9" s="2070"/>
      <c r="R9" s="2651">
        <v>8</v>
      </c>
      <c r="S9" s="2640"/>
      <c r="T9" s="2651">
        <f t="shared" ca="1" si="0"/>
        <v>0</v>
      </c>
      <c r="U9" s="2640"/>
      <c r="V9" s="2651">
        <f t="shared" ca="1" si="1"/>
        <v>0</v>
      </c>
      <c r="W9" s="3579" t="s">
        <v>2711</v>
      </c>
      <c r="X9" s="2645" t="s">
        <v>2712</v>
      </c>
      <c r="Y9" s="2780"/>
      <c r="Z9" s="2646">
        <f t="shared" ref="Z9:AJ9" si="2">$Y$9</f>
        <v>0</v>
      </c>
      <c r="AA9" s="2646">
        <f t="shared" si="2"/>
        <v>0</v>
      </c>
      <c r="AB9" s="2646">
        <f t="shared" si="2"/>
        <v>0</v>
      </c>
      <c r="AC9" s="2646">
        <f t="shared" si="2"/>
        <v>0</v>
      </c>
      <c r="AD9" s="2646">
        <f t="shared" si="2"/>
        <v>0</v>
      </c>
      <c r="AE9" s="2646">
        <f t="shared" si="2"/>
        <v>0</v>
      </c>
      <c r="AF9" s="2646">
        <f t="shared" si="2"/>
        <v>0</v>
      </c>
      <c r="AG9" s="2646">
        <f t="shared" si="2"/>
        <v>0</v>
      </c>
      <c r="AH9" s="2646">
        <f t="shared" si="2"/>
        <v>0</v>
      </c>
      <c r="AI9" s="2646">
        <f t="shared" si="2"/>
        <v>0</v>
      </c>
      <c r="AJ9" s="2646">
        <f t="shared" si="2"/>
        <v>0</v>
      </c>
    </row>
    <row r="10" spans="1:39" ht="15">
      <c r="A10" s="3594"/>
      <c r="B10" s="1363" t="s">
        <v>931</v>
      </c>
      <c r="C10" s="1035">
        <f>SUMIF(修正!C59:C119,C8,修正!F59:F119)</f>
        <v>0</v>
      </c>
      <c r="D10" s="1035" t="s">
        <v>932</v>
      </c>
      <c r="E10" s="1035" t="e">
        <f>ROUND(C11/E7,4)</f>
        <v>#DIV/0!</v>
      </c>
      <c r="F10" s="1381" t="s">
        <v>933</v>
      </c>
      <c r="G10" s="1382"/>
      <c r="H10" s="1382"/>
      <c r="I10" s="1382"/>
      <c r="J10" s="1383"/>
      <c r="K10" s="3225"/>
      <c r="L10" s="1799" t="s">
        <v>2194</v>
      </c>
      <c r="M10" s="1800">
        <f>SUMPRODUCT((区片价!B290:B316=I2)*(区片价!C3:F3=E2)*(区片价!C290:F316))</f>
        <v>0</v>
      </c>
      <c r="N10" s="1801">
        <f>SUMPRODUCT((因素修正幅度!B290:B316=I2)*(因素修正幅度!C3:F3=E2)*(因素修正幅度!C290:F316))</f>
        <v>0</v>
      </c>
      <c r="O10" s="3225"/>
      <c r="P10" s="2070"/>
      <c r="Q10" s="2070"/>
      <c r="R10" s="2651">
        <v>9</v>
      </c>
      <c r="S10" s="2640"/>
      <c r="T10" s="2651">
        <f t="shared" ca="1" si="0"/>
        <v>0</v>
      </c>
      <c r="U10" s="2640"/>
      <c r="V10" s="2651">
        <f t="shared" ca="1" si="1"/>
        <v>0</v>
      </c>
      <c r="W10" s="3579"/>
      <c r="X10" s="2645">
        <v>7</v>
      </c>
      <c r="Y10" s="2647">
        <f>(-0.163*(Y9^2)-0.59*Y9+7617)*(10^(-4))</f>
        <v>0.76170000000000004</v>
      </c>
      <c r="Z10" s="2647">
        <f>(-0.163*(Z9^2)-0.59*Z9+7617)*(10^(-4))</f>
        <v>0.76170000000000004</v>
      </c>
      <c r="AA10" s="2647">
        <f>(-0.161*(AA9^2)-7.509*AA9+6533)*(10^(-4))</f>
        <v>0.65329999999999999</v>
      </c>
      <c r="AB10" s="2647">
        <f>(-0.161*(AB9^2)-7.509*AB9+6533)*(10^(-4))</f>
        <v>0.65329999999999999</v>
      </c>
      <c r="AC10" s="2647">
        <f>(-0.161*(AC9^2)-7.509*AC9+6533)*(10^(-4))</f>
        <v>0.65329999999999999</v>
      </c>
      <c r="AD10" s="2647">
        <f>(-0.161*(AD9^2)-7.509*AD9+6533)*(10^(-4))</f>
        <v>0.65329999999999999</v>
      </c>
      <c r="AE10" s="2647">
        <f>(-0.161*(AE9^2)-7.509*AE9+6533)*(10^(-4))</f>
        <v>0.65329999999999999</v>
      </c>
      <c r="AF10" s="2647">
        <f>(-0.214*(AF9^2)-21.991*AF9+4665)*(10^(-4))</f>
        <v>0.46650000000000003</v>
      </c>
      <c r="AG10" s="2647">
        <f>(-0.214*(AG9^2)-21.991*AG9+4665)*(10^(-4))</f>
        <v>0.46650000000000003</v>
      </c>
      <c r="AH10" s="2647">
        <f>(-0.214*(AH9^2)-21.991*AH9+4665)*(10^(-4))</f>
        <v>0.46650000000000003</v>
      </c>
      <c r="AI10" s="2647">
        <f>(-0.214*(AI9^2)-21.991*AI9+4665)*(10^(-4))</f>
        <v>0.46650000000000003</v>
      </c>
      <c r="AJ10" s="2647">
        <f>(-0.214*(AJ9^2)-21.991*AJ9+4665)*(10^(-4))</f>
        <v>0.46650000000000003</v>
      </c>
    </row>
    <row r="11" spans="1:39" ht="15.75" customHeight="1" thickBot="1">
      <c r="A11" s="3594"/>
      <c r="B11" s="1384" t="s">
        <v>934</v>
      </c>
      <c r="C11" s="1036">
        <f>C10/4</f>
        <v>0</v>
      </c>
      <c r="D11" s="1036" t="s">
        <v>935</v>
      </c>
      <c r="E11" s="1036" t="e">
        <f>ROUND(C11/E7,4)</f>
        <v>#DIV/0!</v>
      </c>
      <c r="F11" s="1385" t="s">
        <v>936</v>
      </c>
      <c r="G11" s="1386"/>
      <c r="H11" s="1386"/>
      <c r="I11" s="1386"/>
      <c r="J11" s="1387"/>
      <c r="K11" s="3225"/>
      <c r="L11" s="1799" t="s">
        <v>2195</v>
      </c>
      <c r="M11" s="1800">
        <f>SUMPRODUCT((区片价!B317:B337=I2)*(区片价!C3:F3=E2)*(区片价!C317:F337))</f>
        <v>0</v>
      </c>
      <c r="N11" s="1801">
        <f>SUMPRODUCT((因素修正幅度!B317:B337=I2)*(因素修正幅度!C3:F3=E2)*(因素修正幅度!C317:F337))</f>
        <v>0</v>
      </c>
      <c r="O11" s="3225"/>
      <c r="P11" s="2070"/>
      <c r="Q11" s="2070"/>
      <c r="R11" s="2651">
        <v>10</v>
      </c>
      <c r="S11" s="2640"/>
      <c r="T11" s="2651">
        <f t="shared" ca="1" si="0"/>
        <v>0</v>
      </c>
      <c r="U11" s="2640"/>
      <c r="V11" s="2651">
        <f t="shared" ca="1" si="1"/>
        <v>0</v>
      </c>
      <c r="W11" s="3579" t="s">
        <v>2713</v>
      </c>
      <c r="X11" s="1035" t="s">
        <v>2698</v>
      </c>
      <c r="Y11" s="1582">
        <f>$G$3</f>
        <v>1</v>
      </c>
      <c r="Z11" s="1582">
        <f t="shared" ref="Z11:AJ11" si="3">$G$3</f>
        <v>1</v>
      </c>
      <c r="AA11" s="1582">
        <f t="shared" si="3"/>
        <v>1</v>
      </c>
      <c r="AB11" s="1582">
        <f t="shared" si="3"/>
        <v>1</v>
      </c>
      <c r="AC11" s="1582">
        <f t="shared" si="3"/>
        <v>1</v>
      </c>
      <c r="AD11" s="1582">
        <f t="shared" si="3"/>
        <v>1</v>
      </c>
      <c r="AE11" s="1582">
        <f t="shared" si="3"/>
        <v>1</v>
      </c>
      <c r="AF11" s="1582">
        <f t="shared" si="3"/>
        <v>1</v>
      </c>
      <c r="AG11" s="1582">
        <f t="shared" si="3"/>
        <v>1</v>
      </c>
      <c r="AH11" s="1582">
        <f t="shared" si="3"/>
        <v>1</v>
      </c>
      <c r="AI11" s="1582">
        <f t="shared" si="3"/>
        <v>1</v>
      </c>
      <c r="AJ11" s="1582">
        <f t="shared" si="3"/>
        <v>1</v>
      </c>
    </row>
    <row r="12" spans="1:39" ht="25.5" thickBot="1">
      <c r="A12" s="3593" t="s">
        <v>1823</v>
      </c>
      <c r="B12" s="1388" t="s">
        <v>937</v>
      </c>
      <c r="C12" s="1030">
        <f>ROUND(C15*D15*E15*F15*G15*H15*I15*J15,4)</f>
        <v>1</v>
      </c>
      <c r="D12" s="1389" t="s">
        <v>938</v>
      </c>
      <c r="E12" s="1390"/>
      <c r="F12" s="1390"/>
      <c r="G12" s="1391"/>
      <c r="H12" s="1391"/>
      <c r="I12" s="1391"/>
      <c r="J12" s="1392"/>
      <c r="K12" s="3225"/>
      <c r="L12" s="1802" t="s">
        <v>2196</v>
      </c>
      <c r="M12" s="1803">
        <f>SUMPRODUCT((区片价!B338:B344=I2)*(区片价!C3:F3=E2)*(区片价!C338:F344))</f>
        <v>0</v>
      </c>
      <c r="N12" s="1804">
        <f>SUMPRODUCT((因素修正幅度!B338:B344=I2)*(因素修正幅度!C3:F3=E2)*(因素修正幅度!C338:F344))</f>
        <v>0</v>
      </c>
      <c r="O12" s="3225"/>
      <c r="P12" s="2070"/>
      <c r="Q12" s="2070"/>
      <c r="R12" s="2651">
        <v>11</v>
      </c>
      <c r="S12" s="2640"/>
      <c r="T12" s="2651">
        <f t="shared" ca="1" si="0"/>
        <v>0</v>
      </c>
      <c r="U12" s="2640"/>
      <c r="V12" s="2651">
        <f t="shared" ca="1" si="1"/>
        <v>0</v>
      </c>
      <c r="W12" s="3579"/>
      <c r="X12" s="2648" t="s">
        <v>2714</v>
      </c>
      <c r="Y12" s="2646">
        <f t="shared" ref="Y12:AJ12" si="4">Y9</f>
        <v>0</v>
      </c>
      <c r="Z12" s="2646">
        <f t="shared" si="4"/>
        <v>0</v>
      </c>
      <c r="AA12" s="2646">
        <f t="shared" si="4"/>
        <v>0</v>
      </c>
      <c r="AB12" s="2646">
        <f t="shared" si="4"/>
        <v>0</v>
      </c>
      <c r="AC12" s="2646">
        <f t="shared" si="4"/>
        <v>0</v>
      </c>
      <c r="AD12" s="2646">
        <f t="shared" si="4"/>
        <v>0</v>
      </c>
      <c r="AE12" s="2646">
        <f t="shared" si="4"/>
        <v>0</v>
      </c>
      <c r="AF12" s="2646">
        <f t="shared" si="4"/>
        <v>0</v>
      </c>
      <c r="AG12" s="2646">
        <f t="shared" si="4"/>
        <v>0</v>
      </c>
      <c r="AH12" s="2646">
        <f t="shared" si="4"/>
        <v>0</v>
      </c>
      <c r="AI12" s="2646">
        <f t="shared" si="4"/>
        <v>0</v>
      </c>
      <c r="AJ12" s="2646">
        <f t="shared" si="4"/>
        <v>0</v>
      </c>
    </row>
    <row r="13" spans="1:39" ht="24">
      <c r="A13" s="3595"/>
      <c r="B13" s="1393" t="s">
        <v>1687</v>
      </c>
      <c r="C13" s="1394" t="s">
        <v>1688</v>
      </c>
      <c r="D13" s="1072" t="s">
        <v>1689</v>
      </c>
      <c r="E13" s="1072" t="s">
        <v>1690</v>
      </c>
      <c r="F13" s="1395" t="s">
        <v>939</v>
      </c>
      <c r="G13" s="1396" t="s">
        <v>1633</v>
      </c>
      <c r="H13" s="1397" t="s">
        <v>1633</v>
      </c>
      <c r="I13" s="1398" t="s">
        <v>1633</v>
      </c>
      <c r="J13" s="1399" t="s">
        <v>1633</v>
      </c>
      <c r="K13" s="2837"/>
      <c r="L13" s="2837"/>
      <c r="M13" s="2837"/>
      <c r="N13" s="2837"/>
      <c r="O13" s="2837"/>
      <c r="P13" s="2070"/>
      <c r="Q13" s="2070"/>
      <c r="R13" s="2651">
        <v>12</v>
      </c>
      <c r="S13" s="2640"/>
      <c r="T13" s="2651">
        <f t="shared" ca="1" si="0"/>
        <v>0</v>
      </c>
      <c r="U13" s="2640"/>
      <c r="V13" s="2651">
        <f t="shared" ca="1" si="1"/>
        <v>0</v>
      </c>
      <c r="W13" s="3579"/>
      <c r="X13" s="2648"/>
      <c r="Y13" s="2647">
        <f>(-0.163*(Y12^2)-0.59*Y12+7617)*(10^(-4))/Y11</f>
        <v>0.76170000000000004</v>
      </c>
      <c r="Z13" s="2647">
        <f t="shared" ref="Z13:AJ13" si="5">(-0.163*(Z12^2)-0.59*Z12+7617)*(10^(-4))/Z11</f>
        <v>0.76170000000000004</v>
      </c>
      <c r="AA13" s="2647">
        <f t="shared" si="5"/>
        <v>0.76170000000000004</v>
      </c>
      <c r="AB13" s="2647">
        <f t="shared" si="5"/>
        <v>0.76170000000000004</v>
      </c>
      <c r="AC13" s="2647">
        <f t="shared" si="5"/>
        <v>0.76170000000000004</v>
      </c>
      <c r="AD13" s="2647">
        <f t="shared" si="5"/>
        <v>0.76170000000000004</v>
      </c>
      <c r="AE13" s="2647">
        <f t="shared" si="5"/>
        <v>0.76170000000000004</v>
      </c>
      <c r="AF13" s="2647">
        <f t="shared" si="5"/>
        <v>0.76170000000000004</v>
      </c>
      <c r="AG13" s="2647">
        <f t="shared" si="5"/>
        <v>0.76170000000000004</v>
      </c>
      <c r="AH13" s="2647">
        <f t="shared" si="5"/>
        <v>0.76170000000000004</v>
      </c>
      <c r="AI13" s="2647">
        <f t="shared" si="5"/>
        <v>0.76170000000000004</v>
      </c>
      <c r="AJ13" s="2647">
        <f t="shared" si="5"/>
        <v>0.76170000000000004</v>
      </c>
    </row>
    <row r="14" spans="1:39" ht="12.75" customHeight="1">
      <c r="A14" s="3595"/>
      <c r="B14" s="1400"/>
      <c r="C14" s="1401"/>
      <c r="D14" s="1402"/>
      <c r="E14" s="1402"/>
      <c r="F14" s="1403"/>
      <c r="G14" s="1404" t="s">
        <v>940</v>
      </c>
      <c r="H14" s="1405"/>
      <c r="I14" s="1406"/>
      <c r="J14" s="1407"/>
      <c r="K14" s="3226"/>
      <c r="L14" s="3226"/>
      <c r="M14" s="3226"/>
      <c r="N14" s="3226"/>
      <c r="O14" s="3226"/>
      <c r="P14" s="2070"/>
      <c r="Q14" s="2070"/>
      <c r="R14" s="2651">
        <v>13</v>
      </c>
      <c r="S14" s="2640"/>
      <c r="T14" s="2651">
        <f t="shared" ca="1" si="0"/>
        <v>0</v>
      </c>
      <c r="U14" s="2640"/>
      <c r="V14" s="2651">
        <f t="shared" ca="1" si="1"/>
        <v>0</v>
      </c>
      <c r="W14" s="2070"/>
      <c r="X14" s="2070"/>
      <c r="Y14" s="2070"/>
      <c r="Z14" s="2070"/>
      <c r="AA14" s="2070"/>
      <c r="AB14" s="2070"/>
      <c r="AC14" s="2071"/>
    </row>
    <row r="15" spans="1:39" ht="13.5" customHeight="1" thickBot="1">
      <c r="A15" s="3596"/>
      <c r="B15" s="2842" t="s">
        <v>1691</v>
      </c>
      <c r="C15" s="1036">
        <f>IF(C14="有",1.1,1)</f>
        <v>1</v>
      </c>
      <c r="D15" s="1036">
        <f>IF(D14="有",1.1,1)</f>
        <v>1</v>
      </c>
      <c r="E15" s="1036">
        <f>IF(E14="有",1.1,1)</f>
        <v>1</v>
      </c>
      <c r="F15" s="1036">
        <f>IF(F14="500米范围内",1.2,IF(F14="500-1000米",1.1,1))</f>
        <v>1</v>
      </c>
      <c r="G15" s="2834">
        <v>1</v>
      </c>
      <c r="H15" s="2834">
        <v>1</v>
      </c>
      <c r="I15" s="2834">
        <v>1</v>
      </c>
      <c r="J15" s="2835">
        <v>1</v>
      </c>
      <c r="K15" s="2838"/>
      <c r="L15" s="2838"/>
      <c r="M15" s="2838"/>
      <c r="N15" s="2838"/>
      <c r="O15" s="2838"/>
      <c r="P15" s="2070"/>
      <c r="Q15" s="2070"/>
      <c r="R15" s="2651">
        <v>14</v>
      </c>
      <c r="S15" s="2640"/>
      <c r="T15" s="2651">
        <f t="shared" ca="1" si="0"/>
        <v>0</v>
      </c>
      <c r="U15" s="2640"/>
      <c r="V15" s="2651">
        <f t="shared" ca="1" si="1"/>
        <v>0</v>
      </c>
      <c r="W15" s="2070"/>
      <c r="X15" s="2070"/>
      <c r="Y15" s="2070"/>
      <c r="Z15" s="2070"/>
      <c r="AA15" s="2070"/>
      <c r="AB15" s="2070"/>
      <c r="AC15" s="2071"/>
    </row>
    <row r="16" spans="1:39" ht="24.6" customHeight="1">
      <c r="A16" s="3593" t="s">
        <v>1790</v>
      </c>
      <c r="B16" s="1376" t="s">
        <v>941</v>
      </c>
      <c r="C16" s="1039">
        <f>ROUND(IF(F17="与级别开发程度一致",0,(G17-E17)/C17),0)</f>
        <v>0</v>
      </c>
      <c r="D16" s="3587" t="s">
        <v>945</v>
      </c>
      <c r="E16" s="3588"/>
      <c r="F16" s="3587" t="s">
        <v>942</v>
      </c>
      <c r="G16" s="3588"/>
      <c r="H16" s="1408"/>
      <c r="I16" s="1408"/>
      <c r="J16" s="1408"/>
      <c r="K16" s="1408"/>
      <c r="L16" s="1408"/>
      <c r="M16" s="1408"/>
      <c r="N16" s="1408"/>
      <c r="O16" s="2847"/>
      <c r="P16" s="2070"/>
      <c r="Q16" s="2073"/>
      <c r="R16" s="2651">
        <v>15</v>
      </c>
      <c r="S16" s="2640"/>
      <c r="T16" s="2651">
        <f t="shared" ca="1" si="0"/>
        <v>0</v>
      </c>
      <c r="U16" s="2640"/>
      <c r="V16" s="2651">
        <f t="shared" ca="1" si="1"/>
        <v>0</v>
      </c>
      <c r="W16" s="2073"/>
      <c r="X16" s="2073"/>
      <c r="Y16" s="2073"/>
      <c r="Z16" s="2073"/>
      <c r="AA16" s="2073"/>
      <c r="AB16" s="2073"/>
      <c r="AC16" s="2074"/>
    </row>
    <row r="17" spans="1:40" ht="24.75" thickBot="1">
      <c r="A17" s="3597"/>
      <c r="B17" s="2848" t="s">
        <v>944</v>
      </c>
      <c r="C17" s="2849">
        <f>SUMPRODUCT((修正!A2:A5=E2)*(修正!B1:M1=G2)*(修正!B2:M5))</f>
        <v>1</v>
      </c>
      <c r="D17" s="2850" t="str">
        <f>IF(OR(G2="八级",G2="九级",G2="十级",G2="十一级",G2="十二级"),"五通一平","七通一平")</f>
        <v>五通一平</v>
      </c>
      <c r="E17" s="2840">
        <f>SUMPRODUCT((修正!B1:M1=G2)*(修正!B15:M15))</f>
        <v>155</v>
      </c>
      <c r="F17" s="2841" t="s">
        <v>2963</v>
      </c>
      <c r="G17" s="2840">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1">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4" t="s">
        <v>1781</v>
      </c>
      <c r="B18" s="2843" t="s">
        <v>946</v>
      </c>
      <c r="C18" s="2844">
        <f>SUMIF(修正!C18:C39,E3,修正!E18:E39)</f>
        <v>1</v>
      </c>
      <c r="D18" s="2845"/>
      <c r="E18" s="2846"/>
      <c r="F18" s="2829"/>
      <c r="G18" s="2828"/>
      <c r="H18" s="2828"/>
      <c r="I18" s="2828"/>
      <c r="J18" s="2836"/>
      <c r="K18" s="3224"/>
      <c r="L18" s="2828"/>
      <c r="M18" s="2828"/>
      <c r="N18" s="2828"/>
      <c r="O18" s="2828"/>
      <c r="P18" s="3229"/>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1787</v>
      </c>
      <c r="B19" s="1411" t="s">
        <v>947</v>
      </c>
      <c r="C19" s="1040">
        <f>ROUND(IF(H19="按公示增长率计算",SUMPRODUCT((地价!A3:A31=YEAR(G19)&amp;"-"&amp;ROUNDUP(MONTH(G19)/3,0))*(地价!X2:AB2=E2)*(地价!X3:AB31)),IF(H19="地价指数",M20/M19,(1+I19)^O19)),4)</f>
        <v>1.4069</v>
      </c>
      <c r="D19" s="1415" t="s">
        <v>948</v>
      </c>
      <c r="E19" s="1041">
        <v>41640</v>
      </c>
      <c r="F19" s="1415" t="s">
        <v>949</v>
      </c>
      <c r="G19" s="1042">
        <f>'数据-取费表'!B2</f>
        <v>44097</v>
      </c>
      <c r="H19" s="1416" t="s">
        <v>2966</v>
      </c>
      <c r="I19" s="2500" t="str">
        <f>IF(H19="季度增幅（自定义）",SUMIF(N21:N24,E2,O21:O24),"")</f>
        <v/>
      </c>
      <c r="J19" s="1412"/>
      <c r="K19" s="3224"/>
      <c r="L19" s="2747" t="s">
        <v>2772</v>
      </c>
      <c r="M19" s="2748">
        <f>ROUND(SUMIF(地价!B2:F2,E2,地价!B31:F31),0)</f>
        <v>230</v>
      </c>
      <c r="N19" s="2502" t="s">
        <v>1667</v>
      </c>
      <c r="O19" s="2501">
        <f>ROUNDDOWN(DATEDIF(E19,G19,"M")/3,0)</f>
        <v>26</v>
      </c>
      <c r="P19" s="2074"/>
      <c r="Q19" s="2639"/>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4" t="s">
        <v>1788</v>
      </c>
      <c r="B20" s="2495" t="s">
        <v>962</v>
      </c>
      <c r="C20" s="2496">
        <f ca="1">ROUND(POWER(1+G20,J20-I20)*(POWER(1+G20,I20)-1)/(POWER(1+G20,J20)-1),4)</f>
        <v>1</v>
      </c>
      <c r="D20" s="2497" t="s">
        <v>963</v>
      </c>
      <c r="E20" s="2777">
        <f ca="1">存贷款利率!I4/100</f>
        <v>4.3499999999999997E-2</v>
      </c>
      <c r="F20" s="2497" t="s">
        <v>964</v>
      </c>
      <c r="G20" s="2498">
        <f ca="1">SUMIF(M26:P26,E2,M28:P28)</f>
        <v>4.8000000000000001E-2</v>
      </c>
      <c r="H20" s="2497" t="s">
        <v>965</v>
      </c>
      <c r="I20" s="2493">
        <f>SUMIF('数据-取费表'!C6:C15,E2,'数据-取费表'!F6:F15)/COUNTIF('数据-取费表'!C6:C15,E2)</f>
        <v>50</v>
      </c>
      <c r="J20" s="2499">
        <f>IF(E2="住宅",70,IF(E2="商业",40,50))</f>
        <v>50</v>
      </c>
      <c r="K20" s="2838"/>
      <c r="L20" s="2749" t="s">
        <v>2773</v>
      </c>
      <c r="M20" s="2831">
        <f>ROUND(SUMPRODUCT((地价!A4:A31=YEAR(G19)&amp;"-"&amp;ROUNDUP(MONTH(G19)/3,0))*(地价!B2:F2=E2)*(地价!B4:F31)),0)</f>
        <v>319</v>
      </c>
      <c r="N20" s="2505" t="s">
        <v>2578</v>
      </c>
      <c r="O20" s="2503" t="s">
        <v>2577</v>
      </c>
      <c r="P20" s="2504" t="s">
        <v>2583</v>
      </c>
      <c r="Q20" s="2639"/>
      <c r="R20" s="2076"/>
      <c r="S20" s="2076"/>
      <c r="T20" s="2076"/>
      <c r="U20" s="2076"/>
      <c r="V20" s="2076"/>
      <c r="W20" s="2076"/>
      <c r="X20" s="2076"/>
      <c r="Y20" s="1413"/>
      <c r="Z20" s="1413"/>
      <c r="AA20" s="1413"/>
      <c r="AB20" s="1413"/>
      <c r="AC20" s="1413"/>
      <c r="AD20" s="1413"/>
    </row>
    <row r="21" spans="1:40" s="1370" customFormat="1" ht="14.25">
      <c r="A21" s="1571" t="s">
        <v>1789</v>
      </c>
      <c r="B21" s="1421" t="s">
        <v>2955</v>
      </c>
      <c r="C21" s="1141">
        <f>IF(B21="容积率修正",IF(G3&lt;=10,D22,J22),C23)</f>
        <v>1</v>
      </c>
      <c r="D21" s="1422"/>
      <c r="E21" s="1422"/>
      <c r="F21" s="1422"/>
      <c r="G21" s="1422"/>
      <c r="H21" s="1422"/>
      <c r="I21" s="1422"/>
      <c r="J21" s="1423"/>
      <c r="K21" s="3224"/>
      <c r="L21" s="1422"/>
      <c r="M21" s="1422"/>
      <c r="N21" s="1419" t="s">
        <v>966</v>
      </c>
      <c r="O21" s="1482"/>
      <c r="P21" s="2492">
        <f>SUMPRODUCT((地价!A3:A31=YEAR(G19)&amp;"-"&amp;ROUNDUP(MONTH(G19)/3,0))*(地价!AD2:AH2=N21)*(地价!AD3:AH31))</f>
        <v>1.2E-2</v>
      </c>
      <c r="Q21" s="2639"/>
      <c r="R21" s="2076"/>
      <c r="S21" s="2076"/>
      <c r="T21" s="2076"/>
      <c r="U21" s="2076"/>
      <c r="V21" s="2076"/>
      <c r="W21" s="2076"/>
      <c r="X21" s="2076"/>
      <c r="Y21" s="1352"/>
      <c r="Z21" s="1352"/>
      <c r="AA21" s="1352"/>
      <c r="AB21" s="1352"/>
      <c r="AC21" s="1413"/>
      <c r="AD21" s="1413"/>
    </row>
    <row r="22" spans="1:40" s="1370" customFormat="1" ht="14.25">
      <c r="A22" s="1572" t="s">
        <v>1822</v>
      </c>
      <c r="B22" s="1424" t="s">
        <v>967</v>
      </c>
      <c r="C22" s="1043" t="s">
        <v>1693</v>
      </c>
      <c r="D22" s="1043">
        <f>IF(E22=G22,F22,IF(G3&lt;=10,ROUND(F22+(H22-F22)*(G3-E22)/(G22-E22),4),"——"))</f>
        <v>1</v>
      </c>
      <c r="E22" s="1026">
        <f>ROUNDDOWN(G3,1)</f>
        <v>1</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26">
        <f>ROUNDUP(G3,1)</f>
        <v>1</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43" t="s">
        <v>968</v>
      </c>
      <c r="J22" s="1043" t="str">
        <f>IF(G3&gt;10,D113,"——")</f>
        <v>——</v>
      </c>
      <c r="K22" s="3230"/>
      <c r="L22" s="1422"/>
      <c r="M22" s="1422"/>
      <c r="N22" s="1419" t="s">
        <v>969</v>
      </c>
      <c r="O22" s="1482"/>
      <c r="P22" s="2492">
        <f>SUMPRODUCT((地价!A3:A31=YEAR(G19)&amp;"-"&amp;ROUNDUP(MONTH(G19)/3,0))*(地价!AD2:AH2=N22)*(地价!AD3:AH31))</f>
        <v>1.2E-2</v>
      </c>
      <c r="Q22" s="2639"/>
      <c r="R22" s="2076"/>
      <c r="S22" s="2076"/>
      <c r="T22" s="2076"/>
      <c r="U22" s="2076"/>
      <c r="V22" s="2076"/>
      <c r="W22" s="2076"/>
      <c r="X22" s="2076"/>
      <c r="Y22" s="1413"/>
      <c r="Z22" s="1413"/>
      <c r="AA22" s="1413"/>
      <c r="AB22" s="1413"/>
      <c r="AC22" s="1413"/>
      <c r="AD22" s="1413"/>
    </row>
    <row r="23" spans="1:40" ht="15.75" thickBot="1">
      <c r="A23" s="1572" t="s">
        <v>1823</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31"/>
      <c r="L23" s="1350"/>
      <c r="M23" s="1350"/>
      <c r="N23" s="1419" t="s">
        <v>914</v>
      </c>
      <c r="O23" s="1482"/>
      <c r="P23" s="2492">
        <f>SUMPRODUCT((地价!A3:A31=YEAR(G19)&amp;"-"&amp;ROUNDUP(MONTH(G19)/3,0))*(地价!AD2:AH2=N23)*(地价!AD3:AH31))</f>
        <v>1.9699999999999999E-2</v>
      </c>
      <c r="Q23" s="2639"/>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1824</v>
      </c>
      <c r="B24" s="1364" t="s">
        <v>971</v>
      </c>
      <c r="C24" s="1045">
        <f>SUMIF(A44:A87,E2,B44:B87)</f>
        <v>1.0516000000000001</v>
      </c>
      <c r="D24" s="1475"/>
      <c r="E24" s="1476"/>
      <c r="F24" s="1476"/>
      <c r="G24" s="1476"/>
      <c r="H24" s="1476"/>
      <c r="I24" s="1476"/>
      <c r="J24" s="1476"/>
      <c r="K24" s="3231"/>
      <c r="L24" s="1422"/>
      <c r="M24" s="1422"/>
      <c r="N24" s="1419" t="s">
        <v>972</v>
      </c>
      <c r="O24" s="2830"/>
      <c r="P24" s="2492">
        <f>SUMPRODUCT((地价!A3:A31=YEAR(G19)&amp;"-"&amp;ROUNDUP(MONTH(G19)/3,0))*(地价!AD2:AH2=N24)*(地价!AD3:AH31))</f>
        <v>1.2699999999999999E-2</v>
      </c>
      <c r="Q24" s="2639"/>
      <c r="R24" s="2076"/>
      <c r="S24" s="2076"/>
      <c r="T24" s="2076"/>
      <c r="U24" s="2076"/>
      <c r="V24" s="2076"/>
      <c r="W24" s="2076"/>
      <c r="X24" s="2076"/>
      <c r="Y24" s="1413"/>
      <c r="Z24" s="1413"/>
      <c r="AA24" s="1413"/>
      <c r="AB24" s="1413"/>
      <c r="AC24" s="1413"/>
      <c r="AD24" s="1413"/>
    </row>
    <row r="25" spans="1:40" ht="15" thickBot="1">
      <c r="A25" s="1570" t="s">
        <v>1825</v>
      </c>
      <c r="B25" s="1426" t="s">
        <v>973</v>
      </c>
      <c r="C25" s="1427"/>
      <c r="D25" s="1379"/>
      <c r="E25" s="1379"/>
      <c r="F25" s="1428"/>
      <c r="G25" s="1379"/>
      <c r="H25" s="1379"/>
      <c r="I25" s="1379"/>
      <c r="J25" s="1380"/>
      <c r="K25" s="3225"/>
      <c r="L25" s="2076"/>
      <c r="M25" s="2076"/>
      <c r="N25" s="2832" t="s">
        <v>2581</v>
      </c>
      <c r="O25" s="2833"/>
      <c r="P25" s="2302">
        <f>SUMPRODUCT((地价!A3:A31=YEAR(G19)&amp;"-"&amp;ROUNDUP(MONTH(G19)/3,0))*(地价!AD2:AH2=N25)*(地价!AD3:AH31))</f>
        <v>1.7899999999999999E-2</v>
      </c>
      <c r="Q25" s="2639"/>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977</v>
      </c>
      <c r="C26" s="3011">
        <f ca="1">IF(B21="容积率修正",E29+SUM(E33:E39),SUM(V2:V16)+SUM(E33:E39))</f>
        <v>988</v>
      </c>
      <c r="D26" s="1430"/>
      <c r="E26" s="1405"/>
      <c r="F26" s="1431"/>
      <c r="G26" s="1405"/>
      <c r="H26" s="1405"/>
      <c r="I26" s="1405"/>
      <c r="J26" s="1432"/>
      <c r="K26" s="3225"/>
      <c r="L26" s="1529" t="s">
        <v>889</v>
      </c>
      <c r="M26" s="1377" t="s">
        <v>974</v>
      </c>
      <c r="N26" s="1377" t="s">
        <v>975</v>
      </c>
      <c r="O26" s="1377" t="s">
        <v>893</v>
      </c>
      <c r="P26" s="1417" t="s">
        <v>976</v>
      </c>
      <c r="Q26" s="2639"/>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 ca="1">E30+SUM(I33:I39)</f>
        <v>0</v>
      </c>
      <c r="D27" s="1434"/>
      <c r="E27" s="1435"/>
      <c r="F27" s="1436"/>
      <c r="G27" s="1435"/>
      <c r="H27" s="1435"/>
      <c r="I27" s="1435"/>
      <c r="J27" s="1437"/>
      <c r="K27" s="3225"/>
      <c r="L27" s="1409" t="s">
        <v>978</v>
      </c>
      <c r="M27" s="1034">
        <v>0.25</v>
      </c>
      <c r="N27" s="1034">
        <v>0.2</v>
      </c>
      <c r="O27" s="1034">
        <v>0.15</v>
      </c>
      <c r="P27" s="1479">
        <v>0.1</v>
      </c>
      <c r="Q27" s="2076"/>
      <c r="R27" s="2639"/>
      <c r="S27" s="2639"/>
      <c r="T27" s="2639"/>
      <c r="U27" s="2639"/>
      <c r="V27" s="2639"/>
      <c r="W27" s="2076"/>
      <c r="X27" s="2076"/>
      <c r="Y27" s="2076"/>
      <c r="Z27" s="2076"/>
      <c r="AA27" s="2076"/>
      <c r="AB27" s="2076"/>
      <c r="AC27" s="2076"/>
    </row>
    <row r="28" spans="1:40" ht="15" thickBot="1">
      <c r="A28" s="1425"/>
      <c r="B28" s="1438" t="s">
        <v>980</v>
      </c>
      <c r="C28" s="1439" t="s">
        <v>981</v>
      </c>
      <c r="D28" s="1439" t="s">
        <v>982</v>
      </c>
      <c r="E28" s="1440" t="s">
        <v>983</v>
      </c>
      <c r="F28" s="1441"/>
      <c r="G28" s="1391"/>
      <c r="H28" s="1391"/>
      <c r="I28" s="1391"/>
      <c r="J28" s="1392"/>
      <c r="K28" s="3225"/>
      <c r="L28" s="1410" t="s">
        <v>964</v>
      </c>
      <c r="M28" s="1480">
        <f ca="1">ROUND($E$20*(1+M27),3)</f>
        <v>5.3999999999999999E-2</v>
      </c>
      <c r="N28" s="1480">
        <f ca="1">ROUND($E$20*(1+N27),3)</f>
        <v>5.1999999999999998E-2</v>
      </c>
      <c r="O28" s="1480">
        <f ca="1">ROUND($E$20*(1+O27),3)</f>
        <v>0.05</v>
      </c>
      <c r="P28" s="1481">
        <f ca="1">ROUND($E$20*(1+P27),3)</f>
        <v>4.8000000000000001E-2</v>
      </c>
      <c r="Q28" s="2076"/>
      <c r="R28" s="2639"/>
      <c r="S28" s="2639"/>
      <c r="T28" s="2639"/>
      <c r="U28" s="2639"/>
      <c r="V28" s="2639"/>
      <c r="W28" s="2076"/>
      <c r="X28" s="2076"/>
      <c r="Y28" s="2076"/>
      <c r="Z28" s="2076"/>
      <c r="AA28" s="2076"/>
      <c r="AB28" s="2076"/>
      <c r="AC28" s="2076"/>
      <c r="AD28" s="1413"/>
      <c r="AE28" s="1413"/>
      <c r="AF28" s="1413"/>
      <c r="AG28" s="1413"/>
    </row>
    <row r="29" spans="1:40" ht="14.25">
      <c r="A29" s="1442"/>
      <c r="B29" s="1443" t="s">
        <v>984</v>
      </c>
      <c r="C29" s="1046">
        <f ca="1">ROUND(C5*C18*C19*C20*C21*C24,0)</f>
        <v>1509</v>
      </c>
      <c r="D29" s="1444">
        <f>'数据-基础表'!B3</f>
        <v>6546.1</v>
      </c>
      <c r="E29" s="1763">
        <f ca="1">ROUND(C29*D29/10000,0)</f>
        <v>988</v>
      </c>
      <c r="F29" s="1445" t="s">
        <v>1692</v>
      </c>
      <c r="G29" s="1446"/>
      <c r="H29" s="1446"/>
      <c r="I29" s="1446"/>
      <c r="J29" s="1447"/>
      <c r="K29" s="3232"/>
      <c r="L29" s="3232"/>
      <c r="M29" s="3232"/>
      <c r="N29" s="3232"/>
      <c r="O29" s="3232"/>
      <c r="P29" s="2070"/>
      <c r="Q29" s="2076"/>
      <c r="R29" s="2076"/>
      <c r="S29" s="2076"/>
      <c r="T29" s="2076"/>
      <c r="U29" s="2076"/>
      <c r="V29" s="2076"/>
      <c r="W29" s="2639"/>
      <c r="X29" s="2639"/>
      <c r="Y29" s="2639"/>
      <c r="Z29" s="2639"/>
      <c r="AA29" s="2639"/>
      <c r="AB29" s="2076"/>
      <c r="AC29" s="2076"/>
      <c r="AD29" s="2076"/>
      <c r="AE29" s="2076"/>
      <c r="AF29" s="2076"/>
      <c r="AG29" s="2076"/>
      <c r="AH29" s="2076"/>
      <c r="AJ29" s="1352"/>
      <c r="AK29" s="1352"/>
      <c r="AL29" s="1352"/>
      <c r="AM29" s="1351"/>
      <c r="AN29" s="1351"/>
    </row>
    <row r="30" spans="1:40" ht="24.75" thickBot="1">
      <c r="A30" s="1448"/>
      <c r="B30" s="1449" t="s">
        <v>985</v>
      </c>
      <c r="C30" s="1038">
        <f ca="1">ROUND(IF(E2="工业",C29*M39,C29*M38),0)</f>
        <v>226</v>
      </c>
      <c r="D30" s="1450"/>
      <c r="E30" s="1763">
        <f ca="1">ROUND(C30*D30/10000,0)</f>
        <v>0</v>
      </c>
      <c r="F30" s="1451" t="s">
        <v>986</v>
      </c>
      <c r="G30" s="1452"/>
      <c r="H30" s="1452"/>
      <c r="I30" s="1452"/>
      <c r="J30" s="1453"/>
      <c r="K30" s="3225"/>
      <c r="L30" s="3225"/>
      <c r="M30" s="3225"/>
      <c r="N30" s="3225"/>
      <c r="O30" s="3225"/>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987</v>
      </c>
      <c r="C31" s="1456" t="s">
        <v>988</v>
      </c>
      <c r="D31" s="1391"/>
      <c r="E31" s="1456"/>
      <c r="F31" s="1456"/>
      <c r="G31" s="1389" t="s">
        <v>986</v>
      </c>
      <c r="H31" s="1391"/>
      <c r="I31" s="1457"/>
      <c r="J31" s="1392"/>
      <c r="K31" s="3225"/>
      <c r="L31" s="3225"/>
      <c r="M31" s="3225"/>
      <c r="N31" s="3225"/>
      <c r="O31" s="3225"/>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33"/>
      <c r="L32" s="3233"/>
      <c r="M32" s="3233"/>
      <c r="N32" s="3233"/>
      <c r="O32" s="3233"/>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3589"/>
      <c r="B33" s="1464" t="s">
        <v>990</v>
      </c>
      <c r="C33" s="1046">
        <f ca="1">ROUND(D5*C19*C20*C24*F33,0)</f>
        <v>905</v>
      </c>
      <c r="D33" s="1477"/>
      <c r="E33" s="1035">
        <f ca="1">ROUND(C33*D33/10000,0)</f>
        <v>0</v>
      </c>
      <c r="F33" s="1035">
        <f>SUMIF(修正!A45:A56,G2,修正!B45:B56)</f>
        <v>0.6</v>
      </c>
      <c r="G33" s="1035">
        <f ca="1">ROUND(IF(E2="工业",C33*$M$39,C33*$M$38),0)</f>
        <v>136</v>
      </c>
      <c r="H33" s="1035">
        <f>D33</f>
        <v>0</v>
      </c>
      <c r="I33" s="1035">
        <f ca="1">ROUND(G33*H33/10000,0)</f>
        <v>0</v>
      </c>
      <c r="J33" s="3589" t="s">
        <v>2938</v>
      </c>
      <c r="K33" s="2837"/>
      <c r="L33" s="2837"/>
      <c r="M33" s="2837"/>
      <c r="N33" s="2837"/>
      <c r="O33" s="2837"/>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3590"/>
      <c r="B34" s="1394" t="s">
        <v>991</v>
      </c>
      <c r="C34" s="1046">
        <f ca="1">ROUND(D5*C19*C20*C24*F34,0)</f>
        <v>453</v>
      </c>
      <c r="D34" s="1477"/>
      <c r="E34" s="1035">
        <f t="shared" ref="E34:E39" ca="1" si="6">ROUND(C34*D34/10000,0)</f>
        <v>0</v>
      </c>
      <c r="F34" s="1035">
        <f>SUMIF(修正!A45:A56,G2,修正!C45:C56)</f>
        <v>0.3</v>
      </c>
      <c r="G34" s="1035">
        <f ca="1">ROUND(IF(E2="工业",C34*$M$39,C34*$M$38),0)</f>
        <v>68</v>
      </c>
      <c r="H34" s="1035">
        <f t="shared" ref="H34:H39" si="7">D34</f>
        <v>0</v>
      </c>
      <c r="I34" s="1035">
        <f t="shared" ref="I34:I39" ca="1" si="8">ROUND(G34*H34/10000,0)</f>
        <v>0</v>
      </c>
      <c r="J34" s="3590"/>
      <c r="K34" s="2837"/>
      <c r="L34" s="2837"/>
      <c r="M34" s="2837"/>
      <c r="N34" s="2837"/>
      <c r="O34" s="2837"/>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3590"/>
      <c r="B35" s="1394" t="s">
        <v>992</v>
      </c>
      <c r="C35" s="1046">
        <f ca="1">ROUND(D5*C19*C20*C24*F35,0)</f>
        <v>302</v>
      </c>
      <c r="D35" s="1477"/>
      <c r="E35" s="1035">
        <f t="shared" ca="1" si="6"/>
        <v>0</v>
      </c>
      <c r="F35" s="1035">
        <f>SUMIF(修正!A45:A56,G2,修正!D45:D56)</f>
        <v>0.2</v>
      </c>
      <c r="G35" s="1035">
        <f ca="1">ROUND(IF(E2="工业",C35*$M$39,C35*$M$38),0)</f>
        <v>45</v>
      </c>
      <c r="H35" s="1035">
        <f t="shared" si="7"/>
        <v>0</v>
      </c>
      <c r="I35" s="1035">
        <f t="shared" ca="1" si="8"/>
        <v>0</v>
      </c>
      <c r="J35" s="3590"/>
      <c r="K35" s="2837"/>
      <c r="L35" s="2837"/>
      <c r="M35" s="2837"/>
      <c r="N35" s="2837"/>
      <c r="O35" s="2837"/>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3591"/>
      <c r="B36" s="1394" t="s">
        <v>993</v>
      </c>
      <c r="C36" s="1046">
        <f ca="1">ROUND(D5*C19*C20*C24*F36,0)</f>
        <v>302</v>
      </c>
      <c r="D36" s="1477"/>
      <c r="E36" s="1035">
        <f t="shared" ca="1" si="6"/>
        <v>0</v>
      </c>
      <c r="F36" s="1035">
        <f>SUMIF(修正!A45:A56,G2,修正!E45:E56)</f>
        <v>0.2</v>
      </c>
      <c r="G36" s="1035">
        <f ca="1">ROUND(IF(E2="工业",C36*$M$39,C36*$M$38),0)</f>
        <v>45</v>
      </c>
      <c r="H36" s="1035">
        <f t="shared" si="7"/>
        <v>0</v>
      </c>
      <c r="I36" s="1035">
        <f t="shared" ca="1" si="8"/>
        <v>0</v>
      </c>
      <c r="J36" s="3591"/>
      <c r="K36" s="2837"/>
      <c r="L36" s="2837"/>
      <c r="M36" s="2837"/>
      <c r="N36" s="2837"/>
      <c r="O36" s="2837"/>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994</v>
      </c>
      <c r="C37" s="1035">
        <f ca="1">ROUND(D5*C19*C20*C24*F37,0)</f>
        <v>302</v>
      </c>
      <c r="D37" s="1477"/>
      <c r="E37" s="1035">
        <f t="shared" ca="1" si="6"/>
        <v>0</v>
      </c>
      <c r="F37" s="1046">
        <f>SUMIF(修正!A45:A56,G2,修正!F45:F56)</f>
        <v>0.2</v>
      </c>
      <c r="G37" s="1035">
        <f ca="1">ROUND(IF(E2="工业",C37*$M$39,C37*$M$38),0)</f>
        <v>45</v>
      </c>
      <c r="H37" s="1035">
        <f t="shared" si="7"/>
        <v>0</v>
      </c>
      <c r="I37" s="1035">
        <f t="shared" ca="1" si="8"/>
        <v>0</v>
      </c>
      <c r="J37" s="1465"/>
      <c r="K37" s="2070"/>
      <c r="L37" s="1483" t="s">
        <v>1694</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995</v>
      </c>
      <c r="C38" s="1035">
        <f ca="1">ROUND(D5*C19*C41*C24*F38,0)</f>
        <v>0</v>
      </c>
      <c r="D38" s="1477"/>
      <c r="E38" s="1035">
        <f t="shared" ca="1" si="6"/>
        <v>0</v>
      </c>
      <c r="F38" s="1046">
        <f>SUMIF(修正!A45:A56,G2,修正!G45:G56)</f>
        <v>0.2</v>
      </c>
      <c r="G38" s="1035">
        <f ca="1">ROUND(IF(E2="工业",C38*$M$39,C38*$M$38),0)</f>
        <v>0</v>
      </c>
      <c r="H38" s="1035">
        <f t="shared" si="7"/>
        <v>0</v>
      </c>
      <c r="I38" s="1035">
        <f t="shared" ca="1" si="8"/>
        <v>0</v>
      </c>
      <c r="J38" s="1465"/>
      <c r="K38" s="2070"/>
      <c r="L38" s="1485" t="s">
        <v>1696</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996</v>
      </c>
      <c r="C39" s="1038">
        <f ca="1">ROUND(D5*C19*C41*C24*F39,0)</f>
        <v>0</v>
      </c>
      <c r="D39" s="1478"/>
      <c r="E39" s="1038">
        <f t="shared" ca="1" si="6"/>
        <v>0</v>
      </c>
      <c r="F39" s="1048">
        <f>SUMIF(修正!A45:A56,G2,修正!H45:H56)</f>
        <v>0.15</v>
      </c>
      <c r="G39" s="1038">
        <f ca="1">ROUND(IF(E2="工业",C39*$M$39,C39*$M$38),0)</f>
        <v>0</v>
      </c>
      <c r="H39" s="1038">
        <f t="shared" si="7"/>
        <v>0</v>
      </c>
      <c r="I39" s="1038">
        <f t="shared" ca="1" si="8"/>
        <v>0</v>
      </c>
      <c r="J39" s="1467"/>
      <c r="K39" s="2070"/>
      <c r="L39" s="1487" t="s">
        <v>1695</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27" t="s">
        <v>2895</v>
      </c>
      <c r="C41" s="828">
        <f ca="1">ROUND(POWER(1+E41,H41-G41)*(POWER(1+E41,G41)-1)/(POWER(1+E41,H41)-1),4)</f>
        <v>0</v>
      </c>
      <c r="D41" s="372" t="s">
        <v>2893</v>
      </c>
      <c r="E41" s="2826">
        <f ca="1">G20</f>
        <v>4.8000000000000001E-2</v>
      </c>
      <c r="F41" s="372" t="s">
        <v>2894</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c r="A46" s="1050" t="s">
        <v>999</v>
      </c>
      <c r="B46" s="2263" t="s">
        <v>1000</v>
      </c>
      <c r="C46" s="2285" t="s">
        <v>1001</v>
      </c>
      <c r="D46" s="2286" t="s">
        <v>1002</v>
      </c>
      <c r="E46" s="2287" t="s">
        <v>1004</v>
      </c>
      <c r="F46" s="2288" t="s">
        <v>2197</v>
      </c>
      <c r="G46" s="2286" t="s">
        <v>1005</v>
      </c>
      <c r="H46" s="2269" t="s">
        <v>2357</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c r="A47" s="1050" t="s">
        <v>1011</v>
      </c>
      <c r="B47" s="2266" t="str">
        <f>估价对象房地状况!C16</f>
        <v>估价对象位于XX商圈，周边商业氛围成熟，人流量大，商业繁华度好</v>
      </c>
      <c r="C47" s="1037"/>
      <c r="D47" s="2272">
        <f t="shared" ref="D47:D55" si="9">SUMIF($J$46:$N$46,C47,J47:N47)</f>
        <v>0</v>
      </c>
      <c r="E47" s="2291">
        <f>ROUND(SUM(D47:D55),4)</f>
        <v>0</v>
      </c>
      <c r="F47" s="2292" t="str">
        <f>IF(E2="商业",SUMIF(L1:L12,G2,N1:N12),"——")</f>
        <v>——</v>
      </c>
      <c r="G47" s="2270"/>
      <c r="H47" s="2315" t="str">
        <f t="shared" ref="H47:H55" si="10">IFERROR(ROUNDDOWN(($F$47*I47/2),4),"——")</f>
        <v>——</v>
      </c>
      <c r="I47" s="2290">
        <v>0.33</v>
      </c>
      <c r="J47" s="2293">
        <f t="shared" ref="J47:J55" si="11">K47+$G47</f>
        <v>0</v>
      </c>
      <c r="K47" s="2293">
        <f t="shared" ref="K47:K55" si="12">$L47+$G47</f>
        <v>0</v>
      </c>
      <c r="L47" s="2293">
        <v>0</v>
      </c>
      <c r="M47" s="2293">
        <f t="shared" ref="M47:N55" si="13">L47-$G47</f>
        <v>0</v>
      </c>
      <c r="N47" s="2293">
        <f t="shared" si="13"/>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72">
      <c r="A48" s="1050" t="s">
        <v>1012</v>
      </c>
      <c r="B48" s="2263" t="str">
        <f>估价对象房地状况!C18</f>
        <v>估价对象周边有顺2路、顺27路、顺28路、顺38路、顺43路、顺59路、顺60路等多条公交线路，距地铁15号线（南法信站）约500米，综合评价交通便捷度较好</v>
      </c>
      <c r="C48" s="1037"/>
      <c r="D48" s="2272">
        <f t="shared" si="9"/>
        <v>0</v>
      </c>
      <c r="E48" s="2294"/>
      <c r="F48" s="2292"/>
      <c r="G48" s="2270"/>
      <c r="H48" s="2315" t="str">
        <f t="shared" si="10"/>
        <v>——</v>
      </c>
      <c r="I48" s="2290">
        <v>0.25</v>
      </c>
      <c r="J48" s="2293">
        <f t="shared" si="11"/>
        <v>0</v>
      </c>
      <c r="K48" s="2293">
        <f t="shared" si="12"/>
        <v>0</v>
      </c>
      <c r="L48" s="2293">
        <v>0</v>
      </c>
      <c r="M48" s="2293">
        <f t="shared" si="13"/>
        <v>0</v>
      </c>
      <c r="N48" s="2293">
        <f t="shared" si="13"/>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c r="A49" s="1050" t="s">
        <v>1013</v>
      </c>
      <c r="B49" s="2263">
        <f>估价对象房地状况!C19</f>
        <v>0</v>
      </c>
      <c r="C49" s="1037"/>
      <c r="D49" s="2272">
        <f t="shared" si="9"/>
        <v>0</v>
      </c>
      <c r="E49" s="2294"/>
      <c r="F49" s="2292"/>
      <c r="G49" s="2270"/>
      <c r="H49" s="2315" t="str">
        <f t="shared" si="10"/>
        <v>——</v>
      </c>
      <c r="I49" s="2290">
        <v>0.05</v>
      </c>
      <c r="J49" s="2293">
        <f t="shared" si="11"/>
        <v>0</v>
      </c>
      <c r="K49" s="2293">
        <f t="shared" si="12"/>
        <v>0</v>
      </c>
      <c r="L49" s="2293">
        <v>0</v>
      </c>
      <c r="M49" s="2293">
        <f t="shared" si="13"/>
        <v>0</v>
      </c>
      <c r="N49" s="2293">
        <f t="shared" si="13"/>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c r="A50" s="1050" t="s">
        <v>1014</v>
      </c>
      <c r="B50" s="2779" t="s">
        <v>2852</v>
      </c>
      <c r="C50" s="1037"/>
      <c r="D50" s="2272">
        <f t="shared" si="9"/>
        <v>0</v>
      </c>
      <c r="E50" s="2294"/>
      <c r="F50" s="2292"/>
      <c r="G50" s="2270"/>
      <c r="H50" s="2315" t="str">
        <f t="shared" si="10"/>
        <v>——</v>
      </c>
      <c r="I50" s="2290">
        <v>0.05</v>
      </c>
      <c r="J50" s="2293">
        <f t="shared" si="11"/>
        <v>0</v>
      </c>
      <c r="K50" s="2293">
        <f t="shared" si="12"/>
        <v>0</v>
      </c>
      <c r="L50" s="2293">
        <v>0</v>
      </c>
      <c r="M50" s="2293">
        <f t="shared" si="13"/>
        <v>0</v>
      </c>
      <c r="N50" s="2293">
        <f t="shared" si="13"/>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c r="A51" s="1050" t="s">
        <v>1015</v>
      </c>
      <c r="B51" s="2263" t="str">
        <f>估价对象房地状况!C24</f>
        <v>城市次干道——顺余路</v>
      </c>
      <c r="C51" s="1037"/>
      <c r="D51" s="2272">
        <f t="shared" si="9"/>
        <v>0</v>
      </c>
      <c r="E51" s="2294"/>
      <c r="F51" s="2292"/>
      <c r="G51" s="2270"/>
      <c r="H51" s="2315" t="str">
        <f t="shared" si="10"/>
        <v>——</v>
      </c>
      <c r="I51" s="2290">
        <v>0.08</v>
      </c>
      <c r="J51" s="2293">
        <f t="shared" si="11"/>
        <v>0</v>
      </c>
      <c r="K51" s="2293">
        <f t="shared" si="12"/>
        <v>0</v>
      </c>
      <c r="L51" s="2293">
        <v>0</v>
      </c>
      <c r="M51" s="2293">
        <f t="shared" si="13"/>
        <v>0</v>
      </c>
      <c r="N51" s="2293">
        <f t="shared" si="13"/>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c r="A52" s="1050" t="s">
        <v>1016</v>
      </c>
      <c r="B52" s="2778" t="s">
        <v>2851</v>
      </c>
      <c r="C52" s="1037"/>
      <c r="D52" s="2272">
        <f t="shared" si="9"/>
        <v>0</v>
      </c>
      <c r="E52" s="2294"/>
      <c r="F52" s="2292"/>
      <c r="G52" s="2270"/>
      <c r="H52" s="2315" t="str">
        <f t="shared" si="10"/>
        <v>——</v>
      </c>
      <c r="I52" s="2290">
        <v>0.03</v>
      </c>
      <c r="J52" s="2293">
        <f t="shared" si="11"/>
        <v>0</v>
      </c>
      <c r="K52" s="2293">
        <f t="shared" si="12"/>
        <v>0</v>
      </c>
      <c r="L52" s="2293">
        <v>0</v>
      </c>
      <c r="M52" s="2293">
        <f t="shared" si="13"/>
        <v>0</v>
      </c>
      <c r="N52" s="2293">
        <f t="shared" si="13"/>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c r="A53" s="2295" t="s">
        <v>1017</v>
      </c>
      <c r="B53" s="2264" t="str">
        <f>估价对象房地状况!C21</f>
        <v>估价对象所在区域公共配套设施齐备情况一般</v>
      </c>
      <c r="C53" s="1037"/>
      <c r="D53" s="2272">
        <f t="shared" si="9"/>
        <v>0</v>
      </c>
      <c r="E53" s="2294"/>
      <c r="F53" s="2292"/>
      <c r="G53" s="2270"/>
      <c r="H53" s="2315" t="str">
        <f t="shared" si="10"/>
        <v>——</v>
      </c>
      <c r="I53" s="2290">
        <v>0.05</v>
      </c>
      <c r="J53" s="2293">
        <f t="shared" si="11"/>
        <v>0</v>
      </c>
      <c r="K53" s="2293">
        <f t="shared" si="12"/>
        <v>0</v>
      </c>
      <c r="L53" s="2293">
        <v>0</v>
      </c>
      <c r="M53" s="2293">
        <f t="shared" si="13"/>
        <v>0</v>
      </c>
      <c r="N53" s="2293">
        <f t="shared" si="13"/>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c r="A54" s="2295" t="s">
        <v>1018</v>
      </c>
      <c r="B54" s="2263" t="str">
        <f>估价对象房地状况!C22</f>
        <v>估价对象所在区域基础设施水平</v>
      </c>
      <c r="C54" s="1037"/>
      <c r="D54" s="2272">
        <f t="shared" si="9"/>
        <v>0</v>
      </c>
      <c r="E54" s="2294"/>
      <c r="F54" s="2292"/>
      <c r="G54" s="2270"/>
      <c r="H54" s="2315" t="str">
        <f t="shared" si="10"/>
        <v>——</v>
      </c>
      <c r="I54" s="2290">
        <v>0.1</v>
      </c>
      <c r="J54" s="2293">
        <f t="shared" si="11"/>
        <v>0</v>
      </c>
      <c r="K54" s="2293">
        <f t="shared" si="12"/>
        <v>0</v>
      </c>
      <c r="L54" s="2293">
        <v>0</v>
      </c>
      <c r="M54" s="2293">
        <f t="shared" si="13"/>
        <v>0</v>
      </c>
      <c r="N54" s="2293">
        <f t="shared" si="13"/>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48.75" thickBot="1">
      <c r="A55" s="2296" t="s">
        <v>1019</v>
      </c>
      <c r="B55" s="2267" t="str">
        <f>估价对象房地状况!C20</f>
        <v>区域自然环境：小众和；人文环境：国家新闻出版广电总局研修学院；综合评价环境状况一般</v>
      </c>
      <c r="C55" s="1037"/>
      <c r="D55" s="2272">
        <f t="shared" si="9"/>
        <v>0</v>
      </c>
      <c r="E55" s="2298"/>
      <c r="F55" s="2292"/>
      <c r="G55" s="2270"/>
      <c r="H55" s="2315" t="str">
        <f t="shared" si="10"/>
        <v>——</v>
      </c>
      <c r="I55" s="2297">
        <v>0.06</v>
      </c>
      <c r="J55" s="2293">
        <f t="shared" si="11"/>
        <v>0</v>
      </c>
      <c r="K55" s="2293">
        <f t="shared" si="12"/>
        <v>0</v>
      </c>
      <c r="L55" s="2293">
        <v>0</v>
      </c>
      <c r="M55" s="2293">
        <f t="shared" si="13"/>
        <v>0</v>
      </c>
      <c r="N55" s="2293">
        <f t="shared" si="13"/>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c r="A57" s="1050" t="s">
        <v>999</v>
      </c>
      <c r="B57" s="2263"/>
      <c r="C57" s="2285" t="s">
        <v>1001</v>
      </c>
      <c r="D57" s="2286" t="s">
        <v>1002</v>
      </c>
      <c r="E57" s="2287" t="s">
        <v>1004</v>
      </c>
      <c r="F57" s="2288" t="s">
        <v>2198</v>
      </c>
      <c r="G57" s="2286" t="s">
        <v>1005</v>
      </c>
      <c r="H57" s="2269" t="s">
        <v>2357</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c r="A58" s="1050" t="s">
        <v>1021</v>
      </c>
      <c r="B58" s="2266" t="str">
        <f>估价对象房地状况!C17</f>
        <v>估价对象位于XX商圈，周边办公楼项目较多，入驻率高，办公集聚程度较好</v>
      </c>
      <c r="C58" s="1037"/>
      <c r="D58" s="2272">
        <f t="shared" ref="D58:D66" si="14">SUMIF($J$57:$N$57,C58,J58:N58)</f>
        <v>0</v>
      </c>
      <c r="E58" s="2291">
        <f>ROUND(SUM(D58:D66),4)</f>
        <v>0</v>
      </c>
      <c r="F58" s="2292" t="str">
        <f>IF(E2="办公",SUMIF(L1:L12,G2,N1:N12),"——")</f>
        <v>——</v>
      </c>
      <c r="G58" s="2270"/>
      <c r="H58" s="2315" t="str">
        <f>IFERROR(ROUNDDOWN($F$58*I58/2,4),"——")</f>
        <v>——</v>
      </c>
      <c r="I58" s="2290">
        <v>0.24</v>
      </c>
      <c r="J58" s="2293">
        <f t="shared" ref="J58:J66" si="15">K58+$G58</f>
        <v>0</v>
      </c>
      <c r="K58" s="2293">
        <f t="shared" ref="K58:K66" si="16">$L58+$G58</f>
        <v>0</v>
      </c>
      <c r="L58" s="2293">
        <v>0</v>
      </c>
      <c r="M58" s="2293">
        <f t="shared" ref="M58:N66" si="17">L58-$G58</f>
        <v>0</v>
      </c>
      <c r="N58" s="2293">
        <f t="shared" si="17"/>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72">
      <c r="A59" s="1050" t="s">
        <v>1012</v>
      </c>
      <c r="B59" s="2263" t="str">
        <f>估价对象房地状况!C18</f>
        <v>估价对象周边有顺2路、顺27路、顺28路、顺38路、顺43路、顺59路、顺60路等多条公交线路，距地铁15号线（南法信站）约500米，综合评价交通便捷度较好</v>
      </c>
      <c r="C59" s="1037"/>
      <c r="D59" s="2272">
        <f t="shared" si="14"/>
        <v>0</v>
      </c>
      <c r="E59" s="2294"/>
      <c r="F59" s="2292"/>
      <c r="G59" s="2270"/>
      <c r="H59" s="2271" t="str">
        <f t="shared" ref="H59:H66" si="18">IFERROR($F$58*I59/2,"——")</f>
        <v>——</v>
      </c>
      <c r="I59" s="2290">
        <v>0.3</v>
      </c>
      <c r="J59" s="2293">
        <f t="shared" si="15"/>
        <v>0</v>
      </c>
      <c r="K59" s="2293">
        <f t="shared" si="16"/>
        <v>0</v>
      </c>
      <c r="L59" s="2293">
        <v>0</v>
      </c>
      <c r="M59" s="2293">
        <f t="shared" si="17"/>
        <v>0</v>
      </c>
      <c r="N59" s="2293">
        <f t="shared" si="17"/>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c r="A60" s="1050" t="s">
        <v>1013</v>
      </c>
      <c r="B60" s="2263">
        <f>估价对象房地状况!C19</f>
        <v>0</v>
      </c>
      <c r="C60" s="1037"/>
      <c r="D60" s="2272">
        <f t="shared" si="14"/>
        <v>0</v>
      </c>
      <c r="E60" s="2294"/>
      <c r="F60" s="2292"/>
      <c r="G60" s="2270"/>
      <c r="H60" s="2271" t="str">
        <f t="shared" si="18"/>
        <v>——</v>
      </c>
      <c r="I60" s="2290">
        <v>0.08</v>
      </c>
      <c r="J60" s="2293">
        <f t="shared" si="15"/>
        <v>0</v>
      </c>
      <c r="K60" s="2293">
        <f t="shared" si="16"/>
        <v>0</v>
      </c>
      <c r="L60" s="2293">
        <v>0</v>
      </c>
      <c r="M60" s="2293">
        <f t="shared" si="17"/>
        <v>0</v>
      </c>
      <c r="N60" s="2293">
        <f t="shared" si="17"/>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c r="A61" s="1050" t="s">
        <v>1014</v>
      </c>
      <c r="B61" s="2779" t="s">
        <v>2853</v>
      </c>
      <c r="C61" s="1037"/>
      <c r="D61" s="2272">
        <f t="shared" si="14"/>
        <v>0</v>
      </c>
      <c r="E61" s="2294"/>
      <c r="F61" s="2292"/>
      <c r="G61" s="2270"/>
      <c r="H61" s="2271" t="str">
        <f t="shared" si="18"/>
        <v>——</v>
      </c>
      <c r="I61" s="2290">
        <v>0.04</v>
      </c>
      <c r="J61" s="2293">
        <f t="shared" si="15"/>
        <v>0</v>
      </c>
      <c r="K61" s="2293">
        <f t="shared" si="16"/>
        <v>0</v>
      </c>
      <c r="L61" s="2293">
        <v>0</v>
      </c>
      <c r="M61" s="2293">
        <f t="shared" si="17"/>
        <v>0</v>
      </c>
      <c r="N61" s="2293">
        <f t="shared" si="17"/>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c r="A62" s="1050" t="s">
        <v>1015</v>
      </c>
      <c r="B62" s="2263" t="str">
        <f>估价对象房地状况!C24</f>
        <v>城市次干道——顺余路</v>
      </c>
      <c r="C62" s="1037"/>
      <c r="D62" s="2272">
        <f t="shared" si="14"/>
        <v>0</v>
      </c>
      <c r="E62" s="2294"/>
      <c r="F62" s="2292"/>
      <c r="G62" s="2270"/>
      <c r="H62" s="2271" t="str">
        <f t="shared" si="18"/>
        <v>——</v>
      </c>
      <c r="I62" s="2290">
        <v>0.05</v>
      </c>
      <c r="J62" s="2293">
        <f t="shared" si="15"/>
        <v>0</v>
      </c>
      <c r="K62" s="2293">
        <f t="shared" si="16"/>
        <v>0</v>
      </c>
      <c r="L62" s="2293">
        <v>0</v>
      </c>
      <c r="M62" s="2293">
        <f t="shared" si="17"/>
        <v>0</v>
      </c>
      <c r="N62" s="2293">
        <f t="shared" si="17"/>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c r="A63" s="1050" t="s">
        <v>1016</v>
      </c>
      <c r="B63" s="2778" t="s">
        <v>2851</v>
      </c>
      <c r="C63" s="1037"/>
      <c r="D63" s="2272">
        <f t="shared" si="14"/>
        <v>0</v>
      </c>
      <c r="E63" s="2294"/>
      <c r="F63" s="2292"/>
      <c r="G63" s="2270"/>
      <c r="H63" s="2271" t="str">
        <f t="shared" si="18"/>
        <v>——</v>
      </c>
      <c r="I63" s="2290">
        <v>0.05</v>
      </c>
      <c r="J63" s="2293">
        <f t="shared" si="15"/>
        <v>0</v>
      </c>
      <c r="K63" s="2293">
        <f t="shared" si="16"/>
        <v>0</v>
      </c>
      <c r="L63" s="2293">
        <v>0</v>
      </c>
      <c r="M63" s="2293">
        <f t="shared" si="17"/>
        <v>0</v>
      </c>
      <c r="N63" s="2293">
        <f t="shared" si="17"/>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c r="A64" s="1050" t="s">
        <v>1017</v>
      </c>
      <c r="B64" s="2264" t="str">
        <f>估价对象房地状况!C21</f>
        <v>估价对象所在区域公共配套设施齐备情况一般</v>
      </c>
      <c r="C64" s="1037"/>
      <c r="D64" s="2272">
        <f t="shared" si="14"/>
        <v>0</v>
      </c>
      <c r="E64" s="2294"/>
      <c r="F64" s="2292"/>
      <c r="G64" s="2270"/>
      <c r="H64" s="2271" t="str">
        <f t="shared" si="18"/>
        <v>——</v>
      </c>
      <c r="I64" s="2290">
        <v>0.06</v>
      </c>
      <c r="J64" s="2293">
        <f t="shared" si="15"/>
        <v>0</v>
      </c>
      <c r="K64" s="2293">
        <f t="shared" si="16"/>
        <v>0</v>
      </c>
      <c r="L64" s="2293">
        <v>0</v>
      </c>
      <c r="M64" s="2293">
        <f t="shared" si="17"/>
        <v>0</v>
      </c>
      <c r="N64" s="2293">
        <f t="shared" si="17"/>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c r="A65" s="1050" t="s">
        <v>1018</v>
      </c>
      <c r="B65" s="2264" t="str">
        <f>估价对象房地状况!C22</f>
        <v>估价对象所在区域基础设施水平</v>
      </c>
      <c r="C65" s="1037"/>
      <c r="D65" s="2272">
        <f t="shared" si="14"/>
        <v>0</v>
      </c>
      <c r="E65" s="2294"/>
      <c r="F65" s="2292"/>
      <c r="G65" s="2270"/>
      <c r="H65" s="2271" t="str">
        <f t="shared" si="18"/>
        <v>——</v>
      </c>
      <c r="I65" s="2290">
        <v>0.12</v>
      </c>
      <c r="J65" s="2293">
        <f t="shared" si="15"/>
        <v>0</v>
      </c>
      <c r="K65" s="2293">
        <f t="shared" si="16"/>
        <v>0</v>
      </c>
      <c r="L65" s="2293">
        <v>0</v>
      </c>
      <c r="M65" s="2293">
        <f t="shared" si="17"/>
        <v>0</v>
      </c>
      <c r="N65" s="2293">
        <f t="shared" si="17"/>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48.75" thickBot="1">
      <c r="A66" s="2296" t="s">
        <v>1019</v>
      </c>
      <c r="B66" s="2268" t="str">
        <f>估价对象房地状况!C20</f>
        <v>区域自然环境：小众和；人文环境：国家新闻出版广电总局研修学院；综合评价环境状况一般</v>
      </c>
      <c r="C66" s="1037"/>
      <c r="D66" s="2272">
        <f t="shared" si="14"/>
        <v>0</v>
      </c>
      <c r="E66" s="2298"/>
      <c r="F66" s="2292"/>
      <c r="G66" s="2270"/>
      <c r="H66" s="2271" t="str">
        <f t="shared" si="18"/>
        <v>——</v>
      </c>
      <c r="I66" s="2297">
        <v>0.06</v>
      </c>
      <c r="J66" s="2293">
        <f t="shared" si="15"/>
        <v>0</v>
      </c>
      <c r="K66" s="2293">
        <f t="shared" si="16"/>
        <v>0</v>
      </c>
      <c r="L66" s="2293">
        <v>0</v>
      </c>
      <c r="M66" s="2293">
        <f t="shared" si="17"/>
        <v>0</v>
      </c>
      <c r="N66" s="2293">
        <f t="shared" si="17"/>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c r="A68" s="1050" t="s">
        <v>999</v>
      </c>
      <c r="B68" s="2263"/>
      <c r="C68" s="2285" t="s">
        <v>1001</v>
      </c>
      <c r="D68" s="2286" t="s">
        <v>1002</v>
      </c>
      <c r="E68" s="2287" t="s">
        <v>1004</v>
      </c>
      <c r="F68" s="2288" t="s">
        <v>2199</v>
      </c>
      <c r="G68" s="2286" t="s">
        <v>1005</v>
      </c>
      <c r="H68" s="2269" t="s">
        <v>2357</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c r="A69" s="1050" t="s">
        <v>1023</v>
      </c>
      <c r="B69" s="2266" t="str">
        <f>估价对象房地状况!C15</f>
        <v>估价对象周边居住用地比例、居住小区规模和社区发展完善程度，综合评价居住社区成熟度一般</v>
      </c>
      <c r="C69" s="1142"/>
      <c r="D69" s="2272">
        <f t="shared" ref="D69:D77" si="19">SUMIF($J$68:$N$68,C69,J69:N69)</f>
        <v>0</v>
      </c>
      <c r="E69" s="2291">
        <f>ROUND(SUM(D69:D77),4)</f>
        <v>0</v>
      </c>
      <c r="F69" s="2292" t="str">
        <f>IF(E2="住宅",SUMIF(L1:L12,G2,N1:N12),"——")</f>
        <v>——</v>
      </c>
      <c r="G69" s="2273"/>
      <c r="H69" s="2316" t="str">
        <f t="shared" ref="H69:H77" si="20">IFERROR(ROUNDDOWN($F$69*I69/2,4),"——")</f>
        <v>——</v>
      </c>
      <c r="I69" s="2290">
        <v>0.14000000000000001</v>
      </c>
      <c r="J69" s="2293">
        <f t="shared" ref="J69:J77" si="21">K69+$G69</f>
        <v>0</v>
      </c>
      <c r="K69" s="2293">
        <f t="shared" ref="K69:K77" si="22">$L69+$G69</f>
        <v>0</v>
      </c>
      <c r="L69" s="2293">
        <v>0</v>
      </c>
      <c r="M69" s="2293">
        <f t="shared" ref="M69:N77" si="23">L69-$G69</f>
        <v>0</v>
      </c>
      <c r="N69" s="2293">
        <f t="shared" si="23"/>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72">
      <c r="A70" s="1050" t="s">
        <v>1024</v>
      </c>
      <c r="B70" s="2263" t="str">
        <f>估价对象房地状况!C18</f>
        <v>估价对象周边有顺2路、顺27路、顺28路、顺38路、顺43路、顺59路、顺60路等多条公交线路，距地铁15号线（南法信站）约500米，综合评价交通便捷度较好</v>
      </c>
      <c r="C70" s="1142"/>
      <c r="D70" s="2272">
        <f t="shared" si="19"/>
        <v>0</v>
      </c>
      <c r="E70" s="2300"/>
      <c r="F70" s="2301"/>
      <c r="G70" s="2273"/>
      <c r="H70" s="2316" t="str">
        <f t="shared" si="20"/>
        <v>——</v>
      </c>
      <c r="I70" s="2290">
        <v>0.3</v>
      </c>
      <c r="J70" s="2293">
        <f t="shared" si="21"/>
        <v>0</v>
      </c>
      <c r="K70" s="2293">
        <f t="shared" si="22"/>
        <v>0</v>
      </c>
      <c r="L70" s="2293">
        <v>0</v>
      </c>
      <c r="M70" s="2293">
        <f t="shared" si="23"/>
        <v>0</v>
      </c>
      <c r="N70" s="2293">
        <f t="shared" si="23"/>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c r="A71" s="1050" t="s">
        <v>1013</v>
      </c>
      <c r="B71" s="2263">
        <f>估价对象房地状况!C19</f>
        <v>0</v>
      </c>
      <c r="C71" s="1142"/>
      <c r="D71" s="2272">
        <f t="shared" si="19"/>
        <v>0</v>
      </c>
      <c r="E71" s="2300"/>
      <c r="F71" s="2301"/>
      <c r="G71" s="2273"/>
      <c r="H71" s="2316" t="str">
        <f t="shared" si="20"/>
        <v>——</v>
      </c>
      <c r="I71" s="2290">
        <v>0.08</v>
      </c>
      <c r="J71" s="2293">
        <f t="shared" si="21"/>
        <v>0</v>
      </c>
      <c r="K71" s="2293">
        <f t="shared" si="22"/>
        <v>0</v>
      </c>
      <c r="L71" s="2293">
        <v>0</v>
      </c>
      <c r="M71" s="2293">
        <f t="shared" si="23"/>
        <v>0</v>
      </c>
      <c r="N71" s="2293">
        <f t="shared" si="23"/>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c r="A72" s="1050" t="s">
        <v>1025</v>
      </c>
      <c r="B72" s="2263" t="str">
        <f>估价对象房地状况!C24</f>
        <v>城市次干道——顺余路</v>
      </c>
      <c r="C72" s="1142"/>
      <c r="D72" s="2272">
        <f t="shared" si="19"/>
        <v>0</v>
      </c>
      <c r="E72" s="2300"/>
      <c r="F72" s="2301"/>
      <c r="G72" s="2273"/>
      <c r="H72" s="2316" t="str">
        <f t="shared" si="20"/>
        <v>——</v>
      </c>
      <c r="I72" s="2290">
        <v>0.04</v>
      </c>
      <c r="J72" s="2293">
        <f t="shared" si="21"/>
        <v>0</v>
      </c>
      <c r="K72" s="2293">
        <f t="shared" si="22"/>
        <v>0</v>
      </c>
      <c r="L72" s="2293">
        <v>0</v>
      </c>
      <c r="M72" s="2293">
        <f t="shared" si="23"/>
        <v>0</v>
      </c>
      <c r="N72" s="2293">
        <f t="shared" si="23"/>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c r="A73" s="1050" t="s">
        <v>1017</v>
      </c>
      <c r="B73" s="2264" t="str">
        <f>估价对象房地状况!C21</f>
        <v>估价对象所在区域公共配套设施齐备情况一般</v>
      </c>
      <c r="C73" s="1142"/>
      <c r="D73" s="2272">
        <f t="shared" si="19"/>
        <v>0</v>
      </c>
      <c r="E73" s="2300"/>
      <c r="F73" s="2301"/>
      <c r="G73" s="2273"/>
      <c r="H73" s="2316" t="str">
        <f t="shared" si="20"/>
        <v>——</v>
      </c>
      <c r="I73" s="2290">
        <v>0.08</v>
      </c>
      <c r="J73" s="2293">
        <f t="shared" si="21"/>
        <v>0</v>
      </c>
      <c r="K73" s="2293">
        <f t="shared" si="22"/>
        <v>0</v>
      </c>
      <c r="L73" s="2293">
        <v>0</v>
      </c>
      <c r="M73" s="2293">
        <f t="shared" si="23"/>
        <v>0</v>
      </c>
      <c r="N73" s="2293">
        <f t="shared" si="23"/>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c r="A74" s="1050" t="s">
        <v>1018</v>
      </c>
      <c r="B74" s="2264" t="str">
        <f>估价对象房地状况!C22</f>
        <v>估价对象所在区域基础设施水平</v>
      </c>
      <c r="C74" s="1142"/>
      <c r="D74" s="2272">
        <f t="shared" si="19"/>
        <v>0</v>
      </c>
      <c r="E74" s="2300"/>
      <c r="F74" s="2301"/>
      <c r="G74" s="2273"/>
      <c r="H74" s="2316" t="str">
        <f t="shared" si="20"/>
        <v>——</v>
      </c>
      <c r="I74" s="2290">
        <v>0.12</v>
      </c>
      <c r="J74" s="2293">
        <f t="shared" si="21"/>
        <v>0</v>
      </c>
      <c r="K74" s="2293">
        <f t="shared" si="22"/>
        <v>0</v>
      </c>
      <c r="L74" s="2293">
        <v>0</v>
      </c>
      <c r="M74" s="2293">
        <f t="shared" si="23"/>
        <v>0</v>
      </c>
      <c r="N74" s="2293">
        <f t="shared" si="23"/>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c r="A75" s="1050" t="s">
        <v>1016</v>
      </c>
      <c r="B75" s="2778" t="s">
        <v>2851</v>
      </c>
      <c r="C75" s="1142"/>
      <c r="D75" s="2272">
        <f t="shared" si="19"/>
        <v>0</v>
      </c>
      <c r="E75" s="2300"/>
      <c r="F75" s="2301"/>
      <c r="G75" s="2273"/>
      <c r="H75" s="2316" t="str">
        <f t="shared" si="20"/>
        <v>——</v>
      </c>
      <c r="I75" s="2290">
        <v>0.05</v>
      </c>
      <c r="J75" s="2293">
        <f t="shared" si="21"/>
        <v>0</v>
      </c>
      <c r="K75" s="2293">
        <f t="shared" si="22"/>
        <v>0</v>
      </c>
      <c r="L75" s="2293">
        <v>0</v>
      </c>
      <c r="M75" s="2293">
        <f t="shared" si="23"/>
        <v>0</v>
      </c>
      <c r="N75" s="2293">
        <f t="shared" si="23"/>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48">
      <c r="A76" s="1050" t="s">
        <v>1019</v>
      </c>
      <c r="B76" s="2266" t="str">
        <f>估价对象房地状况!C20</f>
        <v>区域自然环境：小众和；人文环境：国家新闻出版广电总局研修学院；综合评价环境状况一般</v>
      </c>
      <c r="C76" s="1142"/>
      <c r="D76" s="2272">
        <f t="shared" si="19"/>
        <v>0</v>
      </c>
      <c r="E76" s="2300"/>
      <c r="F76" s="2301"/>
      <c r="G76" s="2273"/>
      <c r="H76" s="2316" t="str">
        <f t="shared" si="20"/>
        <v>——</v>
      </c>
      <c r="I76" s="2290">
        <v>0.15</v>
      </c>
      <c r="J76" s="2293">
        <f t="shared" si="21"/>
        <v>0</v>
      </c>
      <c r="K76" s="2293">
        <f t="shared" si="22"/>
        <v>0</v>
      </c>
      <c r="L76" s="2293">
        <v>0</v>
      </c>
      <c r="M76" s="2293">
        <f t="shared" si="23"/>
        <v>0</v>
      </c>
      <c r="N76" s="2293">
        <f t="shared" si="23"/>
        <v>0</v>
      </c>
      <c r="P76" s="2080"/>
      <c r="Q76" s="2080"/>
      <c r="R76" s="2081"/>
      <c r="S76" s="2081"/>
      <c r="T76" s="2081"/>
      <c r="U76" s="2081"/>
      <c r="V76" s="2081"/>
      <c r="W76" s="2080"/>
      <c r="X76" s="2080"/>
      <c r="Y76" s="2080"/>
      <c r="Z76" s="2080"/>
      <c r="AA76" s="2080"/>
      <c r="AB76" s="2080"/>
      <c r="AC76" s="2080"/>
      <c r="AD76" s="2081"/>
      <c r="AJ76" s="1352"/>
      <c r="AN76" s="1353"/>
    </row>
    <row r="77" spans="1:40" ht="24.75" thickBot="1">
      <c r="A77" s="2296" t="s">
        <v>1026</v>
      </c>
      <c r="B77" s="1764"/>
      <c r="C77" s="1142"/>
      <c r="D77" s="2272">
        <f t="shared" si="19"/>
        <v>0</v>
      </c>
      <c r="E77" s="2302"/>
      <c r="F77" s="2301"/>
      <c r="G77" s="2273"/>
      <c r="H77" s="2316" t="str">
        <f t="shared" si="20"/>
        <v>——</v>
      </c>
      <c r="I77" s="2297">
        <v>0.04</v>
      </c>
      <c r="J77" s="2293">
        <f t="shared" si="21"/>
        <v>0</v>
      </c>
      <c r="K77" s="2293">
        <f t="shared" si="22"/>
        <v>0</v>
      </c>
      <c r="L77" s="2293">
        <v>0</v>
      </c>
      <c r="M77" s="2293">
        <f t="shared" si="23"/>
        <v>0</v>
      </c>
      <c r="N77" s="2293">
        <f t="shared" si="23"/>
        <v>0</v>
      </c>
      <c r="AC77" s="1354"/>
      <c r="AD77" s="1353"/>
      <c r="AJ77" s="1352"/>
      <c r="AN77" s="1353"/>
    </row>
    <row r="78" spans="1:40" ht="15">
      <c r="A78" s="2279" t="s">
        <v>1027</v>
      </c>
      <c r="B78" s="2280">
        <f>1+E80</f>
        <v>1.0516000000000001</v>
      </c>
      <c r="C78" s="2299"/>
      <c r="D78" s="2282"/>
      <c r="E78" s="2283"/>
      <c r="F78" s="2284"/>
      <c r="G78" s="2278"/>
      <c r="H78" s="2278"/>
      <c r="I78" s="2278"/>
      <c r="J78" s="1049"/>
      <c r="K78" s="1049"/>
      <c r="L78" s="1049"/>
      <c r="M78" s="1049"/>
      <c r="N78" s="1049"/>
      <c r="AC78" s="1354"/>
      <c r="AD78" s="1353"/>
      <c r="AJ78" s="1352"/>
      <c r="AN78" s="1353"/>
    </row>
    <row r="79" spans="1:40" ht="24">
      <c r="A79" s="1050" t="s">
        <v>999</v>
      </c>
      <c r="B79" s="2263"/>
      <c r="C79" s="2285" t="s">
        <v>1001</v>
      </c>
      <c r="D79" s="2286" t="s">
        <v>1002</v>
      </c>
      <c r="E79" s="2287" t="s">
        <v>1004</v>
      </c>
      <c r="F79" s="2288" t="s">
        <v>2200</v>
      </c>
      <c r="G79" s="2286" t="s">
        <v>1005</v>
      </c>
      <c r="H79" s="2269" t="s">
        <v>2357</v>
      </c>
      <c r="I79" s="2286" t="s">
        <v>1003</v>
      </c>
      <c r="J79" s="2289" t="s">
        <v>1006</v>
      </c>
      <c r="K79" s="2289" t="s">
        <v>1007</v>
      </c>
      <c r="L79" s="2289" t="s">
        <v>1008</v>
      </c>
      <c r="M79" s="2289" t="s">
        <v>1009</v>
      </c>
      <c r="N79" s="2289" t="s">
        <v>1010</v>
      </c>
      <c r="AC79" s="1354"/>
      <c r="AD79" s="1353"/>
      <c r="AJ79" s="1352"/>
      <c r="AN79" s="1353"/>
    </row>
    <row r="80" spans="1:40" ht="84">
      <c r="A80" s="1050" t="s">
        <v>1028</v>
      </c>
      <c r="B80" s="2263" t="str">
        <f>估价对象房地状况!G15</f>
        <v>估价对象现状周边以产业用地为主，邻近周边有乐铁设备(北京)有限公司、综合信兴物流(南法信卫生院东北)、安博北京首都机场第二物流中心等，物流企业较多，产业集聚程度较好。</v>
      </c>
      <c r="C80" s="1037" t="s">
        <v>2965</v>
      </c>
      <c r="D80" s="2272">
        <f t="shared" ref="D80:D87" si="24">SUMIF($J$79:$N$79,C80,J80:N80)</f>
        <v>1.95E-2</v>
      </c>
      <c r="E80" s="2291">
        <f>ROUND(SUM(D80:D87),4)</f>
        <v>5.16E-2</v>
      </c>
      <c r="F80" s="2292">
        <f>IF(E2="工业",SUMIF(L1:L12,G2,N1:N12),"——")</f>
        <v>0.15</v>
      </c>
      <c r="G80" s="2270">
        <v>1.95E-2</v>
      </c>
      <c r="H80" s="2315">
        <f t="shared" ref="H80:H87" si="25">IFERROR(ROUNDDOWN($F$80*I80/2,4),"——")</f>
        <v>1.95E-2</v>
      </c>
      <c r="I80" s="2290">
        <v>0.26</v>
      </c>
      <c r="J80" s="2293">
        <f t="shared" ref="J80:J87" si="26">K80+$G80</f>
        <v>3.9E-2</v>
      </c>
      <c r="K80" s="2293">
        <f t="shared" ref="K80:K87" si="27">$L80+$G80</f>
        <v>1.95E-2</v>
      </c>
      <c r="L80" s="2293">
        <v>0</v>
      </c>
      <c r="M80" s="2293">
        <f t="shared" ref="M80:N87" si="28">L80-$G80</f>
        <v>-1.95E-2</v>
      </c>
      <c r="N80" s="2293">
        <f t="shared" si="28"/>
        <v>-3.9E-2</v>
      </c>
      <c r="AC80" s="1354"/>
      <c r="AD80" s="1353"/>
      <c r="AJ80" s="1352"/>
      <c r="AN80" s="1353"/>
    </row>
    <row r="81" spans="1:40" ht="48">
      <c r="A81" s="1050" t="s">
        <v>1024</v>
      </c>
      <c r="B81" s="2263" t="str">
        <f>估价对象房地状况!G16</f>
        <v>估价对象周边有顺2路、顺27路、顺28路、顺38路、顺43路、顺59路、顺60路等多条公交线路，距地铁15号线（南法信站）约500米，综合评价交通便捷度较好</v>
      </c>
      <c r="C81" s="1037" t="s">
        <v>2965</v>
      </c>
      <c r="D81" s="2272">
        <f t="shared" si="24"/>
        <v>2.47E-2</v>
      </c>
      <c r="E81" s="2300"/>
      <c r="F81" s="2301"/>
      <c r="G81" s="2270">
        <v>2.47E-2</v>
      </c>
      <c r="H81" s="2315">
        <f t="shared" si="25"/>
        <v>2.47E-2</v>
      </c>
      <c r="I81" s="2290">
        <v>0.33</v>
      </c>
      <c r="J81" s="2293">
        <f t="shared" si="26"/>
        <v>4.9399999999999999E-2</v>
      </c>
      <c r="K81" s="2293">
        <f t="shared" si="27"/>
        <v>2.47E-2</v>
      </c>
      <c r="L81" s="2293">
        <v>0</v>
      </c>
      <c r="M81" s="2293">
        <f t="shared" si="28"/>
        <v>-2.47E-2</v>
      </c>
      <c r="N81" s="2293">
        <f t="shared" si="28"/>
        <v>-4.9399999999999999E-2</v>
      </c>
      <c r="AC81" s="1354"/>
      <c r="AD81" s="1353"/>
      <c r="AJ81" s="1352"/>
      <c r="AN81" s="1353"/>
    </row>
    <row r="82" spans="1:40" ht="24">
      <c r="A82" s="1050" t="s">
        <v>1013</v>
      </c>
      <c r="B82" s="2263" t="str">
        <f>估价对象房地状况!G17</f>
        <v>周边以产业用地为主，兼有市政设施及居住、商服配套用地。</v>
      </c>
      <c r="C82" s="1037" t="s">
        <v>2965</v>
      </c>
      <c r="D82" s="2272">
        <f t="shared" si="24"/>
        <v>3.7000000000000002E-3</v>
      </c>
      <c r="E82" s="2300"/>
      <c r="F82" s="2301"/>
      <c r="G82" s="2270">
        <v>3.7000000000000002E-3</v>
      </c>
      <c r="H82" s="2315">
        <f t="shared" si="25"/>
        <v>3.7000000000000002E-3</v>
      </c>
      <c r="I82" s="2290">
        <v>0.05</v>
      </c>
      <c r="J82" s="2293">
        <f t="shared" si="26"/>
        <v>7.4000000000000003E-3</v>
      </c>
      <c r="K82" s="2293">
        <f t="shared" si="27"/>
        <v>3.7000000000000002E-3</v>
      </c>
      <c r="L82" s="2293">
        <v>0</v>
      </c>
      <c r="M82" s="2293">
        <f t="shared" si="28"/>
        <v>-3.7000000000000002E-3</v>
      </c>
      <c r="N82" s="2293">
        <f t="shared" si="28"/>
        <v>-7.4000000000000003E-3</v>
      </c>
      <c r="AC82" s="1354"/>
      <c r="AD82" s="1353"/>
      <c r="AJ82" s="1352"/>
      <c r="AN82" s="1353"/>
    </row>
    <row r="83" spans="1:40" ht="14.25">
      <c r="A83" s="1050" t="s">
        <v>1025</v>
      </c>
      <c r="B83" s="2263" t="str">
        <f>估价对象房地状况!G22</f>
        <v>城市次干道——顺余路</v>
      </c>
      <c r="C83" s="1037" t="s">
        <v>2964</v>
      </c>
      <c r="D83" s="2272">
        <f t="shared" si="24"/>
        <v>0</v>
      </c>
      <c r="E83" s="2300"/>
      <c r="F83" s="2301"/>
      <c r="G83" s="2270">
        <v>3.0000000000000001E-3</v>
      </c>
      <c r="H83" s="2315">
        <f t="shared" si="25"/>
        <v>3.0000000000000001E-3</v>
      </c>
      <c r="I83" s="2290">
        <v>0.04</v>
      </c>
      <c r="J83" s="2293">
        <f t="shared" si="26"/>
        <v>6.0000000000000001E-3</v>
      </c>
      <c r="K83" s="2293">
        <f t="shared" si="27"/>
        <v>3.0000000000000001E-3</v>
      </c>
      <c r="L83" s="2293">
        <v>0</v>
      </c>
      <c r="M83" s="2293">
        <f t="shared" si="28"/>
        <v>-3.0000000000000001E-3</v>
      </c>
      <c r="N83" s="2293">
        <f t="shared" si="28"/>
        <v>-6.0000000000000001E-3</v>
      </c>
      <c r="AC83" s="1354"/>
      <c r="AD83" s="1353"/>
      <c r="AJ83" s="1352"/>
      <c r="AN83" s="1353"/>
    </row>
    <row r="84" spans="1:40" ht="24">
      <c r="A84" s="1050" t="s">
        <v>1017</v>
      </c>
      <c r="B84" s="2264" t="str">
        <f>估价对象房地状况!G19</f>
        <v>估价对象所在区域公共配套设施齐备情况一般</v>
      </c>
      <c r="C84" s="1037" t="s">
        <v>2964</v>
      </c>
      <c r="D84" s="2272">
        <f t="shared" si="24"/>
        <v>0</v>
      </c>
      <c r="E84" s="2300"/>
      <c r="F84" s="2301"/>
      <c r="G84" s="2270">
        <v>4.4999999999999997E-3</v>
      </c>
      <c r="H84" s="2315">
        <f t="shared" si="25"/>
        <v>4.4999999999999997E-3</v>
      </c>
      <c r="I84" s="2290">
        <v>0.06</v>
      </c>
      <c r="J84" s="2293">
        <f t="shared" si="26"/>
        <v>8.9999999999999993E-3</v>
      </c>
      <c r="K84" s="2293">
        <f t="shared" si="27"/>
        <v>4.4999999999999997E-3</v>
      </c>
      <c r="L84" s="2293">
        <v>0</v>
      </c>
      <c r="M84" s="2293">
        <f t="shared" si="28"/>
        <v>-4.4999999999999997E-3</v>
      </c>
      <c r="N84" s="2293">
        <f t="shared" si="28"/>
        <v>-8.9999999999999993E-3</v>
      </c>
      <c r="AC84" s="1354"/>
      <c r="AD84" s="1353"/>
      <c r="AJ84" s="1352"/>
      <c r="AN84" s="1353"/>
    </row>
    <row r="85" spans="1:40" ht="24">
      <c r="A85" s="1050" t="s">
        <v>1018</v>
      </c>
      <c r="B85" s="2264" t="str">
        <f>估价对象房地状况!G20</f>
        <v>估价对象所在区域内基础设施配套条件达到“五通”（包括通路、通电、通讯、通上水、通下水），基本能够保证工作、生产需要，基础设施配套完善度一般。</v>
      </c>
      <c r="C85" s="1037" t="s">
        <v>2964</v>
      </c>
      <c r="D85" s="2272">
        <f t="shared" si="24"/>
        <v>0</v>
      </c>
      <c r="E85" s="2300"/>
      <c r="F85" s="2301"/>
      <c r="G85" s="2270">
        <v>1.12E-2</v>
      </c>
      <c r="H85" s="2315">
        <f t="shared" si="25"/>
        <v>1.12E-2</v>
      </c>
      <c r="I85" s="2290">
        <v>0.15</v>
      </c>
      <c r="J85" s="2293">
        <f t="shared" si="26"/>
        <v>2.24E-2</v>
      </c>
      <c r="K85" s="2293">
        <f t="shared" si="27"/>
        <v>1.12E-2</v>
      </c>
      <c r="L85" s="2293">
        <v>0</v>
      </c>
      <c r="M85" s="2293">
        <f t="shared" si="28"/>
        <v>-1.12E-2</v>
      </c>
      <c r="N85" s="2293">
        <f t="shared" si="28"/>
        <v>-2.24E-2</v>
      </c>
      <c r="AC85" s="1354"/>
      <c r="AD85" s="1353"/>
      <c r="AJ85" s="1352"/>
      <c r="AN85" s="1353"/>
    </row>
    <row r="86" spans="1:40" ht="36">
      <c r="A86" s="1050" t="s">
        <v>1016</v>
      </c>
      <c r="B86" s="2778" t="s">
        <v>3181</v>
      </c>
      <c r="C86" s="1037" t="s">
        <v>2965</v>
      </c>
      <c r="D86" s="2272">
        <f t="shared" si="24"/>
        <v>3.7000000000000002E-3</v>
      </c>
      <c r="E86" s="2300"/>
      <c r="F86" s="2301"/>
      <c r="G86" s="2270">
        <v>3.7000000000000002E-3</v>
      </c>
      <c r="H86" s="2315">
        <f t="shared" si="25"/>
        <v>3.7000000000000002E-3</v>
      </c>
      <c r="I86" s="2290">
        <v>0.05</v>
      </c>
      <c r="J86" s="2293">
        <f t="shared" si="26"/>
        <v>7.4000000000000003E-3</v>
      </c>
      <c r="K86" s="2293">
        <f t="shared" si="27"/>
        <v>3.7000000000000002E-3</v>
      </c>
      <c r="L86" s="2293">
        <v>0</v>
      </c>
      <c r="M86" s="2293">
        <f t="shared" si="28"/>
        <v>-3.7000000000000002E-3</v>
      </c>
      <c r="N86" s="2293">
        <f t="shared" si="28"/>
        <v>-7.4000000000000003E-3</v>
      </c>
      <c r="AC86" s="1354"/>
      <c r="AD86" s="1353"/>
      <c r="AJ86" s="1352"/>
      <c r="AN86" s="1353"/>
    </row>
    <row r="87" spans="1:40" ht="48.75" thickBot="1">
      <c r="A87" s="2296" t="s">
        <v>1029</v>
      </c>
      <c r="B87" s="2265" t="str">
        <f>估价对象房地状况!G18</f>
        <v>区域自然环境：小众河；人文环境：国家新闻出版广电总局研修学院；综合评价环境状况一般</v>
      </c>
      <c r="C87" s="1037" t="s">
        <v>2964</v>
      </c>
      <c r="D87" s="2272">
        <f t="shared" si="24"/>
        <v>0</v>
      </c>
      <c r="E87" s="2302"/>
      <c r="F87" s="2301"/>
      <c r="G87" s="2270">
        <v>4.4999999999999997E-3</v>
      </c>
      <c r="H87" s="2315">
        <f t="shared" si="25"/>
        <v>4.4999999999999997E-3</v>
      </c>
      <c r="I87" s="2297">
        <v>0.06</v>
      </c>
      <c r="J87" s="2293">
        <f t="shared" si="26"/>
        <v>8.9999999999999993E-3</v>
      </c>
      <c r="K87" s="2293">
        <f t="shared" si="27"/>
        <v>4.4999999999999997E-3</v>
      </c>
      <c r="L87" s="2293">
        <v>0</v>
      </c>
      <c r="M87" s="2293">
        <f t="shared" si="28"/>
        <v>-4.4999999999999997E-3</v>
      </c>
      <c r="N87" s="2293">
        <f t="shared" si="28"/>
        <v>-8.9999999999999993E-3</v>
      </c>
      <c r="AC87" s="1354"/>
      <c r="AD87" s="1353"/>
      <c r="AJ87" s="1352"/>
      <c r="AN87" s="1353"/>
    </row>
    <row r="90" spans="1:40">
      <c r="A90" s="3598" t="s">
        <v>1624</v>
      </c>
      <c r="B90" s="3598"/>
      <c r="C90" s="3598"/>
      <c r="D90" s="3598"/>
      <c r="E90" s="3598"/>
      <c r="F90" s="3598"/>
      <c r="G90" s="3598"/>
      <c r="H90" s="3598"/>
      <c r="I90" s="3598"/>
      <c r="J90" s="3598"/>
      <c r="K90" s="2305"/>
      <c r="L90" s="2305"/>
      <c r="M90" s="2305"/>
      <c r="N90" s="2305"/>
    </row>
    <row r="91" spans="1:40">
      <c r="A91" s="3599" t="s">
        <v>1434</v>
      </c>
      <c r="B91" s="3599" t="s">
        <v>1625</v>
      </c>
      <c r="C91" s="1123" t="s">
        <v>1626</v>
      </c>
      <c r="D91" s="1124"/>
      <c r="E91" s="1124"/>
      <c r="F91" s="1124"/>
      <c r="G91" s="1124"/>
      <c r="H91" s="1124"/>
      <c r="I91" s="1124"/>
      <c r="J91" s="1125"/>
      <c r="K91" s="1117"/>
      <c r="L91" s="1117"/>
      <c r="M91" s="1117"/>
      <c r="N91" s="1117"/>
    </row>
    <row r="92" spans="1:40">
      <c r="A92" s="3599"/>
      <c r="B92" s="3599"/>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82" t="s">
        <v>2696</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83"/>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83"/>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83"/>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83"/>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83"/>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83"/>
      <c r="B99" s="1126" t="s">
        <v>1627</v>
      </c>
      <c r="C99" s="1128">
        <f>$I$3</f>
        <v>0</v>
      </c>
      <c r="D99" s="1128">
        <f t="shared" ref="D99:N99" si="29">$I$3</f>
        <v>0</v>
      </c>
      <c r="E99" s="1128">
        <f t="shared" si="29"/>
        <v>0</v>
      </c>
      <c r="F99" s="1128">
        <f t="shared" si="29"/>
        <v>0</v>
      </c>
      <c r="G99" s="1128">
        <f t="shared" si="29"/>
        <v>0</v>
      </c>
      <c r="H99" s="1128">
        <f t="shared" si="29"/>
        <v>0</v>
      </c>
      <c r="I99" s="1128">
        <f t="shared" si="29"/>
        <v>0</v>
      </c>
      <c r="J99" s="1128">
        <f t="shared" si="29"/>
        <v>0</v>
      </c>
      <c r="K99" s="1128">
        <f t="shared" si="29"/>
        <v>0</v>
      </c>
      <c r="L99" s="1128">
        <f t="shared" si="29"/>
        <v>0</v>
      </c>
      <c r="M99" s="1128">
        <f t="shared" si="29"/>
        <v>0</v>
      </c>
      <c r="N99" s="1128">
        <f t="shared" si="29"/>
        <v>0</v>
      </c>
    </row>
    <row r="100" spans="1:14">
      <c r="A100" s="3584"/>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3582" t="s">
        <v>1628</v>
      </c>
      <c r="B101" s="1130" t="s">
        <v>897</v>
      </c>
      <c r="C101" s="1131">
        <f>$G$3</f>
        <v>1</v>
      </c>
      <c r="D101" s="1131">
        <f t="shared" ref="D101:N101" si="30">$G$3</f>
        <v>1</v>
      </c>
      <c r="E101" s="1131">
        <f t="shared" si="30"/>
        <v>1</v>
      </c>
      <c r="F101" s="1131">
        <f t="shared" si="30"/>
        <v>1</v>
      </c>
      <c r="G101" s="1131">
        <f t="shared" si="30"/>
        <v>1</v>
      </c>
      <c r="H101" s="1131">
        <f t="shared" si="30"/>
        <v>1</v>
      </c>
      <c r="I101" s="1131">
        <f t="shared" si="30"/>
        <v>1</v>
      </c>
      <c r="J101" s="1131">
        <f t="shared" si="30"/>
        <v>1</v>
      </c>
      <c r="K101" s="1131">
        <f t="shared" si="30"/>
        <v>1</v>
      </c>
      <c r="L101" s="1131">
        <f t="shared" si="30"/>
        <v>1</v>
      </c>
      <c r="M101" s="1131">
        <f t="shared" si="30"/>
        <v>1</v>
      </c>
      <c r="N101" s="1131">
        <f t="shared" si="30"/>
        <v>1</v>
      </c>
    </row>
    <row r="102" spans="1:14">
      <c r="A102" s="3583"/>
      <c r="B102" s="1126">
        <v>1</v>
      </c>
      <c r="C102" s="1127">
        <f>1.9362/C101</f>
        <v>1.9361999999999999</v>
      </c>
      <c r="D102" s="1127">
        <f>1.9362/D101</f>
        <v>1.9361999999999999</v>
      </c>
      <c r="E102" s="1127">
        <f>1.8629/E101</f>
        <v>1.8629</v>
      </c>
      <c r="F102" s="1127">
        <f>1.8629/F101</f>
        <v>1.8629</v>
      </c>
      <c r="G102" s="1127">
        <f>1.8629/G101</f>
        <v>1.8629</v>
      </c>
      <c r="H102" s="1127">
        <f>1.8629/H101</f>
        <v>1.8629</v>
      </c>
      <c r="I102" s="1127">
        <f>1.8629/I101</f>
        <v>1.8629</v>
      </c>
      <c r="J102" s="1127">
        <f>1.942/J101</f>
        <v>1.9419999999999999</v>
      </c>
      <c r="K102" s="1127">
        <f>1.942/K101</f>
        <v>1.9419999999999999</v>
      </c>
      <c r="L102" s="1127">
        <f>1.942/L101</f>
        <v>1.9419999999999999</v>
      </c>
      <c r="M102" s="1127">
        <f>1.942/M101</f>
        <v>1.9419999999999999</v>
      </c>
      <c r="N102" s="1127">
        <f>1.942/N101</f>
        <v>1.9419999999999999</v>
      </c>
    </row>
    <row r="103" spans="1:14">
      <c r="A103" s="3583"/>
      <c r="B103" s="1126">
        <v>2</v>
      </c>
      <c r="C103" s="1127">
        <f>1.4198/C101</f>
        <v>1.4198</v>
      </c>
      <c r="D103" s="1127">
        <f>1.4198/D101</f>
        <v>1.4198</v>
      </c>
      <c r="E103" s="1127">
        <f>1.3372/E101</f>
        <v>1.3371999999999999</v>
      </c>
      <c r="F103" s="1127">
        <f>1.3372/F101</f>
        <v>1.3371999999999999</v>
      </c>
      <c r="G103" s="1127">
        <f>1.3372/G101</f>
        <v>1.3371999999999999</v>
      </c>
      <c r="H103" s="1127">
        <f>1.3372/H101</f>
        <v>1.3371999999999999</v>
      </c>
      <c r="I103" s="1127">
        <f>1.3372/I101</f>
        <v>1.3371999999999999</v>
      </c>
      <c r="J103" s="1127">
        <f>1.2799/J101</f>
        <v>1.2799</v>
      </c>
      <c r="K103" s="1127">
        <f>1.2799/K101</f>
        <v>1.2799</v>
      </c>
      <c r="L103" s="1127">
        <f>1.2799/L101</f>
        <v>1.2799</v>
      </c>
      <c r="M103" s="1127">
        <f>1.2799/M101</f>
        <v>1.2799</v>
      </c>
      <c r="N103" s="1127">
        <f>1.2799/N101</f>
        <v>1.2799</v>
      </c>
    </row>
    <row r="104" spans="1:14">
      <c r="A104" s="3583"/>
      <c r="B104" s="1126">
        <v>3</v>
      </c>
      <c r="C104" s="1127">
        <f>1.1594/C101</f>
        <v>1.1594</v>
      </c>
      <c r="D104" s="1127">
        <f>1.1594/D101</f>
        <v>1.1594</v>
      </c>
      <c r="E104" s="1127">
        <f>1.0788/E101</f>
        <v>1.0788</v>
      </c>
      <c r="F104" s="1127">
        <f>1.0788/F101</f>
        <v>1.0788</v>
      </c>
      <c r="G104" s="1127">
        <f>1.0788/G101</f>
        <v>1.0788</v>
      </c>
      <c r="H104" s="1127">
        <f>1.0788/H101</f>
        <v>1.0788</v>
      </c>
      <c r="I104" s="1127">
        <f>1.0788/I101</f>
        <v>1.0788</v>
      </c>
      <c r="J104" s="1127">
        <f>1.0072/J101</f>
        <v>1.0072000000000001</v>
      </c>
      <c r="K104" s="1127">
        <f>1.0072/K101</f>
        <v>1.0072000000000001</v>
      </c>
      <c r="L104" s="1127">
        <f>1.0072/L101</f>
        <v>1.0072000000000001</v>
      </c>
      <c r="M104" s="1127">
        <f>1.0072/M101</f>
        <v>1.0072000000000001</v>
      </c>
      <c r="N104" s="1127">
        <f>1.0072/N101</f>
        <v>1.0072000000000001</v>
      </c>
    </row>
    <row r="105" spans="1:14">
      <c r="A105" s="3583"/>
      <c r="B105" s="1126">
        <v>4</v>
      </c>
      <c r="C105" s="1127">
        <f>0.9622/C101</f>
        <v>0.96220000000000006</v>
      </c>
      <c r="D105" s="1127">
        <f>0.9622/D101</f>
        <v>0.96220000000000006</v>
      </c>
      <c r="E105" s="1127">
        <f>0.8656/E101</f>
        <v>0.86560000000000004</v>
      </c>
      <c r="F105" s="1127">
        <f>0.8656/F101</f>
        <v>0.86560000000000004</v>
      </c>
      <c r="G105" s="1127">
        <f>0.8656/G101</f>
        <v>0.86560000000000004</v>
      </c>
      <c r="H105" s="1127">
        <f>0.8656/H101</f>
        <v>0.86560000000000004</v>
      </c>
      <c r="I105" s="1127">
        <f>0.8656/I101</f>
        <v>0.86560000000000004</v>
      </c>
      <c r="J105" s="1127">
        <f>0.7525/J101</f>
        <v>0.75249999999999995</v>
      </c>
      <c r="K105" s="1127">
        <f>0.7525/K101</f>
        <v>0.75249999999999995</v>
      </c>
      <c r="L105" s="1127">
        <f>0.7525/L101</f>
        <v>0.75249999999999995</v>
      </c>
      <c r="M105" s="1127">
        <f>0.7525/M101</f>
        <v>0.75249999999999995</v>
      </c>
      <c r="N105" s="1127">
        <f>0.7525/N101</f>
        <v>0.75249999999999995</v>
      </c>
    </row>
    <row r="106" spans="1:14">
      <c r="A106" s="3583"/>
      <c r="B106" s="1126">
        <v>5</v>
      </c>
      <c r="C106" s="1127">
        <f>0.8417/C101</f>
        <v>0.8417</v>
      </c>
      <c r="D106" s="1127">
        <f>0.8417/D101</f>
        <v>0.8417</v>
      </c>
      <c r="E106" s="1127">
        <f>0.7371/E101</f>
        <v>0.73709999999999998</v>
      </c>
      <c r="F106" s="1127">
        <f>0.7371/F101</f>
        <v>0.73709999999999998</v>
      </c>
      <c r="G106" s="1127">
        <f>0.7371/G101</f>
        <v>0.73709999999999998</v>
      </c>
      <c r="H106" s="1127">
        <f>0.7371/H101</f>
        <v>0.73709999999999998</v>
      </c>
      <c r="I106" s="1127">
        <f>0.7371/I101</f>
        <v>0.73709999999999998</v>
      </c>
      <c r="J106" s="1127">
        <f>0.5659/J101</f>
        <v>0.56589999999999996</v>
      </c>
      <c r="K106" s="1127">
        <f>0.5659/K101</f>
        <v>0.56589999999999996</v>
      </c>
      <c r="L106" s="1127">
        <f>0.5659/L101</f>
        <v>0.56589999999999996</v>
      </c>
      <c r="M106" s="1127">
        <f>0.5659/M101</f>
        <v>0.56589999999999996</v>
      </c>
      <c r="N106" s="1127">
        <f>0.5659/N101</f>
        <v>0.56589999999999996</v>
      </c>
    </row>
    <row r="107" spans="1:14">
      <c r="A107" s="3583"/>
      <c r="B107" s="1126">
        <v>6</v>
      </c>
      <c r="C107" s="1127">
        <f>0.7608/C101</f>
        <v>0.76080000000000003</v>
      </c>
      <c r="D107" s="1127">
        <f>0.7608/D101</f>
        <v>0.76080000000000003</v>
      </c>
      <c r="E107" s="1127">
        <f>0.6482/E101</f>
        <v>0.6482</v>
      </c>
      <c r="F107" s="1127">
        <f>0.6482/F101</f>
        <v>0.6482</v>
      </c>
      <c r="G107" s="1127">
        <f>0.6482/G101</f>
        <v>0.6482</v>
      </c>
      <c r="H107" s="1127">
        <f>0.6482/H101</f>
        <v>0.6482</v>
      </c>
      <c r="I107" s="1127">
        <f>0.6482/I101</f>
        <v>0.6482</v>
      </c>
      <c r="J107" s="1127">
        <f>0.4525/J101</f>
        <v>0.45250000000000001</v>
      </c>
      <c r="K107" s="1127">
        <f>0.4525/K101</f>
        <v>0.45250000000000001</v>
      </c>
      <c r="L107" s="1127">
        <f>0.4525/L101</f>
        <v>0.45250000000000001</v>
      </c>
      <c r="M107" s="1127">
        <f>0.4525/M101</f>
        <v>0.45250000000000001</v>
      </c>
      <c r="N107" s="1127">
        <f>0.4525/N101</f>
        <v>0.45250000000000001</v>
      </c>
    </row>
    <row r="108" spans="1:14">
      <c r="A108" s="3583"/>
      <c r="B108" s="3585" t="s">
        <v>1629</v>
      </c>
      <c r="C108" s="1128">
        <f>C99</f>
        <v>0</v>
      </c>
      <c r="D108" s="1128">
        <f t="shared" ref="D108:N108" si="31">D99</f>
        <v>0</v>
      </c>
      <c r="E108" s="1128">
        <f t="shared" si="31"/>
        <v>0</v>
      </c>
      <c r="F108" s="1128">
        <f t="shared" si="31"/>
        <v>0</v>
      </c>
      <c r="G108" s="1128">
        <f t="shared" si="31"/>
        <v>0</v>
      </c>
      <c r="H108" s="1128">
        <f t="shared" si="31"/>
        <v>0</v>
      </c>
      <c r="I108" s="1128">
        <f t="shared" si="31"/>
        <v>0</v>
      </c>
      <c r="J108" s="1128">
        <f t="shared" si="31"/>
        <v>0</v>
      </c>
      <c r="K108" s="1128">
        <f t="shared" si="31"/>
        <v>0</v>
      </c>
      <c r="L108" s="1128">
        <f t="shared" si="31"/>
        <v>0</v>
      </c>
      <c r="M108" s="1128">
        <f t="shared" si="31"/>
        <v>0</v>
      </c>
      <c r="N108" s="1128">
        <f t="shared" si="31"/>
        <v>0</v>
      </c>
    </row>
    <row r="109" spans="1:14">
      <c r="A109" s="3584"/>
      <c r="B109" s="3586"/>
      <c r="C109" s="1129">
        <f>(-0.163*(C108^2)-0.59*C108+7617)*(10^(-4))/C101</f>
        <v>0.76170000000000004</v>
      </c>
      <c r="D109" s="1129">
        <f>(-0.163*(D108^2)-0.59*D108+7617)*(10^(-4))/D101</f>
        <v>0.76170000000000004</v>
      </c>
      <c r="E109" s="1129">
        <f>(-0.161*(E108^2)-7.509*E108+6533)*(10^(-4))/E101</f>
        <v>0.65329999999999999</v>
      </c>
      <c r="F109" s="1129">
        <f>(-0.161*(F108^2)-7.509*F108+6533)*(10^(-4))/F101</f>
        <v>0.65329999999999999</v>
      </c>
      <c r="G109" s="1129">
        <f>(-0.161*(G108^2)-7.509*G108+6533)*(10^(-4))/G101</f>
        <v>0.65329999999999999</v>
      </c>
      <c r="H109" s="1129">
        <f>(-0.161*(H108^2)-7.509*H108+6533)*(10^(-4))/H101</f>
        <v>0.65329999999999999</v>
      </c>
      <c r="I109" s="1129">
        <f>(-0.161*(I108^2)-7.509*I108+6533)*(10^(-4))/I101</f>
        <v>0.65329999999999999</v>
      </c>
      <c r="J109" s="1129">
        <f>(-0.214*(J108^2)-21.991*J108+4665)*(10^(-4))/J101</f>
        <v>0.46650000000000003</v>
      </c>
      <c r="K109" s="1129">
        <f>(-0.214*(K108^2)-21.991*K108+4665)*(10^(-4))/K101</f>
        <v>0.46650000000000003</v>
      </c>
      <c r="L109" s="1129">
        <f>(-0.214*(L108^2)-21.991*L108+4665)*(10^(-4))/L101</f>
        <v>0.46650000000000003</v>
      </c>
      <c r="M109" s="1129">
        <f>(-0.214*(M108^2)-21.991*M108+4665)*(10^(-4))/M101</f>
        <v>0.46650000000000003</v>
      </c>
      <c r="N109" s="1129">
        <f>(-0.214*(N108^2)-21.991*N108+4665)*(10^(-4))/N101</f>
        <v>0.46650000000000003</v>
      </c>
    </row>
    <row r="110" spans="1:14">
      <c r="A110" s="3592" t="s">
        <v>1630</v>
      </c>
      <c r="B110" s="3592"/>
      <c r="C110" s="3592"/>
      <c r="D110" s="3592"/>
      <c r="E110" s="3592"/>
      <c r="F110" s="3592"/>
      <c r="G110" s="3592"/>
      <c r="H110" s="3592"/>
      <c r="I110" s="3592"/>
      <c r="J110" s="3592"/>
      <c r="K110" s="2303"/>
      <c r="L110" s="2303"/>
      <c r="M110" s="2303"/>
      <c r="N110" s="2303"/>
    </row>
    <row r="112" spans="1:14" ht="12.75" thickBot="1"/>
    <row r="113" spans="1:13" ht="25.5" thickBot="1">
      <c r="A113" s="1003" t="s">
        <v>887</v>
      </c>
      <c r="B113" s="2306">
        <f>G3</f>
        <v>1</v>
      </c>
      <c r="C113" s="1004" t="s">
        <v>888</v>
      </c>
      <c r="D113" s="1005">
        <f>SUMPRODUCT((A115:A118=F113)*(B114:M114=H113)*B115:M118)</f>
        <v>0.55310000000000004</v>
      </c>
      <c r="E113" s="1006" t="s">
        <v>889</v>
      </c>
      <c r="F113" s="1007" t="str">
        <f>E2</f>
        <v>工业</v>
      </c>
      <c r="G113" s="1006" t="s">
        <v>890</v>
      </c>
      <c r="H113" s="1007" t="str">
        <f>G2</f>
        <v>八级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0.92410000000000003</v>
      </c>
      <c r="C115" s="1017">
        <f>B115</f>
        <v>0.92410000000000003</v>
      </c>
      <c r="D115" s="1017">
        <f>ROUND(0.8331-0.0109*B113,4)</f>
        <v>0.82220000000000004</v>
      </c>
      <c r="E115" s="1017">
        <f>D115</f>
        <v>0.82220000000000004</v>
      </c>
      <c r="F115" s="1017">
        <f>E115</f>
        <v>0.82220000000000004</v>
      </c>
      <c r="G115" s="1017">
        <f>F115</f>
        <v>0.82220000000000004</v>
      </c>
      <c r="H115" s="1017">
        <f>G115</f>
        <v>0.82220000000000004</v>
      </c>
      <c r="I115" s="1017">
        <f>ROUND(0.689-0.0155*B113,4)</f>
        <v>0.67349999999999999</v>
      </c>
      <c r="J115" s="1017">
        <f t="shared" ref="J115:M118" si="32">I115</f>
        <v>0.67349999999999999</v>
      </c>
      <c r="K115" s="1017">
        <f t="shared" si="32"/>
        <v>0.67349999999999999</v>
      </c>
      <c r="L115" s="1017">
        <f t="shared" si="32"/>
        <v>0.67349999999999999</v>
      </c>
      <c r="M115" s="1018">
        <f t="shared" si="32"/>
        <v>0.67349999999999999</v>
      </c>
    </row>
    <row r="116" spans="1:13" ht="12.75">
      <c r="A116" s="1016" t="s">
        <v>892</v>
      </c>
      <c r="B116" s="1017">
        <f>ROUND(0.949-0.012*B113,4)</f>
        <v>0.93700000000000006</v>
      </c>
      <c r="C116" s="1017">
        <f>B116</f>
        <v>0.93700000000000006</v>
      </c>
      <c r="D116" s="1017">
        <f>ROUND(0.8567-0.013*B113,4)</f>
        <v>0.84370000000000001</v>
      </c>
      <c r="E116" s="1017">
        <f t="shared" ref="E116:H117" si="33">D116</f>
        <v>0.84370000000000001</v>
      </c>
      <c r="F116" s="1017">
        <f t="shared" si="33"/>
        <v>0.84370000000000001</v>
      </c>
      <c r="G116" s="1017">
        <f t="shared" si="33"/>
        <v>0.84370000000000001</v>
      </c>
      <c r="H116" s="1017">
        <f t="shared" si="33"/>
        <v>0.84370000000000001</v>
      </c>
      <c r="I116" s="1017">
        <f>ROUND(0.7694-0.014*B113,4)</f>
        <v>0.75539999999999996</v>
      </c>
      <c r="J116" s="1017">
        <f t="shared" si="32"/>
        <v>0.75539999999999996</v>
      </c>
      <c r="K116" s="1017">
        <f t="shared" si="32"/>
        <v>0.75539999999999996</v>
      </c>
      <c r="L116" s="1017">
        <f t="shared" si="32"/>
        <v>0.75539999999999996</v>
      </c>
      <c r="M116" s="1018">
        <f t="shared" si="32"/>
        <v>0.75539999999999996</v>
      </c>
    </row>
    <row r="117" spans="1:13" ht="12.75">
      <c r="A117" s="1019" t="s">
        <v>893</v>
      </c>
      <c r="B117" s="1017">
        <f>ROUND(0.8808-0.006*B113,4)</f>
        <v>0.87480000000000002</v>
      </c>
      <c r="C117" s="1017">
        <f>B117</f>
        <v>0.87480000000000002</v>
      </c>
      <c r="D117" s="1017">
        <f>ROUND(0.8748-0.008*B113,4)</f>
        <v>0.86680000000000001</v>
      </c>
      <c r="E117" s="1017">
        <f t="shared" si="33"/>
        <v>0.86680000000000001</v>
      </c>
      <c r="F117" s="1017">
        <f t="shared" si="33"/>
        <v>0.86680000000000001</v>
      </c>
      <c r="G117" s="1017">
        <f t="shared" si="33"/>
        <v>0.86680000000000001</v>
      </c>
      <c r="H117" s="1017">
        <f t="shared" si="33"/>
        <v>0.86680000000000001</v>
      </c>
      <c r="I117" s="1017">
        <f>ROUND(0.7412-0.0095*B113,4)</f>
        <v>0.73170000000000002</v>
      </c>
      <c r="J117" s="1017">
        <f t="shared" si="32"/>
        <v>0.73170000000000002</v>
      </c>
      <c r="K117" s="1017">
        <f t="shared" si="32"/>
        <v>0.73170000000000002</v>
      </c>
      <c r="L117" s="1017">
        <f t="shared" si="32"/>
        <v>0.73170000000000002</v>
      </c>
      <c r="M117" s="1018">
        <f t="shared" si="32"/>
        <v>0.73170000000000002</v>
      </c>
    </row>
    <row r="118" spans="1:13" ht="13.5" thickBot="1">
      <c r="A118" s="1020" t="s">
        <v>894</v>
      </c>
      <c r="B118" s="1021">
        <f>ROUND(0.7275-0.01*B113,4)</f>
        <v>0.71750000000000003</v>
      </c>
      <c r="C118" s="1021">
        <f>B118</f>
        <v>0.71750000000000003</v>
      </c>
      <c r="D118" s="1021">
        <f>ROUND(0.7043-0.012*B113,4)</f>
        <v>0.69230000000000003</v>
      </c>
      <c r="E118" s="1021">
        <f>D118</f>
        <v>0.69230000000000003</v>
      </c>
      <c r="F118" s="1021">
        <f>E118</f>
        <v>0.69230000000000003</v>
      </c>
      <c r="G118" s="1021">
        <f>ROUND(0.6299-0.0122*B113,4)</f>
        <v>0.61770000000000003</v>
      </c>
      <c r="H118" s="1021">
        <f>G118</f>
        <v>0.61770000000000003</v>
      </c>
      <c r="I118" s="1021">
        <f>ROUND(0.5667-0.0136*B113,4)</f>
        <v>0.55310000000000004</v>
      </c>
      <c r="J118" s="1021">
        <f t="shared" si="32"/>
        <v>0.55310000000000004</v>
      </c>
      <c r="K118" s="1021">
        <f t="shared" si="32"/>
        <v>0.55310000000000004</v>
      </c>
      <c r="L118" s="1021">
        <f t="shared" si="32"/>
        <v>0.55310000000000004</v>
      </c>
      <c r="M118" s="1022">
        <f t="shared" si="32"/>
        <v>0.55310000000000004</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1" type="noConversion"/>
  <conditionalFormatting sqref="F47">
    <cfRule type="cellIs" dxfId="124" priority="5" stopIfTrue="1" operator="notEqual">
      <formula>"——"</formula>
    </cfRule>
  </conditionalFormatting>
  <conditionalFormatting sqref="F58">
    <cfRule type="cellIs" dxfId="123" priority="4" stopIfTrue="1" operator="notEqual">
      <formula>"——"</formula>
    </cfRule>
  </conditionalFormatting>
  <conditionalFormatting sqref="F69">
    <cfRule type="cellIs" dxfId="122" priority="3" stopIfTrue="1" operator="notEqual">
      <formula>"——"</formula>
    </cfRule>
  </conditionalFormatting>
  <conditionalFormatting sqref="F80">
    <cfRule type="cellIs" dxfId="121" priority="2" stopIfTrue="1" operator="notEqual">
      <formula>"——"</formula>
    </cfRule>
  </conditionalFormatting>
  <conditionalFormatting sqref="H58:H66 H47:H55 H69:H77 H80:H87">
    <cfRule type="cellIs" dxfId="12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49" customWidth="1"/>
    <col min="2" max="9" width="8.125" style="1088" customWidth="1"/>
    <col min="10" max="13" width="8.125" style="1049"/>
    <col min="14" max="14" width="10" style="1049" customWidth="1"/>
    <col min="15" max="16" width="8.125" style="1049"/>
    <col min="17" max="17" width="34.125" style="1049" customWidth="1"/>
    <col min="18" max="18" width="8.125" style="1049" customWidth="1"/>
    <col min="19" max="19" width="8.125" style="1049"/>
    <col min="20" max="20" width="11.625" style="1049" customWidth="1"/>
    <col min="21" max="16384" width="8.1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39" t="s">
        <v>2897</v>
      </c>
      <c r="B15" s="2785">
        <f>SUM(B6:B13)</f>
        <v>375</v>
      </c>
      <c r="C15" s="2785">
        <f t="shared" ref="C15:H15" si="0">SUM(C6:C13)</f>
        <v>375</v>
      </c>
      <c r="D15" s="2785">
        <f t="shared" si="0"/>
        <v>300</v>
      </c>
      <c r="E15" s="2785">
        <f t="shared" si="0"/>
        <v>300</v>
      </c>
      <c r="F15" s="2785">
        <f t="shared" si="0"/>
        <v>300</v>
      </c>
      <c r="G15" s="2785">
        <f t="shared" si="0"/>
        <v>300</v>
      </c>
      <c r="H15" s="2785">
        <f t="shared" si="0"/>
        <v>300</v>
      </c>
      <c r="I15" s="2785">
        <f>SUM(I6:I10,I13)</f>
        <v>155</v>
      </c>
      <c r="J15" s="2785">
        <f>SUM(J6:J10,J13)</f>
        <v>155</v>
      </c>
      <c r="K15" s="2785">
        <f>SUM(K6:K10,K13)</f>
        <v>155</v>
      </c>
      <c r="L15" s="2785">
        <f>SUM(L6:L10,L13)</f>
        <v>155</v>
      </c>
      <c r="M15" s="2785">
        <f>SUM(M6:M10,M13)</f>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99" t="s">
        <v>998</v>
      </c>
      <c r="B18" s="1137" t="s">
        <v>1437</v>
      </c>
      <c r="C18" s="1114" t="s">
        <v>1438</v>
      </c>
      <c r="D18" s="1115"/>
      <c r="E18" s="1137">
        <v>1</v>
      </c>
      <c r="F18" s="1116" t="s">
        <v>1439</v>
      </c>
      <c r="G18" s="1117"/>
      <c r="H18" s="1088"/>
      <c r="I18" s="1088"/>
    </row>
    <row r="19" spans="1:9" s="1530" customFormat="1" ht="19.5" customHeight="1">
      <c r="A19" s="3599"/>
      <c r="B19" s="3599" t="s">
        <v>1440</v>
      </c>
      <c r="C19" s="1114" t="s">
        <v>1441</v>
      </c>
      <c r="D19" s="1115"/>
      <c r="E19" s="1137">
        <v>0.9</v>
      </c>
      <c r="F19" s="1116" t="s">
        <v>1442</v>
      </c>
      <c r="G19" s="1117"/>
      <c r="H19" s="1088"/>
      <c r="I19" s="1088"/>
    </row>
    <row r="20" spans="1:9" s="1530" customFormat="1" ht="19.5" customHeight="1">
      <c r="A20" s="3599"/>
      <c r="B20" s="3599"/>
      <c r="C20" s="1114" t="s">
        <v>1443</v>
      </c>
      <c r="D20" s="1115"/>
      <c r="E20" s="1137">
        <v>1.1000000000000001</v>
      </c>
      <c r="F20" s="1116" t="s">
        <v>1444</v>
      </c>
      <c r="G20" s="1117"/>
      <c r="H20" s="1088"/>
      <c r="I20" s="1088"/>
    </row>
    <row r="21" spans="1:9" s="1530" customFormat="1" ht="19.5" customHeight="1">
      <c r="A21" s="3599"/>
      <c r="B21" s="3599"/>
      <c r="C21" s="1114" t="s">
        <v>1445</v>
      </c>
      <c r="D21" s="1115"/>
      <c r="E21" s="1137">
        <v>0.8</v>
      </c>
      <c r="F21" s="1116" t="s">
        <v>1446</v>
      </c>
      <c r="G21" s="1117"/>
      <c r="H21" s="1088"/>
      <c r="I21" s="1088"/>
    </row>
    <row r="22" spans="1:9" s="1530" customFormat="1" ht="19.5" customHeight="1">
      <c r="A22" s="3599"/>
      <c r="B22" s="3599"/>
      <c r="C22" s="1114" t="s">
        <v>1447</v>
      </c>
      <c r="D22" s="1115"/>
      <c r="E22" s="1137">
        <v>0.5</v>
      </c>
      <c r="F22" s="1116"/>
      <c r="G22" s="1117"/>
      <c r="H22" s="1088"/>
      <c r="I22" s="1088"/>
    </row>
    <row r="23" spans="1:9" s="1530" customFormat="1" ht="19.5" customHeight="1">
      <c r="A23" s="3599" t="s">
        <v>1020</v>
      </c>
      <c r="B23" s="1137" t="s">
        <v>1437</v>
      </c>
      <c r="C23" s="1114" t="s">
        <v>1448</v>
      </c>
      <c r="D23" s="1115"/>
      <c r="E23" s="1137">
        <v>1</v>
      </c>
      <c r="F23" s="1116" t="s">
        <v>1449</v>
      </c>
      <c r="G23" s="1117"/>
      <c r="H23" s="1088"/>
      <c r="I23" s="1088"/>
    </row>
    <row r="24" spans="1:9" s="1530" customFormat="1" ht="19.5" customHeight="1">
      <c r="A24" s="3599"/>
      <c r="B24" s="3599" t="s">
        <v>1440</v>
      </c>
      <c r="C24" s="1114" t="s">
        <v>1450</v>
      </c>
      <c r="D24" s="1115"/>
      <c r="E24" s="1137">
        <v>0.5</v>
      </c>
      <c r="F24" s="1116"/>
      <c r="G24" s="1117"/>
      <c r="H24" s="1088"/>
      <c r="I24" s="1088"/>
    </row>
    <row r="25" spans="1:9" s="1530" customFormat="1" ht="19.5" customHeight="1">
      <c r="A25" s="3599"/>
      <c r="B25" s="3599"/>
      <c r="C25" s="1114" t="s">
        <v>1451</v>
      </c>
      <c r="D25" s="1115"/>
      <c r="E25" s="1137">
        <v>1.1000000000000001</v>
      </c>
      <c r="F25" s="1116"/>
      <c r="G25" s="1117"/>
      <c r="H25" s="1088"/>
      <c r="I25" s="1088"/>
    </row>
    <row r="26" spans="1:9" s="1530" customFormat="1" ht="19.5" customHeight="1">
      <c r="A26" s="3599"/>
      <c r="B26" s="3599"/>
      <c r="C26" s="1114" t="s">
        <v>1452</v>
      </c>
      <c r="D26" s="1115"/>
      <c r="E26" s="1137">
        <v>1.1000000000000001</v>
      </c>
      <c r="F26" s="1116"/>
      <c r="G26" s="1117"/>
      <c r="H26" s="1088"/>
      <c r="I26" s="1088"/>
    </row>
    <row r="27" spans="1:9" s="1530" customFormat="1" ht="19.5" customHeight="1">
      <c r="A27" s="3599"/>
      <c r="B27" s="3599"/>
      <c r="C27" s="1114" t="s">
        <v>1453</v>
      </c>
      <c r="D27" s="1115"/>
      <c r="E27" s="1137">
        <v>0.9</v>
      </c>
      <c r="F27" s="1116" t="s">
        <v>1454</v>
      </c>
      <c r="G27" s="1117"/>
      <c r="H27" s="1088"/>
      <c r="I27" s="1088"/>
    </row>
    <row r="28" spans="1:9" s="1530" customFormat="1" ht="19.5" customHeight="1">
      <c r="A28" s="3599"/>
      <c r="B28" s="3599"/>
      <c r="C28" s="1114" t="s">
        <v>1455</v>
      </c>
      <c r="D28" s="1115"/>
      <c r="E28" s="1137">
        <v>0.9</v>
      </c>
      <c r="F28" s="1116" t="s">
        <v>1456</v>
      </c>
      <c r="G28" s="1117"/>
      <c r="H28" s="1088"/>
      <c r="I28" s="1088"/>
    </row>
    <row r="29" spans="1:9" s="1530" customFormat="1" ht="19.5" customHeight="1">
      <c r="A29" s="3599"/>
      <c r="B29" s="3599"/>
      <c r="C29" s="1114" t="s">
        <v>1457</v>
      </c>
      <c r="D29" s="1115"/>
      <c r="E29" s="1137">
        <v>0.9</v>
      </c>
      <c r="F29" s="1116" t="s">
        <v>1458</v>
      </c>
      <c r="G29" s="1117"/>
      <c r="H29" s="1088"/>
      <c r="I29" s="1088"/>
    </row>
    <row r="30" spans="1:9" s="1530" customFormat="1" ht="19.5" customHeight="1">
      <c r="A30" s="3599"/>
      <c r="B30" s="3599"/>
      <c r="C30" s="1114" t="s">
        <v>1459</v>
      </c>
      <c r="D30" s="1115"/>
      <c r="E30" s="1137">
        <v>0.9</v>
      </c>
      <c r="F30" s="1116" t="s">
        <v>1460</v>
      </c>
      <c r="G30" s="1117"/>
      <c r="H30" s="1088"/>
      <c r="I30" s="1088"/>
    </row>
    <row r="31" spans="1:9" s="1530" customFormat="1" ht="19.5" customHeight="1">
      <c r="A31" s="3599"/>
      <c r="B31" s="3599"/>
      <c r="C31" s="1114" t="s">
        <v>1461</v>
      </c>
      <c r="D31" s="1115"/>
      <c r="E31" s="1137">
        <v>0.8</v>
      </c>
      <c r="F31" s="1116" t="s">
        <v>1462</v>
      </c>
      <c r="G31" s="1117"/>
      <c r="H31" s="1088"/>
      <c r="I31" s="1088"/>
    </row>
    <row r="32" spans="1:9" s="1530" customFormat="1" ht="19.5" customHeight="1">
      <c r="A32" s="3599"/>
      <c r="B32" s="3599"/>
      <c r="C32" s="1114" t="s">
        <v>1463</v>
      </c>
      <c r="D32" s="1115"/>
      <c r="E32" s="1137">
        <v>0.8</v>
      </c>
      <c r="F32" s="1116" t="s">
        <v>1464</v>
      </c>
      <c r="G32" s="1117"/>
      <c r="H32" s="1088"/>
      <c r="I32" s="1088"/>
    </row>
    <row r="33" spans="1:9" s="1530" customFormat="1" ht="19.5" customHeight="1">
      <c r="A33" s="3599" t="s">
        <v>1465</v>
      </c>
      <c r="B33" s="1137" t="s">
        <v>1437</v>
      </c>
      <c r="C33" s="1114" t="s">
        <v>1466</v>
      </c>
      <c r="D33" s="1115"/>
      <c r="E33" s="1137">
        <v>1</v>
      </c>
      <c r="F33" s="1116" t="s">
        <v>1467</v>
      </c>
      <c r="G33" s="1117"/>
      <c r="H33" s="1088"/>
      <c r="I33" s="1088"/>
    </row>
    <row r="34" spans="1:9" s="1530" customFormat="1" ht="19.5" customHeight="1">
      <c r="A34" s="3599"/>
      <c r="B34" s="1137" t="s">
        <v>1440</v>
      </c>
      <c r="C34" s="1114" t="s">
        <v>1468</v>
      </c>
      <c r="D34" s="1115"/>
      <c r="E34" s="1137">
        <v>1.5</v>
      </c>
      <c r="F34" s="1116" t="s">
        <v>1469</v>
      </c>
      <c r="G34" s="1117"/>
      <c r="H34" s="1088"/>
      <c r="I34" s="1088"/>
    </row>
    <row r="35" spans="1:9" s="1530" customFormat="1" ht="19.5" customHeight="1">
      <c r="A35" s="3599" t="s">
        <v>1423</v>
      </c>
      <c r="B35" s="1137" t="s">
        <v>1437</v>
      </c>
      <c r="C35" s="1114" t="s">
        <v>1470</v>
      </c>
      <c r="D35" s="1115"/>
      <c r="E35" s="1137">
        <v>1</v>
      </c>
      <c r="F35" s="1116" t="s">
        <v>1471</v>
      </c>
      <c r="G35" s="1117"/>
      <c r="H35" s="1088"/>
      <c r="I35" s="1088"/>
    </row>
    <row r="36" spans="1:9" s="1530" customFormat="1" ht="19.5" customHeight="1">
      <c r="A36" s="3599"/>
      <c r="B36" s="3599" t="s">
        <v>1440</v>
      </c>
      <c r="C36" s="1114" t="s">
        <v>1472</v>
      </c>
      <c r="D36" s="1115"/>
      <c r="E36" s="1137">
        <v>1</v>
      </c>
      <c r="F36" s="1116" t="s">
        <v>1473</v>
      </c>
      <c r="G36" s="1117"/>
      <c r="H36" s="1088"/>
      <c r="I36" s="1088"/>
    </row>
    <row r="37" spans="1:9" s="1530" customFormat="1" ht="19.5" customHeight="1">
      <c r="A37" s="3599"/>
      <c r="B37" s="3599"/>
      <c r="C37" s="1114" t="s">
        <v>1474</v>
      </c>
      <c r="D37" s="1115"/>
      <c r="E37" s="1137">
        <v>1.5</v>
      </c>
      <c r="F37" s="1116" t="s">
        <v>1475</v>
      </c>
      <c r="G37" s="1117"/>
      <c r="H37" s="1088"/>
      <c r="I37" s="1088"/>
    </row>
    <row r="38" spans="1:9" s="1530" customFormat="1" ht="19.5" customHeight="1">
      <c r="A38" s="3599"/>
      <c r="B38" s="3599"/>
      <c r="C38" s="1114" t="s">
        <v>1476</v>
      </c>
      <c r="D38" s="1115"/>
      <c r="E38" s="1137">
        <v>1</v>
      </c>
      <c r="F38" s="1116" t="s">
        <v>1477</v>
      </c>
      <c r="G38" s="1117"/>
      <c r="H38" s="1088"/>
      <c r="I38" s="1088"/>
    </row>
    <row r="39" spans="1:9" s="1530" customFormat="1" ht="19.5" customHeight="1">
      <c r="A39" s="3599"/>
      <c r="B39" s="3599"/>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99" t="s">
        <v>1492</v>
      </c>
      <c r="C61" s="1051" t="s">
        <v>1493</v>
      </c>
      <c r="D61" s="1051" t="s">
        <v>1494</v>
      </c>
      <c r="E61" s="1122">
        <v>0.5</v>
      </c>
      <c r="F61" s="1137">
        <v>80</v>
      </c>
      <c r="H61" s="1088">
        <f>SUMIF(C59:C119,基准地价!C8,E59:E119)</f>
        <v>0</v>
      </c>
    </row>
    <row r="62" spans="1:8" s="1088" customFormat="1" ht="24">
      <c r="A62" s="1137">
        <v>2</v>
      </c>
      <c r="B62" s="3599"/>
      <c r="C62" s="1051" t="s">
        <v>1495</v>
      </c>
      <c r="D62" s="1051" t="s">
        <v>1496</v>
      </c>
      <c r="E62" s="1122">
        <v>0.5</v>
      </c>
      <c r="F62" s="1137">
        <v>80</v>
      </c>
    </row>
    <row r="63" spans="1:8" s="1088" customFormat="1" ht="36">
      <c r="A63" s="1137">
        <v>3</v>
      </c>
      <c r="B63" s="3599"/>
      <c r="C63" s="1051" t="s">
        <v>1497</v>
      </c>
      <c r="D63" s="1051" t="s">
        <v>1498</v>
      </c>
      <c r="E63" s="1122">
        <v>0.5</v>
      </c>
      <c r="F63" s="1137">
        <v>80</v>
      </c>
    </row>
    <row r="64" spans="1:8" s="1088" customFormat="1" ht="36">
      <c r="A64" s="1137">
        <v>4</v>
      </c>
      <c r="B64" s="3599"/>
      <c r="C64" s="1051" t="s">
        <v>1499</v>
      </c>
      <c r="D64" s="1051" t="s">
        <v>1500</v>
      </c>
      <c r="E64" s="1122">
        <v>0.4</v>
      </c>
      <c r="F64" s="1137">
        <v>60</v>
      </c>
    </row>
    <row r="65" spans="1:6" s="1088" customFormat="1" ht="36">
      <c r="A65" s="1137">
        <v>5</v>
      </c>
      <c r="B65" s="3599"/>
      <c r="C65" s="1051" t="s">
        <v>1501</v>
      </c>
      <c r="D65" s="1051" t="s">
        <v>1502</v>
      </c>
      <c r="E65" s="1122">
        <v>0.2</v>
      </c>
      <c r="F65" s="1137">
        <v>30</v>
      </c>
    </row>
    <row r="66" spans="1:6" s="1088" customFormat="1" ht="36">
      <c r="A66" s="1137">
        <v>6</v>
      </c>
      <c r="B66" s="3599"/>
      <c r="C66" s="1051" t="s">
        <v>1503</v>
      </c>
      <c r="D66" s="1051" t="s">
        <v>1504</v>
      </c>
      <c r="E66" s="1122">
        <v>0.3</v>
      </c>
      <c r="F66" s="1137">
        <v>50</v>
      </c>
    </row>
    <row r="67" spans="1:6" s="1088" customFormat="1" ht="36">
      <c r="A67" s="1137">
        <v>7</v>
      </c>
      <c r="B67" s="3599"/>
      <c r="C67" s="1051" t="s">
        <v>1505</v>
      </c>
      <c r="D67" s="1051" t="s">
        <v>1506</v>
      </c>
      <c r="E67" s="1122">
        <v>0.2</v>
      </c>
      <c r="F67" s="1137">
        <v>30</v>
      </c>
    </row>
    <row r="68" spans="1:6" s="1088" customFormat="1" ht="36">
      <c r="A68" s="1137">
        <v>8</v>
      </c>
      <c r="B68" s="3599"/>
      <c r="C68" s="1051" t="s">
        <v>1507</v>
      </c>
      <c r="D68" s="1051" t="s">
        <v>1508</v>
      </c>
      <c r="E68" s="1122">
        <v>0.2</v>
      </c>
      <c r="F68" s="1137">
        <v>30</v>
      </c>
    </row>
    <row r="69" spans="1:6" s="1088" customFormat="1" ht="36">
      <c r="A69" s="1137">
        <v>9</v>
      </c>
      <c r="B69" s="3599"/>
      <c r="C69" s="1051" t="s">
        <v>1509</v>
      </c>
      <c r="D69" s="1051" t="s">
        <v>1510</v>
      </c>
      <c r="E69" s="1122">
        <v>0.2</v>
      </c>
      <c r="F69" s="1137">
        <v>30</v>
      </c>
    </row>
    <row r="70" spans="1:6" s="1088" customFormat="1" ht="48">
      <c r="A70" s="1137">
        <v>10</v>
      </c>
      <c r="B70" s="3599"/>
      <c r="C70" s="1051" t="s">
        <v>1511</v>
      </c>
      <c r="D70" s="1051" t="s">
        <v>1512</v>
      </c>
      <c r="E70" s="1122">
        <v>0.2</v>
      </c>
      <c r="F70" s="1137">
        <v>30</v>
      </c>
    </row>
    <row r="71" spans="1:6" s="1088" customFormat="1" ht="48">
      <c r="A71" s="1137">
        <v>11</v>
      </c>
      <c r="B71" s="3599"/>
      <c r="C71" s="1051" t="s">
        <v>1513</v>
      </c>
      <c r="D71" s="1051" t="s">
        <v>1514</v>
      </c>
      <c r="E71" s="1122">
        <v>0.2</v>
      </c>
      <c r="F71" s="1137">
        <v>30</v>
      </c>
    </row>
    <row r="72" spans="1:6" s="1088" customFormat="1" ht="36">
      <c r="A72" s="1137">
        <v>12</v>
      </c>
      <c r="B72" s="3599"/>
      <c r="C72" s="1051" t="s">
        <v>1515</v>
      </c>
      <c r="D72" s="1051" t="s">
        <v>1516</v>
      </c>
      <c r="E72" s="1122">
        <v>0.5</v>
      </c>
      <c r="F72" s="1137">
        <v>80</v>
      </c>
    </row>
    <row r="73" spans="1:6" s="1088" customFormat="1" ht="24">
      <c r="A73" s="1137">
        <v>13</v>
      </c>
      <c r="B73" s="3599"/>
      <c r="C73" s="1051" t="s">
        <v>1517</v>
      </c>
      <c r="D73" s="1051" t="s">
        <v>1518</v>
      </c>
      <c r="E73" s="1122">
        <v>0.4</v>
      </c>
      <c r="F73" s="1137">
        <v>60</v>
      </c>
    </row>
    <row r="74" spans="1:6" s="1088" customFormat="1" ht="24">
      <c r="A74" s="1137">
        <v>14</v>
      </c>
      <c r="B74" s="3599"/>
      <c r="C74" s="1051" t="s">
        <v>1519</v>
      </c>
      <c r="D74" s="1051" t="s">
        <v>1520</v>
      </c>
      <c r="E74" s="1122">
        <v>0.2</v>
      </c>
      <c r="F74" s="1137">
        <v>30</v>
      </c>
    </row>
    <row r="75" spans="1:6" s="1088" customFormat="1" ht="24">
      <c r="A75" s="1137">
        <v>15</v>
      </c>
      <c r="B75" s="3599"/>
      <c r="C75" s="1051" t="s">
        <v>1521</v>
      </c>
      <c r="D75" s="1051" t="s">
        <v>1522</v>
      </c>
      <c r="E75" s="1122">
        <v>0.2</v>
      </c>
      <c r="F75" s="1137">
        <v>30</v>
      </c>
    </row>
    <row r="76" spans="1:6" s="1088" customFormat="1" ht="24">
      <c r="A76" s="1137">
        <v>16</v>
      </c>
      <c r="B76" s="3599" t="s">
        <v>1523</v>
      </c>
      <c r="C76" s="1051" t="s">
        <v>1524</v>
      </c>
      <c r="D76" s="1051" t="s">
        <v>1525</v>
      </c>
      <c r="E76" s="1122">
        <v>0.5</v>
      </c>
      <c r="F76" s="1137">
        <v>80</v>
      </c>
    </row>
    <row r="77" spans="1:6" s="1088" customFormat="1" ht="24">
      <c r="A77" s="1137">
        <v>17</v>
      </c>
      <c r="B77" s="3599"/>
      <c r="C77" s="1051" t="s">
        <v>1526</v>
      </c>
      <c r="D77" s="1051" t="s">
        <v>1527</v>
      </c>
      <c r="E77" s="1122">
        <v>0.5</v>
      </c>
      <c r="F77" s="1137">
        <v>80</v>
      </c>
    </row>
    <row r="78" spans="1:6" s="1088" customFormat="1" ht="24">
      <c r="A78" s="1137">
        <v>18</v>
      </c>
      <c r="B78" s="3599"/>
      <c r="C78" s="1051" t="s">
        <v>1528</v>
      </c>
      <c r="D78" s="1051" t="s">
        <v>1529</v>
      </c>
      <c r="E78" s="1122">
        <v>0.2</v>
      </c>
      <c r="F78" s="1137">
        <v>30</v>
      </c>
    </row>
    <row r="79" spans="1:6" s="1088" customFormat="1" ht="24">
      <c r="A79" s="1137">
        <v>19</v>
      </c>
      <c r="B79" s="3599"/>
      <c r="C79" s="1051" t="s">
        <v>1530</v>
      </c>
      <c r="D79" s="1051" t="s">
        <v>1531</v>
      </c>
      <c r="E79" s="1122">
        <v>0.5</v>
      </c>
      <c r="F79" s="1137">
        <v>80</v>
      </c>
    </row>
    <row r="80" spans="1:6" s="1088" customFormat="1" ht="36">
      <c r="A80" s="1137">
        <v>20</v>
      </c>
      <c r="B80" s="3599"/>
      <c r="C80" s="1051" t="s">
        <v>1532</v>
      </c>
      <c r="D80" s="1051" t="s">
        <v>1533</v>
      </c>
      <c r="E80" s="1122">
        <v>0.2</v>
      </c>
      <c r="F80" s="1137">
        <v>30</v>
      </c>
    </row>
    <row r="81" spans="1:6" s="1088" customFormat="1" ht="36">
      <c r="A81" s="1137">
        <v>21</v>
      </c>
      <c r="B81" s="3599"/>
      <c r="C81" s="1051" t="s">
        <v>1534</v>
      </c>
      <c r="D81" s="1051" t="s">
        <v>1535</v>
      </c>
      <c r="E81" s="1122">
        <v>0.2</v>
      </c>
      <c r="F81" s="1137">
        <v>30</v>
      </c>
    </row>
    <row r="82" spans="1:6" s="1088" customFormat="1" ht="48">
      <c r="A82" s="1137">
        <v>22</v>
      </c>
      <c r="B82" s="3599"/>
      <c r="C82" s="1051" t="s">
        <v>1536</v>
      </c>
      <c r="D82" s="1051" t="s">
        <v>1537</v>
      </c>
      <c r="E82" s="1122">
        <v>0.2</v>
      </c>
      <c r="F82" s="1137">
        <v>30</v>
      </c>
    </row>
    <row r="83" spans="1:6" s="1088" customFormat="1" ht="48">
      <c r="A83" s="1137">
        <v>23</v>
      </c>
      <c r="B83" s="3599"/>
      <c r="C83" s="1051" t="s">
        <v>1538</v>
      </c>
      <c r="D83" s="1051" t="s">
        <v>1539</v>
      </c>
      <c r="E83" s="1122">
        <v>0.2</v>
      </c>
      <c r="F83" s="1137">
        <v>30</v>
      </c>
    </row>
    <row r="84" spans="1:6" s="1088" customFormat="1" ht="36">
      <c r="A84" s="1137">
        <v>24</v>
      </c>
      <c r="B84" s="3599"/>
      <c r="C84" s="1051" t="s">
        <v>1540</v>
      </c>
      <c r="D84" s="1051" t="s">
        <v>1541</v>
      </c>
      <c r="E84" s="1122">
        <v>0.2</v>
      </c>
      <c r="F84" s="1137">
        <v>30</v>
      </c>
    </row>
    <row r="85" spans="1:6" s="1088" customFormat="1" ht="36">
      <c r="A85" s="1137">
        <v>25</v>
      </c>
      <c r="B85" s="3599"/>
      <c r="C85" s="1051" t="s">
        <v>1542</v>
      </c>
      <c r="D85" s="1051" t="s">
        <v>1543</v>
      </c>
      <c r="E85" s="1122">
        <v>0.5</v>
      </c>
      <c r="F85" s="1137">
        <v>80</v>
      </c>
    </row>
    <row r="86" spans="1:6" s="1088" customFormat="1" ht="36">
      <c r="A86" s="1137">
        <v>26</v>
      </c>
      <c r="B86" s="3599"/>
      <c r="C86" s="1051" t="s">
        <v>1544</v>
      </c>
      <c r="D86" s="1051" t="s">
        <v>1545</v>
      </c>
      <c r="E86" s="1122">
        <v>0.2</v>
      </c>
      <c r="F86" s="1137">
        <v>30</v>
      </c>
    </row>
    <row r="87" spans="1:6" s="1088" customFormat="1" ht="36">
      <c r="A87" s="1137">
        <v>27</v>
      </c>
      <c r="B87" s="3599"/>
      <c r="C87" s="1051" t="s">
        <v>1546</v>
      </c>
      <c r="D87" s="1051" t="s">
        <v>1547</v>
      </c>
      <c r="E87" s="1122">
        <v>0.2</v>
      </c>
      <c r="F87" s="1137">
        <v>30</v>
      </c>
    </row>
    <row r="88" spans="1:6" s="1088" customFormat="1" ht="36">
      <c r="A88" s="1137">
        <v>28</v>
      </c>
      <c r="B88" s="3599"/>
      <c r="C88" s="1051" t="s">
        <v>1548</v>
      </c>
      <c r="D88" s="1051" t="s">
        <v>1549</v>
      </c>
      <c r="E88" s="1122">
        <v>0.2</v>
      </c>
      <c r="F88" s="1137">
        <v>30</v>
      </c>
    </row>
    <row r="89" spans="1:6" s="1088" customFormat="1" ht="24">
      <c r="A89" s="1137">
        <v>29</v>
      </c>
      <c r="B89" s="3599"/>
      <c r="C89" s="1051" t="s">
        <v>1550</v>
      </c>
      <c r="D89" s="1051" t="s">
        <v>1551</v>
      </c>
      <c r="E89" s="1122">
        <v>0.2</v>
      </c>
      <c r="F89" s="1137">
        <v>30</v>
      </c>
    </row>
    <row r="90" spans="1:6" s="1088" customFormat="1" ht="24">
      <c r="A90" s="1137">
        <v>30</v>
      </c>
      <c r="B90" s="3599"/>
      <c r="C90" s="1051" t="s">
        <v>1552</v>
      </c>
      <c r="D90" s="1051" t="s">
        <v>1553</v>
      </c>
      <c r="E90" s="1122">
        <v>0.2</v>
      </c>
      <c r="F90" s="1137">
        <v>30</v>
      </c>
    </row>
    <row r="91" spans="1:6" s="1088" customFormat="1" ht="36">
      <c r="A91" s="1137">
        <v>31</v>
      </c>
      <c r="B91" s="3599"/>
      <c r="C91" s="1051" t="s">
        <v>1554</v>
      </c>
      <c r="D91" s="1051" t="s">
        <v>1555</v>
      </c>
      <c r="E91" s="1122">
        <v>0.2</v>
      </c>
      <c r="F91" s="1137">
        <v>30</v>
      </c>
    </row>
    <row r="92" spans="1:6" s="1088" customFormat="1" ht="24">
      <c r="A92" s="1137">
        <v>32</v>
      </c>
      <c r="B92" s="3599" t="s">
        <v>1556</v>
      </c>
      <c r="C92" s="1137" t="s">
        <v>1557</v>
      </c>
      <c r="D92" s="1051" t="s">
        <v>1558</v>
      </c>
      <c r="E92" s="1122">
        <v>0.2</v>
      </c>
      <c r="F92" s="1137">
        <v>30</v>
      </c>
    </row>
    <row r="93" spans="1:6" s="1088" customFormat="1" ht="36">
      <c r="A93" s="1137">
        <v>33</v>
      </c>
      <c r="B93" s="3599"/>
      <c r="C93" s="1137" t="s">
        <v>1559</v>
      </c>
      <c r="D93" s="1051" t="s">
        <v>1560</v>
      </c>
      <c r="E93" s="1122">
        <v>0.2</v>
      </c>
      <c r="F93" s="1137">
        <v>30</v>
      </c>
    </row>
    <row r="94" spans="1:6" s="1088" customFormat="1" ht="48">
      <c r="A94" s="1137">
        <v>34</v>
      </c>
      <c r="B94" s="3599"/>
      <c r="C94" s="1137" t="s">
        <v>1561</v>
      </c>
      <c r="D94" s="1051" t="s">
        <v>1562</v>
      </c>
      <c r="E94" s="1122">
        <v>0.2</v>
      </c>
      <c r="F94" s="1137">
        <v>30</v>
      </c>
    </row>
    <row r="95" spans="1:6" s="1088" customFormat="1" ht="36">
      <c r="A95" s="1137">
        <v>35</v>
      </c>
      <c r="B95" s="3599"/>
      <c r="C95" s="1137" t="s">
        <v>1563</v>
      </c>
      <c r="D95" s="1051" t="s">
        <v>1564</v>
      </c>
      <c r="E95" s="1122">
        <v>0.2</v>
      </c>
      <c r="F95" s="1137">
        <v>30</v>
      </c>
    </row>
    <row r="96" spans="1:6" s="1088" customFormat="1" ht="48">
      <c r="A96" s="1137">
        <v>36</v>
      </c>
      <c r="B96" s="3599"/>
      <c r="C96" s="1051" t="s">
        <v>1565</v>
      </c>
      <c r="D96" s="1051" t="s">
        <v>1566</v>
      </c>
      <c r="E96" s="1122">
        <v>0.2</v>
      </c>
      <c r="F96" s="1137">
        <v>30</v>
      </c>
    </row>
    <row r="97" spans="1:6" s="1088" customFormat="1" ht="36">
      <c r="A97" s="1137">
        <v>37</v>
      </c>
      <c r="B97" s="3599"/>
      <c r="C97" s="1137" t="s">
        <v>1567</v>
      </c>
      <c r="D97" s="1051" t="s">
        <v>1568</v>
      </c>
      <c r="E97" s="1122">
        <v>0.2</v>
      </c>
      <c r="F97" s="1137">
        <v>30</v>
      </c>
    </row>
    <row r="98" spans="1:6" s="1088" customFormat="1" ht="36">
      <c r="A98" s="1137">
        <v>38</v>
      </c>
      <c r="B98" s="3599"/>
      <c r="C98" s="1137" t="s">
        <v>1569</v>
      </c>
      <c r="D98" s="1051" t="s">
        <v>1570</v>
      </c>
      <c r="E98" s="1122">
        <v>0.2</v>
      </c>
      <c r="F98" s="1137">
        <v>30</v>
      </c>
    </row>
    <row r="99" spans="1:6" s="1088" customFormat="1" ht="36">
      <c r="A99" s="1137">
        <v>39</v>
      </c>
      <c r="B99" s="3599" t="s">
        <v>1571</v>
      </c>
      <c r="C99" s="1137" t="s">
        <v>1572</v>
      </c>
      <c r="D99" s="1051" t="s">
        <v>1573</v>
      </c>
      <c r="E99" s="1122">
        <v>0.3</v>
      </c>
      <c r="F99" s="1137">
        <v>50</v>
      </c>
    </row>
    <row r="100" spans="1:6" s="1088" customFormat="1" ht="24">
      <c r="A100" s="1137">
        <v>40</v>
      </c>
      <c r="B100" s="3599"/>
      <c r="C100" s="1137" t="s">
        <v>1574</v>
      </c>
      <c r="D100" s="1051" t="s">
        <v>1575</v>
      </c>
      <c r="E100" s="1122">
        <v>0.2</v>
      </c>
      <c r="F100" s="1137">
        <v>30</v>
      </c>
    </row>
    <row r="101" spans="1:6" s="1088" customFormat="1" ht="36">
      <c r="A101" s="1137">
        <v>41</v>
      </c>
      <c r="B101" s="3599"/>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99" t="s">
        <v>1586</v>
      </c>
      <c r="C105" s="1137" t="s">
        <v>1587</v>
      </c>
      <c r="D105" s="1051" t="s">
        <v>1588</v>
      </c>
      <c r="E105" s="1122">
        <v>0.2</v>
      </c>
      <c r="F105" s="1137">
        <v>30</v>
      </c>
    </row>
    <row r="106" spans="1:6" s="1088" customFormat="1" ht="36">
      <c r="A106" s="1137">
        <v>46</v>
      </c>
      <c r="B106" s="3599"/>
      <c r="C106" s="1137" t="s">
        <v>1589</v>
      </c>
      <c r="D106" s="1051" t="s">
        <v>1590</v>
      </c>
      <c r="E106" s="1122">
        <v>0.2</v>
      </c>
      <c r="F106" s="1137">
        <v>30</v>
      </c>
    </row>
    <row r="107" spans="1:6" s="1088" customFormat="1" ht="36">
      <c r="A107" s="1137">
        <v>47</v>
      </c>
      <c r="B107" s="3599" t="s">
        <v>1591</v>
      </c>
      <c r="C107" s="1137" t="s">
        <v>1592</v>
      </c>
      <c r="D107" s="1051" t="s">
        <v>1593</v>
      </c>
      <c r="E107" s="1122">
        <v>0.3</v>
      </c>
      <c r="F107" s="1137">
        <v>50</v>
      </c>
    </row>
    <row r="108" spans="1:6" s="1088" customFormat="1" ht="36">
      <c r="A108" s="1137">
        <v>48</v>
      </c>
      <c r="B108" s="3599"/>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99" t="s">
        <v>1602</v>
      </c>
      <c r="C111" s="1137" t="s">
        <v>1603</v>
      </c>
      <c r="D111" s="1051" t="s">
        <v>1604</v>
      </c>
      <c r="E111" s="1122">
        <v>0.2</v>
      </c>
      <c r="F111" s="1137">
        <v>30</v>
      </c>
    </row>
    <row r="112" spans="1:6" s="1088" customFormat="1" ht="24">
      <c r="A112" s="1137">
        <v>52</v>
      </c>
      <c r="B112" s="3599"/>
      <c r="C112" s="1137" t="s">
        <v>1605</v>
      </c>
      <c r="D112" s="1051" t="s">
        <v>1606</v>
      </c>
      <c r="E112" s="1122">
        <v>0.2</v>
      </c>
      <c r="F112" s="1137">
        <v>30</v>
      </c>
    </row>
    <row r="113" spans="1:14" s="1088" customFormat="1" ht="24">
      <c r="A113" s="1137">
        <v>53</v>
      </c>
      <c r="B113" s="3599"/>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99" t="s">
        <v>1615</v>
      </c>
      <c r="C116" s="1137" t="s">
        <v>1616</v>
      </c>
      <c r="D116" s="1051" t="s">
        <v>1617</v>
      </c>
      <c r="E116" s="1122">
        <v>0.2</v>
      </c>
      <c r="F116" s="1137">
        <v>30</v>
      </c>
    </row>
    <row r="117" spans="1:14" ht="36">
      <c r="A117" s="1137">
        <v>57</v>
      </c>
      <c r="B117" s="3599"/>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98" t="s">
        <v>1624</v>
      </c>
      <c r="B121" s="3598"/>
      <c r="C121" s="3598"/>
      <c r="D121" s="3598"/>
      <c r="E121" s="3598"/>
      <c r="F121" s="3598"/>
      <c r="G121" s="3598"/>
      <c r="H121" s="3598"/>
      <c r="I121" s="3598"/>
      <c r="J121" s="3598"/>
      <c r="K121" s="1138"/>
      <c r="L121" s="1138"/>
      <c r="M121" s="1138"/>
      <c r="N121" s="1138"/>
    </row>
  </sheetData>
  <sheetProtection sheet="1" objects="1" scenarios="1" formatCells="0" formatColumns="0" formatRows="0"/>
  <mergeCells count="16">
    <mergeCell ref="B111:B113"/>
    <mergeCell ref="B116:B117"/>
    <mergeCell ref="A121:J121"/>
    <mergeCell ref="B107:B108"/>
    <mergeCell ref="A35:A39"/>
    <mergeCell ref="B36:B39"/>
    <mergeCell ref="B61:B75"/>
    <mergeCell ref="B76:B91"/>
    <mergeCell ref="B92:B98"/>
    <mergeCell ref="B99:B101"/>
    <mergeCell ref="B105:B106"/>
    <mergeCell ref="A18:A22"/>
    <mergeCell ref="B19:B22"/>
    <mergeCell ref="A23:A32"/>
    <mergeCell ref="B24:B32"/>
    <mergeCell ref="A33:A34"/>
  </mergeCells>
  <phoneticPr fontId="122"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125" style="1049" customWidth="1"/>
    <col min="6" max="6" width="9" style="1049"/>
    <col min="7" max="7" width="9" style="1052"/>
    <col min="8" max="8" width="9" style="1049"/>
    <col min="9" max="9" width="9" style="1052"/>
    <col min="10" max="16384" width="9" style="1049"/>
  </cols>
  <sheetData>
    <row r="1" spans="1:20">
      <c r="A1" s="3600" t="s">
        <v>1030</v>
      </c>
      <c r="B1" s="3600"/>
      <c r="C1" s="3600"/>
      <c r="D1" s="3600"/>
      <c r="E1" s="3600"/>
      <c r="F1" s="3600"/>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601" t="s">
        <v>1043</v>
      </c>
      <c r="B2" s="3601"/>
      <c r="C2" s="3601"/>
      <c r="D2" s="3601"/>
      <c r="E2" s="3601"/>
      <c r="F2" s="3601"/>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602"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603"/>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1020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2361</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2362</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2"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6553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1.2383999999999999</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794" customWidth="1"/>
    <col min="2" max="2" width="10.125" style="1795" customWidth="1"/>
  </cols>
  <sheetData>
    <row r="1" spans="1:6">
      <c r="A1" s="3604" t="s">
        <v>2026</v>
      </c>
      <c r="B1" s="3604"/>
    </row>
    <row r="2" spans="1:6" ht="14.25" thickBot="1">
      <c r="A2" s="1765"/>
      <c r="B2" s="1765"/>
    </row>
    <row r="3" spans="1:6" ht="14.25" thickBot="1">
      <c r="A3" s="1765"/>
      <c r="B3" s="1765"/>
      <c r="C3" s="1766" t="s">
        <v>2027</v>
      </c>
      <c r="D3" s="1766" t="s">
        <v>2028</v>
      </c>
      <c r="E3" s="1766" t="s">
        <v>2029</v>
      </c>
      <c r="F3" s="1766" t="s">
        <v>2030</v>
      </c>
    </row>
    <row r="4" spans="1:6" ht="14.25" thickBot="1">
      <c r="A4" s="1767" t="s">
        <v>2031</v>
      </c>
      <c r="B4" s="1768" t="s">
        <v>2032</v>
      </c>
      <c r="C4" s="1766"/>
      <c r="D4" s="1766"/>
      <c r="E4" s="1766"/>
      <c r="F4" s="1766"/>
    </row>
    <row r="5" spans="1:6" ht="14.25" thickBot="1">
      <c r="A5" s="1769" t="s">
        <v>2033</v>
      </c>
      <c r="B5" s="1770" t="s">
        <v>2034</v>
      </c>
      <c r="C5" s="1771">
        <v>8.8999999999999996E-2</v>
      </c>
      <c r="D5" s="1771">
        <v>7.3999999999999996E-2</v>
      </c>
      <c r="E5" s="1771">
        <v>7.4999999999999997E-2</v>
      </c>
      <c r="F5" s="1772">
        <v>0.1</v>
      </c>
    </row>
    <row r="6" spans="1:6" ht="14.25" thickBot="1">
      <c r="A6" s="1769" t="s">
        <v>1087</v>
      </c>
      <c r="B6" s="1773" t="s">
        <v>2035</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2036</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2037</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2038</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2039</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24.75" thickBot="1">
      <c r="A72" s="1769" t="s">
        <v>916</v>
      </c>
      <c r="B72" s="1773" t="s">
        <v>2040</v>
      </c>
      <c r="C72" s="1783"/>
      <c r="D72" s="1783"/>
      <c r="E72" s="1783"/>
      <c r="F72" s="1775">
        <v>0.05</v>
      </c>
    </row>
    <row r="73" spans="1:6" ht="24.75" thickBot="1">
      <c r="A73" s="1769" t="s">
        <v>916</v>
      </c>
      <c r="B73" s="1773" t="s">
        <v>2041</v>
      </c>
      <c r="C73" s="1783"/>
      <c r="D73" s="1783"/>
      <c r="E73" s="1783"/>
      <c r="F73" s="1775">
        <v>0.05</v>
      </c>
    </row>
    <row r="74" spans="1:6" ht="24.75" thickBot="1">
      <c r="A74" s="1769" t="s">
        <v>916</v>
      </c>
      <c r="B74" s="1773" t="s">
        <v>2042</v>
      </c>
      <c r="C74" s="1783"/>
      <c r="D74" s="1783"/>
      <c r="E74" s="1783"/>
      <c r="F74" s="1775">
        <v>0.05</v>
      </c>
    </row>
    <row r="75" spans="1:6" ht="24.75" thickBot="1">
      <c r="A75" s="1777" t="s">
        <v>916</v>
      </c>
      <c r="B75" s="1784" t="s">
        <v>2043</v>
      </c>
      <c r="C75" s="1780"/>
      <c r="D75" s="1780"/>
      <c r="E75" s="1780"/>
      <c r="F75" s="1785">
        <v>0.05</v>
      </c>
    </row>
    <row r="76" spans="1:6" ht="14.25" thickBot="1">
      <c r="A76" s="1769" t="s">
        <v>1398</v>
      </c>
      <c r="B76" s="1770" t="s">
        <v>2044</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24.75" thickBot="1">
      <c r="A102" s="1769" t="s">
        <v>1398</v>
      </c>
      <c r="B102" s="1773" t="s">
        <v>2045</v>
      </c>
      <c r="C102" s="1783"/>
      <c r="D102" s="1783"/>
      <c r="E102" s="1783"/>
      <c r="F102" s="1775">
        <v>0.05</v>
      </c>
    </row>
    <row r="103" spans="1:6" ht="24.75" thickBot="1">
      <c r="A103" s="1769" t="s">
        <v>1398</v>
      </c>
      <c r="B103" s="1773" t="s">
        <v>2046</v>
      </c>
      <c r="C103" s="1783"/>
      <c r="D103" s="1783"/>
      <c r="E103" s="1783"/>
      <c r="F103" s="1775">
        <v>0.05</v>
      </c>
    </row>
    <row r="104" spans="1:6" ht="14.25" thickBot="1">
      <c r="A104" s="1769" t="s">
        <v>1398</v>
      </c>
      <c r="B104" s="1773" t="s">
        <v>2047</v>
      </c>
      <c r="C104" s="1783"/>
      <c r="D104" s="1783"/>
      <c r="E104" s="1783"/>
      <c r="F104" s="1775">
        <v>0.05</v>
      </c>
    </row>
    <row r="105" spans="1:6" ht="14.25" thickBot="1">
      <c r="A105" s="1769" t="s">
        <v>1398</v>
      </c>
      <c r="B105" s="1773" t="s">
        <v>2048</v>
      </c>
      <c r="C105" s="1783"/>
      <c r="D105" s="1783"/>
      <c r="E105" s="1783"/>
      <c r="F105" s="1775">
        <v>0.05</v>
      </c>
    </row>
    <row r="106" spans="1:6" ht="14.25" thickBot="1">
      <c r="A106" s="1769" t="s">
        <v>1398</v>
      </c>
      <c r="B106" s="1773" t="s">
        <v>2049</v>
      </c>
      <c r="C106" s="1783"/>
      <c r="D106" s="1783"/>
      <c r="E106" s="1783"/>
      <c r="F106" s="1775">
        <v>0.05</v>
      </c>
    </row>
    <row r="107" spans="1:6" ht="24.75" thickBot="1">
      <c r="A107" s="1769" t="s">
        <v>1398</v>
      </c>
      <c r="B107" s="1773" t="s">
        <v>2050</v>
      </c>
      <c r="C107" s="1783"/>
      <c r="D107" s="1783"/>
      <c r="E107" s="1783"/>
      <c r="F107" s="1775">
        <v>0.05</v>
      </c>
    </row>
    <row r="108" spans="1:6" ht="24.75" thickBot="1">
      <c r="A108" s="1769" t="s">
        <v>1398</v>
      </c>
      <c r="B108" s="1773" t="s">
        <v>2051</v>
      </c>
      <c r="C108" s="1783"/>
      <c r="D108" s="1783"/>
      <c r="E108" s="1783"/>
      <c r="F108" s="1775">
        <v>0.05</v>
      </c>
    </row>
    <row r="109" spans="1:6" ht="24.75" thickBot="1">
      <c r="A109" s="1777" t="s">
        <v>1398</v>
      </c>
      <c r="B109" s="1784" t="s">
        <v>2052</v>
      </c>
      <c r="C109" s="1780"/>
      <c r="D109" s="1780"/>
      <c r="E109" s="1780"/>
      <c r="F109" s="1785">
        <v>0.05</v>
      </c>
    </row>
    <row r="110" spans="1:6" ht="14.25" thickBot="1">
      <c r="A110" s="1769" t="s">
        <v>1400</v>
      </c>
      <c r="B110" s="1770" t="s">
        <v>2053</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2054</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2055</v>
      </c>
      <c r="C138" s="1774">
        <v>0.105</v>
      </c>
      <c r="D138" s="1774">
        <v>0.125</v>
      </c>
      <c r="E138" s="1774">
        <v>0.112</v>
      </c>
      <c r="F138" s="1782"/>
    </row>
    <row r="139" spans="1:6" ht="14.25" thickBot="1">
      <c r="A139" s="1769" t="s">
        <v>1400</v>
      </c>
      <c r="B139" s="1773" t="s">
        <v>2056</v>
      </c>
      <c r="C139" s="1774">
        <v>0.127</v>
      </c>
      <c r="D139" s="1774">
        <v>0.127</v>
      </c>
      <c r="E139" s="1774">
        <v>0.122</v>
      </c>
      <c r="F139" s="1775">
        <v>0.13</v>
      </c>
    </row>
    <row r="140" spans="1:6" ht="14.25" thickBot="1">
      <c r="A140" s="1769" t="s">
        <v>1400</v>
      </c>
      <c r="B140" s="1773" t="s">
        <v>2057</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2058</v>
      </c>
      <c r="C144" s="1787">
        <v>0.126</v>
      </c>
      <c r="D144" s="1787">
        <v>0.126</v>
      </c>
      <c r="E144" s="1787">
        <v>0.121</v>
      </c>
      <c r="F144" s="1782"/>
    </row>
    <row r="145" spans="1:6" ht="14.25" thickBot="1">
      <c r="A145" s="1777" t="s">
        <v>1400</v>
      </c>
      <c r="B145" s="1788" t="s">
        <v>2059</v>
      </c>
      <c r="C145" s="1789"/>
      <c r="D145" s="1789"/>
      <c r="E145" s="1789"/>
      <c r="F145" s="1790">
        <v>0.05</v>
      </c>
    </row>
    <row r="146" spans="1:6" ht="24.75" thickBot="1">
      <c r="A146" s="1791" t="s">
        <v>1400</v>
      </c>
      <c r="B146" s="1776" t="s">
        <v>2060</v>
      </c>
      <c r="C146" s="1783"/>
      <c r="D146" s="1783"/>
      <c r="E146" s="1783"/>
      <c r="F146" s="1792">
        <v>0.05</v>
      </c>
    </row>
    <row r="147" spans="1:6" ht="24.75" thickBot="1">
      <c r="A147" s="1769" t="s">
        <v>1400</v>
      </c>
      <c r="B147" s="1773" t="s">
        <v>2061</v>
      </c>
      <c r="C147" s="1783"/>
      <c r="D147" s="1783"/>
      <c r="E147" s="1783"/>
      <c r="F147" s="1775">
        <v>0.05</v>
      </c>
    </row>
    <row r="148" spans="1:6" ht="24.75" thickBot="1">
      <c r="A148" s="1769" t="s">
        <v>1400</v>
      </c>
      <c r="B148" s="1773" t="s">
        <v>2062</v>
      </c>
      <c r="C148" s="1783"/>
      <c r="D148" s="1783"/>
      <c r="E148" s="1783"/>
      <c r="F148" s="1775">
        <v>0.05</v>
      </c>
    </row>
    <row r="149" spans="1:6" ht="24.75" thickBot="1">
      <c r="A149" s="1769" t="s">
        <v>1400</v>
      </c>
      <c r="B149" s="1773" t="s">
        <v>2063</v>
      </c>
      <c r="C149" s="1783"/>
      <c r="D149" s="1783"/>
      <c r="E149" s="1783"/>
      <c r="F149" s="1775">
        <v>0.05</v>
      </c>
    </row>
    <row r="150" spans="1:6" ht="24.75" thickBot="1">
      <c r="A150" s="1769" t="s">
        <v>1400</v>
      </c>
      <c r="B150" s="1773" t="s">
        <v>2064</v>
      </c>
      <c r="C150" s="1783"/>
      <c r="D150" s="1783"/>
      <c r="E150" s="1783"/>
      <c r="F150" s="1775">
        <v>0.05</v>
      </c>
    </row>
    <row r="151" spans="1:6" ht="24.75" thickBot="1">
      <c r="A151" s="1769" t="s">
        <v>1400</v>
      </c>
      <c r="B151" s="1773" t="s">
        <v>2065</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2066</v>
      </c>
      <c r="C153" s="1783"/>
      <c r="D153" s="1783"/>
      <c r="E153" s="1783"/>
      <c r="F153" s="1775">
        <v>0.05</v>
      </c>
    </row>
    <row r="154" spans="1:6" ht="14.25" thickBot="1">
      <c r="A154" s="1769" t="s">
        <v>1400</v>
      </c>
      <c r="B154" s="1773" t="s">
        <v>2067</v>
      </c>
      <c r="C154" s="1783"/>
      <c r="D154" s="1783"/>
      <c r="E154" s="1783"/>
      <c r="F154" s="1775">
        <v>0.05</v>
      </c>
    </row>
    <row r="155" spans="1:6" ht="24.75" thickBot="1">
      <c r="A155" s="1769" t="s">
        <v>1400</v>
      </c>
      <c r="B155" s="1773" t="s">
        <v>2068</v>
      </c>
      <c r="C155" s="1783"/>
      <c r="D155" s="1783"/>
      <c r="E155" s="1783"/>
      <c r="F155" s="1775">
        <v>0.05</v>
      </c>
    </row>
    <row r="156" spans="1:6" ht="24.75" thickBot="1">
      <c r="A156" s="1769" t="s">
        <v>1400</v>
      </c>
      <c r="B156" s="1773" t="s">
        <v>2069</v>
      </c>
      <c r="C156" s="1783"/>
      <c r="D156" s="1783"/>
      <c r="E156" s="1783"/>
      <c r="F156" s="1775">
        <v>0.05</v>
      </c>
    </row>
    <row r="157" spans="1:6" ht="14.25" thickBot="1">
      <c r="A157" s="1777" t="s">
        <v>1400</v>
      </c>
      <c r="B157" s="1784" t="s">
        <v>2070</v>
      </c>
      <c r="C157" s="1780"/>
      <c r="D157" s="1780"/>
      <c r="E157" s="1780"/>
      <c r="F157" s="1785">
        <v>0.05</v>
      </c>
    </row>
    <row r="158" spans="1:6" ht="14.25" thickBot="1">
      <c r="A158" s="1769" t="s">
        <v>1402</v>
      </c>
      <c r="B158" s="1770" t="s">
        <v>2071</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2072</v>
      </c>
      <c r="C171" s="1774">
        <v>0.127</v>
      </c>
      <c r="D171" s="1774">
        <v>0.126</v>
      </c>
      <c r="E171" s="1774">
        <v>0.126</v>
      </c>
      <c r="F171" s="1775">
        <v>0.11799999999999999</v>
      </c>
    </row>
    <row r="172" spans="1:6" ht="14.25" thickBot="1">
      <c r="A172" s="1769" t="s">
        <v>1402</v>
      </c>
      <c r="B172" s="1773" t="s">
        <v>2073</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2074</v>
      </c>
      <c r="C174" s="1774">
        <v>0.13</v>
      </c>
      <c r="D174" s="1774">
        <v>0.13</v>
      </c>
      <c r="E174" s="1774">
        <v>0.13</v>
      </c>
      <c r="F174" s="1775">
        <v>0.13</v>
      </c>
    </row>
    <row r="175" spans="1:6" ht="14.25" thickBot="1">
      <c r="A175" s="1769" t="s">
        <v>1402</v>
      </c>
      <c r="B175" s="1773" t="s">
        <v>2075</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2076</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2077</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2078</v>
      </c>
      <c r="C185" s="1774">
        <v>0.127</v>
      </c>
      <c r="D185" s="1774">
        <v>0.127</v>
      </c>
      <c r="E185" s="1774">
        <v>0.128</v>
      </c>
      <c r="F185" s="1775">
        <v>0.13</v>
      </c>
    </row>
    <row r="186" spans="1:6" ht="24.75" thickBot="1">
      <c r="A186" s="1769" t="s">
        <v>1402</v>
      </c>
      <c r="B186" s="1773" t="s">
        <v>2079</v>
      </c>
      <c r="C186" s="1783"/>
      <c r="D186" s="1783"/>
      <c r="E186" s="1783"/>
      <c r="F186" s="1775">
        <v>0.05</v>
      </c>
    </row>
    <row r="187" spans="1:6" ht="14.25" thickBot="1">
      <c r="A187" s="1769" t="s">
        <v>1402</v>
      </c>
      <c r="B187" s="1773" t="s">
        <v>2080</v>
      </c>
      <c r="C187" s="1783"/>
      <c r="D187" s="1783"/>
      <c r="E187" s="1783"/>
      <c r="F187" s="1775">
        <v>0.05</v>
      </c>
    </row>
    <row r="188" spans="1:6" ht="24.75" thickBot="1">
      <c r="A188" s="1769" t="s">
        <v>1402</v>
      </c>
      <c r="B188" s="1773" t="s">
        <v>2081</v>
      </c>
      <c r="C188" s="1783"/>
      <c r="D188" s="1783"/>
      <c r="E188" s="1783"/>
      <c r="F188" s="1775">
        <v>0.05</v>
      </c>
    </row>
    <row r="189" spans="1:6" ht="24.75" thickBot="1">
      <c r="A189" s="1769" t="s">
        <v>1402</v>
      </c>
      <c r="B189" s="1773" t="s">
        <v>2082</v>
      </c>
      <c r="C189" s="1783"/>
      <c r="D189" s="1783"/>
      <c r="E189" s="1783"/>
      <c r="F189" s="1775">
        <v>0.05</v>
      </c>
    </row>
    <row r="190" spans="1:6" ht="24.75" thickBot="1">
      <c r="A190" s="1769" t="s">
        <v>1402</v>
      </c>
      <c r="B190" s="1773" t="s">
        <v>2083</v>
      </c>
      <c r="C190" s="1783"/>
      <c r="D190" s="1783"/>
      <c r="E190" s="1783"/>
      <c r="F190" s="1775">
        <v>0.05</v>
      </c>
    </row>
    <row r="191" spans="1:6" ht="24.75" thickBot="1">
      <c r="A191" s="1769" t="s">
        <v>1402</v>
      </c>
      <c r="B191" s="1773" t="s">
        <v>2084</v>
      </c>
      <c r="C191" s="1783"/>
      <c r="D191" s="1783"/>
      <c r="E191" s="1783"/>
      <c r="F191" s="1775">
        <v>0.05</v>
      </c>
    </row>
    <row r="192" spans="1:6" ht="24.75" thickBot="1">
      <c r="A192" s="1769" t="s">
        <v>1402</v>
      </c>
      <c r="B192" s="1773" t="s">
        <v>2085</v>
      </c>
      <c r="C192" s="1783"/>
      <c r="D192" s="1783"/>
      <c r="E192" s="1783"/>
      <c r="F192" s="1775">
        <v>0.05</v>
      </c>
    </row>
    <row r="193" spans="1:6" ht="24.75" thickBot="1">
      <c r="A193" s="1769" t="s">
        <v>1402</v>
      </c>
      <c r="B193" s="1773" t="s">
        <v>2086</v>
      </c>
      <c r="C193" s="1783"/>
      <c r="D193" s="1783"/>
      <c r="E193" s="1783"/>
      <c r="F193" s="1775">
        <v>0.05</v>
      </c>
    </row>
    <row r="194" spans="1:6" ht="24.75" thickBot="1">
      <c r="A194" s="1769" t="s">
        <v>1402</v>
      </c>
      <c r="B194" s="1773" t="s">
        <v>2087</v>
      </c>
      <c r="C194" s="1783"/>
      <c r="D194" s="1783"/>
      <c r="E194" s="1783"/>
      <c r="F194" s="1775">
        <v>0.05</v>
      </c>
    </row>
    <row r="195" spans="1:6" ht="14.25" thickBot="1">
      <c r="A195" s="1769" t="s">
        <v>1402</v>
      </c>
      <c r="B195" s="1773" t="s">
        <v>2088</v>
      </c>
      <c r="C195" s="1783"/>
      <c r="D195" s="1783"/>
      <c r="E195" s="1783"/>
      <c r="F195" s="1775">
        <v>0.05</v>
      </c>
    </row>
    <row r="196" spans="1:6" ht="24.75" thickBot="1">
      <c r="A196" s="1769" t="s">
        <v>1402</v>
      </c>
      <c r="B196" s="1773" t="s">
        <v>2089</v>
      </c>
      <c r="C196" s="1783"/>
      <c r="D196" s="1783"/>
      <c r="E196" s="1783"/>
      <c r="F196" s="1775">
        <v>0.05</v>
      </c>
    </row>
    <row r="197" spans="1:6" ht="24.75" thickBot="1">
      <c r="A197" s="1769" t="s">
        <v>1402</v>
      </c>
      <c r="B197" s="1773" t="s">
        <v>2090</v>
      </c>
      <c r="C197" s="1783"/>
      <c r="D197" s="1783"/>
      <c r="E197" s="1783"/>
      <c r="F197" s="1775">
        <v>0.05</v>
      </c>
    </row>
    <row r="198" spans="1:6" ht="24.75" thickBot="1">
      <c r="A198" s="1769" t="s">
        <v>1402</v>
      </c>
      <c r="B198" s="1773" t="s">
        <v>2091</v>
      </c>
      <c r="C198" s="1783"/>
      <c r="D198" s="1783"/>
      <c r="E198" s="1783"/>
      <c r="F198" s="1775">
        <v>0.05</v>
      </c>
    </row>
    <row r="199" spans="1:6" ht="24.75" thickBot="1">
      <c r="A199" s="1769" t="s">
        <v>1402</v>
      </c>
      <c r="B199" s="1773" t="s">
        <v>2092</v>
      </c>
      <c r="C199" s="1783"/>
      <c r="D199" s="1783"/>
      <c r="E199" s="1783"/>
      <c r="F199" s="1775">
        <v>0.05</v>
      </c>
    </row>
    <row r="200" spans="1:6" ht="24.75" thickBot="1">
      <c r="A200" s="1769" t="s">
        <v>1402</v>
      </c>
      <c r="B200" s="1773" t="s">
        <v>2093</v>
      </c>
      <c r="C200" s="1783"/>
      <c r="D200" s="1783"/>
      <c r="E200" s="1783"/>
      <c r="F200" s="1775">
        <v>0.05</v>
      </c>
    </row>
    <row r="201" spans="1:6" ht="24.75" thickBot="1">
      <c r="A201" s="1769" t="s">
        <v>1402</v>
      </c>
      <c r="B201" s="1773" t="s">
        <v>2094</v>
      </c>
      <c r="C201" s="1783"/>
      <c r="D201" s="1783"/>
      <c r="E201" s="1783"/>
      <c r="F201" s="1775">
        <v>0.05</v>
      </c>
    </row>
    <row r="202" spans="1:6" ht="24.75" thickBot="1">
      <c r="A202" s="1769" t="s">
        <v>1402</v>
      </c>
      <c r="B202" s="1773" t="s">
        <v>2095</v>
      </c>
      <c r="C202" s="1783"/>
      <c r="D202" s="1783"/>
      <c r="E202" s="1783"/>
      <c r="F202" s="1775">
        <v>0.05</v>
      </c>
    </row>
    <row r="203" spans="1:6" ht="24.75" thickBot="1">
      <c r="A203" s="1769" t="s">
        <v>1402</v>
      </c>
      <c r="B203" s="1773" t="s">
        <v>2096</v>
      </c>
      <c r="C203" s="1783"/>
      <c r="D203" s="1783"/>
      <c r="E203" s="1783"/>
      <c r="F203" s="1775">
        <v>0.05</v>
      </c>
    </row>
    <row r="204" spans="1:6" ht="14.25" thickBot="1">
      <c r="A204" s="1769" t="s">
        <v>1402</v>
      </c>
      <c r="B204" s="1773" t="s">
        <v>2097</v>
      </c>
      <c r="C204" s="1783"/>
      <c r="D204" s="1783"/>
      <c r="E204" s="1783"/>
      <c r="F204" s="1775">
        <v>0.05</v>
      </c>
    </row>
    <row r="205" spans="1:6" ht="14.25" thickBot="1">
      <c r="A205" s="1777" t="s">
        <v>1402</v>
      </c>
      <c r="B205" s="1784" t="s">
        <v>2098</v>
      </c>
      <c r="C205" s="1780"/>
      <c r="D205" s="1780"/>
      <c r="E205" s="1780"/>
      <c r="F205" s="1785">
        <v>0.05</v>
      </c>
    </row>
    <row r="206" spans="1:6" ht="14.25" thickBot="1">
      <c r="A206" s="1769" t="s">
        <v>1404</v>
      </c>
      <c r="B206" s="1770" t="s">
        <v>2099</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2100</v>
      </c>
      <c r="C210" s="1774">
        <v>0.15</v>
      </c>
      <c r="D210" s="1774">
        <v>0.15</v>
      </c>
      <c r="E210" s="1774">
        <v>0.15</v>
      </c>
      <c r="F210" s="1775">
        <v>0.13800000000000001</v>
      </c>
    </row>
    <row r="211" spans="1:6" ht="14.25" thickBot="1">
      <c r="A211" s="1769" t="s">
        <v>1404</v>
      </c>
      <c r="B211" s="1773" t="s">
        <v>2101</v>
      </c>
      <c r="C211" s="1774">
        <v>0.13700000000000001</v>
      </c>
      <c r="D211" s="1774">
        <v>0.13500000000000001</v>
      </c>
      <c r="E211" s="1774">
        <v>0.13600000000000001</v>
      </c>
      <c r="F211" s="1775">
        <v>0.1</v>
      </c>
    </row>
    <row r="212" spans="1:6" ht="14.25" thickBot="1">
      <c r="A212" s="1769" t="s">
        <v>1404</v>
      </c>
      <c r="B212" s="1773" t="s">
        <v>2102</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2103</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2104</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2105</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2106</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2107</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2108</v>
      </c>
      <c r="C231" s="1774">
        <v>0.128</v>
      </c>
      <c r="D231" s="1774">
        <v>0.125</v>
      </c>
      <c r="E231" s="1774">
        <v>0.13200000000000001</v>
      </c>
      <c r="F231" s="1782"/>
    </row>
    <row r="232" spans="1:6" ht="14.25" thickBot="1">
      <c r="A232" s="1769" t="s">
        <v>1404</v>
      </c>
      <c r="B232" s="1773" t="s">
        <v>2109</v>
      </c>
      <c r="C232" s="1774">
        <v>0.14499999999999999</v>
      </c>
      <c r="D232" s="1774">
        <v>0.14399999999999999</v>
      </c>
      <c r="E232" s="1774">
        <v>0.14599999999999999</v>
      </c>
      <c r="F232" s="1775">
        <v>0.13800000000000001</v>
      </c>
    </row>
    <row r="233" spans="1:6" ht="14.25" thickBot="1">
      <c r="A233" s="1769" t="s">
        <v>1404</v>
      </c>
      <c r="B233" s="1773" t="s">
        <v>2110</v>
      </c>
      <c r="C233" s="1774">
        <v>0.14499999999999999</v>
      </c>
      <c r="D233" s="1774">
        <v>0.14299999999999999</v>
      </c>
      <c r="E233" s="1774">
        <v>0.14199999999999999</v>
      </c>
      <c r="F233" s="1782"/>
    </row>
    <row r="234" spans="1:6" ht="14.25" thickBot="1">
      <c r="A234" s="1769" t="s">
        <v>1404</v>
      </c>
      <c r="B234" s="1773" t="s">
        <v>2111</v>
      </c>
      <c r="C234" s="1774">
        <v>0.14000000000000001</v>
      </c>
      <c r="D234" s="1774">
        <v>0.14000000000000001</v>
      </c>
      <c r="E234" s="1774">
        <v>0.14399999999999999</v>
      </c>
      <c r="F234" s="1782"/>
    </row>
    <row r="235" spans="1:6" ht="14.25" thickBot="1">
      <c r="A235" s="1769" t="s">
        <v>1404</v>
      </c>
      <c r="B235" s="1773" t="s">
        <v>2112</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2113</v>
      </c>
      <c r="C237" s="1783"/>
      <c r="D237" s="1783"/>
      <c r="E237" s="1783"/>
      <c r="F237" s="1775">
        <v>0.05</v>
      </c>
    </row>
    <row r="238" spans="1:6" ht="24.75" thickBot="1">
      <c r="A238" s="1769" t="s">
        <v>1404</v>
      </c>
      <c r="B238" s="1773" t="s">
        <v>2114</v>
      </c>
      <c r="C238" s="1783"/>
      <c r="D238" s="1783"/>
      <c r="E238" s="1783"/>
      <c r="F238" s="1775">
        <v>0.05</v>
      </c>
    </row>
    <row r="239" spans="1:6" ht="24.75" thickBot="1">
      <c r="A239" s="1769" t="s">
        <v>1404</v>
      </c>
      <c r="B239" s="1773" t="s">
        <v>2115</v>
      </c>
      <c r="C239" s="1783"/>
      <c r="D239" s="1783"/>
      <c r="E239" s="1783"/>
      <c r="F239" s="1775">
        <v>0.05</v>
      </c>
    </row>
    <row r="240" spans="1:6" ht="24.75" thickBot="1">
      <c r="A240" s="1769" t="s">
        <v>1404</v>
      </c>
      <c r="B240" s="1773" t="s">
        <v>2116</v>
      </c>
      <c r="C240" s="1783"/>
      <c r="D240" s="1783"/>
      <c r="E240" s="1783"/>
      <c r="F240" s="1775">
        <v>0.05</v>
      </c>
    </row>
    <row r="241" spans="1:6" ht="24.75" thickBot="1">
      <c r="A241" s="1769" t="s">
        <v>1404</v>
      </c>
      <c r="B241" s="1773" t="s">
        <v>2117</v>
      </c>
      <c r="C241" s="1783"/>
      <c r="D241" s="1783"/>
      <c r="E241" s="1783"/>
      <c r="F241" s="1775">
        <v>0.05</v>
      </c>
    </row>
    <row r="242" spans="1:6" ht="24.75" thickBot="1">
      <c r="A242" s="1769" t="s">
        <v>1404</v>
      </c>
      <c r="B242" s="1773" t="s">
        <v>2118</v>
      </c>
      <c r="C242" s="1783"/>
      <c r="D242" s="1783"/>
      <c r="E242" s="1783"/>
      <c r="F242" s="1775">
        <v>0.05</v>
      </c>
    </row>
    <row r="243" spans="1:6" ht="24.75" thickBot="1">
      <c r="A243" s="1769" t="s">
        <v>1404</v>
      </c>
      <c r="B243" s="1773" t="s">
        <v>2119</v>
      </c>
      <c r="C243" s="1783"/>
      <c r="D243" s="1783"/>
      <c r="E243" s="1783"/>
      <c r="F243" s="1775">
        <v>0.05</v>
      </c>
    </row>
    <row r="244" spans="1:6" ht="24.75" thickBot="1">
      <c r="A244" s="1777" t="s">
        <v>1404</v>
      </c>
      <c r="B244" s="1784" t="s">
        <v>2120</v>
      </c>
      <c r="C244" s="1780"/>
      <c r="D244" s="1780"/>
      <c r="E244" s="1780"/>
      <c r="F244" s="1785">
        <v>0.05</v>
      </c>
    </row>
    <row r="245" spans="1:6" ht="14.25" thickBot="1">
      <c r="A245" s="1769" t="s">
        <v>1406</v>
      </c>
      <c r="B245" s="1770" t="s">
        <v>2121</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2122</v>
      </c>
      <c r="C247" s="1774">
        <v>0.15</v>
      </c>
      <c r="D247" s="1774">
        <v>0.15</v>
      </c>
      <c r="E247" s="1774">
        <v>0.15</v>
      </c>
      <c r="F247" s="1775">
        <v>0.15</v>
      </c>
    </row>
    <row r="248" spans="1:6" ht="14.25" thickBot="1">
      <c r="A248" s="1769" t="s">
        <v>1406</v>
      </c>
      <c r="B248" s="1773" t="s">
        <v>2123</v>
      </c>
      <c r="C248" s="1774">
        <v>0.15</v>
      </c>
      <c r="D248" s="1774">
        <v>0.15</v>
      </c>
      <c r="E248" s="1774">
        <v>0.15</v>
      </c>
      <c r="F248" s="1775">
        <v>0.14000000000000001</v>
      </c>
    </row>
    <row r="249" spans="1:6" ht="14.25" thickBot="1">
      <c r="A249" s="1769" t="s">
        <v>1406</v>
      </c>
      <c r="B249" s="1773" t="s">
        <v>2124</v>
      </c>
      <c r="C249" s="1774">
        <v>0.15</v>
      </c>
      <c r="D249" s="1774">
        <v>0.14899999999999999</v>
      </c>
      <c r="E249" s="1774">
        <v>0.15</v>
      </c>
      <c r="F249" s="1775">
        <v>0.1</v>
      </c>
    </row>
    <row r="250" spans="1:6" ht="14.25" thickBot="1">
      <c r="A250" s="1769" t="s">
        <v>1406</v>
      </c>
      <c r="B250" s="1773" t="s">
        <v>2125</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2126</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2127</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2128</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2129</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2130</v>
      </c>
      <c r="C273" s="1774">
        <v>0.14199999999999999</v>
      </c>
      <c r="D273" s="1774">
        <v>0.14299999999999999</v>
      </c>
      <c r="E273" s="1774">
        <v>0.15</v>
      </c>
      <c r="F273" s="1775">
        <v>0.1</v>
      </c>
    </row>
    <row r="274" spans="1:6" ht="14.25" thickBot="1">
      <c r="A274" s="1769" t="s">
        <v>1406</v>
      </c>
      <c r="B274" s="1773" t="s">
        <v>2131</v>
      </c>
      <c r="C274" s="1774">
        <v>0.14799999999999999</v>
      </c>
      <c r="D274" s="1774">
        <v>0.14799999999999999</v>
      </c>
      <c r="E274" s="1774">
        <v>0.15</v>
      </c>
      <c r="F274" s="1775">
        <v>6.7000000000000004E-2</v>
      </c>
    </row>
    <row r="275" spans="1:6" ht="14.25" thickBot="1">
      <c r="A275" s="1769" t="s">
        <v>1406</v>
      </c>
      <c r="B275" s="1773" t="s">
        <v>2132</v>
      </c>
      <c r="C275" s="1774">
        <v>0.15</v>
      </c>
      <c r="D275" s="1774">
        <v>0.15</v>
      </c>
      <c r="E275" s="1774">
        <v>0.15</v>
      </c>
      <c r="F275" s="1775">
        <v>0.15</v>
      </c>
    </row>
    <row r="276" spans="1:6" ht="14.25" thickBot="1">
      <c r="A276" s="1769" t="s">
        <v>1406</v>
      </c>
      <c r="B276" s="1773" t="s">
        <v>2133</v>
      </c>
      <c r="C276" s="1774">
        <v>0.14499999999999999</v>
      </c>
      <c r="D276" s="1774">
        <v>0.14299999999999999</v>
      </c>
      <c r="E276" s="1774">
        <v>0.15</v>
      </c>
      <c r="F276" s="1775">
        <v>5.8999999999999997E-2</v>
      </c>
    </row>
    <row r="277" spans="1:6" ht="14.25" thickBot="1">
      <c r="A277" s="1769" t="s">
        <v>1406</v>
      </c>
      <c r="B277" s="1773" t="s">
        <v>2134</v>
      </c>
      <c r="C277" s="1774">
        <v>0.15</v>
      </c>
      <c r="D277" s="1774">
        <v>0.15</v>
      </c>
      <c r="E277" s="1774">
        <v>0.15</v>
      </c>
      <c r="F277" s="1775">
        <v>0.121</v>
      </c>
    </row>
    <row r="278" spans="1:6" ht="14.25" thickBot="1">
      <c r="A278" s="1769" t="s">
        <v>1406</v>
      </c>
      <c r="B278" s="1773" t="s">
        <v>2135</v>
      </c>
      <c r="C278" s="1774">
        <v>0.15</v>
      </c>
      <c r="D278" s="1774">
        <v>0.15</v>
      </c>
      <c r="E278" s="1774">
        <v>0.15</v>
      </c>
      <c r="F278" s="1775">
        <v>0.13800000000000001</v>
      </c>
    </row>
    <row r="279" spans="1:6" ht="24.75" thickBot="1">
      <c r="A279" s="1769" t="s">
        <v>1406</v>
      </c>
      <c r="B279" s="1773" t="s">
        <v>2136</v>
      </c>
      <c r="C279" s="1783"/>
      <c r="D279" s="1783"/>
      <c r="E279" s="1783"/>
      <c r="F279" s="1775">
        <v>0.05</v>
      </c>
    </row>
    <row r="280" spans="1:6" ht="24.75" thickBot="1">
      <c r="A280" s="1769" t="s">
        <v>1406</v>
      </c>
      <c r="B280" s="1773" t="s">
        <v>2137</v>
      </c>
      <c r="C280" s="1783"/>
      <c r="D280" s="1783"/>
      <c r="E280" s="1783"/>
      <c r="F280" s="1775">
        <v>0.05</v>
      </c>
    </row>
    <row r="281" spans="1:6" ht="24.75" thickBot="1">
      <c r="A281" s="1769" t="s">
        <v>1406</v>
      </c>
      <c r="B281" s="1773" t="s">
        <v>2138</v>
      </c>
      <c r="C281" s="1783"/>
      <c r="D281" s="1783"/>
      <c r="E281" s="1783"/>
      <c r="F281" s="1775">
        <v>0.05</v>
      </c>
    </row>
    <row r="282" spans="1:6" ht="24.75" thickBot="1">
      <c r="A282" s="1769" t="s">
        <v>1406</v>
      </c>
      <c r="B282" s="1773" t="s">
        <v>2139</v>
      </c>
      <c r="C282" s="1783"/>
      <c r="D282" s="1783"/>
      <c r="E282" s="1783"/>
      <c r="F282" s="1775">
        <v>0.05</v>
      </c>
    </row>
    <row r="283" spans="1:6" ht="24.75" thickBot="1">
      <c r="A283" s="1769" t="s">
        <v>1406</v>
      </c>
      <c r="B283" s="1773" t="s">
        <v>2140</v>
      </c>
      <c r="C283" s="1783"/>
      <c r="D283" s="1783"/>
      <c r="E283" s="1783"/>
      <c r="F283" s="1775">
        <v>0.05</v>
      </c>
    </row>
    <row r="284" spans="1:6" ht="24.75" thickBot="1">
      <c r="A284" s="1769" t="s">
        <v>1406</v>
      </c>
      <c r="B284" s="1773" t="s">
        <v>2141</v>
      </c>
      <c r="C284" s="1783"/>
      <c r="D284" s="1783"/>
      <c r="E284" s="1783"/>
      <c r="F284" s="1775">
        <v>0.05</v>
      </c>
    </row>
    <row r="285" spans="1:6" ht="24.75" thickBot="1">
      <c r="A285" s="1769" t="s">
        <v>1406</v>
      </c>
      <c r="B285" s="1773" t="s">
        <v>2142</v>
      </c>
      <c r="C285" s="1783"/>
      <c r="D285" s="1783"/>
      <c r="E285" s="1783"/>
      <c r="F285" s="1775">
        <v>0.05</v>
      </c>
    </row>
    <row r="286" spans="1:6" ht="24.75" thickBot="1">
      <c r="A286" s="1769" t="s">
        <v>1406</v>
      </c>
      <c r="B286" s="1773" t="s">
        <v>2143</v>
      </c>
      <c r="C286" s="1783"/>
      <c r="D286" s="1783"/>
      <c r="E286" s="1783"/>
      <c r="F286" s="1775">
        <v>0.05</v>
      </c>
    </row>
    <row r="287" spans="1:6" ht="24.75" thickBot="1">
      <c r="A287" s="1769" t="s">
        <v>1406</v>
      </c>
      <c r="B287" s="1773" t="s">
        <v>2144</v>
      </c>
      <c r="C287" s="1783"/>
      <c r="D287" s="1783"/>
      <c r="E287" s="1783"/>
      <c r="F287" s="1775">
        <v>0.05</v>
      </c>
    </row>
    <row r="288" spans="1:6" ht="24.75" thickBot="1">
      <c r="A288" s="1769" t="s">
        <v>1406</v>
      </c>
      <c r="B288" s="1773" t="s">
        <v>2145</v>
      </c>
      <c r="C288" s="1783"/>
      <c r="D288" s="1783"/>
      <c r="E288" s="1783"/>
      <c r="F288" s="1775">
        <v>0.05</v>
      </c>
    </row>
    <row r="289" spans="1:6" ht="24.75" thickBot="1">
      <c r="A289" s="1777" t="s">
        <v>1406</v>
      </c>
      <c r="B289" s="1784" t="s">
        <v>2146</v>
      </c>
      <c r="C289" s="1780"/>
      <c r="D289" s="1780"/>
      <c r="E289" s="1780"/>
      <c r="F289" s="1785">
        <v>0.05</v>
      </c>
    </row>
    <row r="290" spans="1:6" ht="14.25" thickBot="1">
      <c r="A290" s="1769" t="s">
        <v>1410</v>
      </c>
      <c r="B290" s="1770" t="s">
        <v>2147</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2148</v>
      </c>
      <c r="C292" s="1774">
        <v>0.15</v>
      </c>
      <c r="D292" s="1774">
        <v>0.15</v>
      </c>
      <c r="E292" s="1774">
        <v>0.15</v>
      </c>
      <c r="F292" s="1775">
        <v>0.14699999999999999</v>
      </c>
    </row>
    <row r="293" spans="1:6" ht="14.25" thickBot="1">
      <c r="A293" s="1769" t="s">
        <v>1410</v>
      </c>
      <c r="B293" s="1773" t="s">
        <v>2149</v>
      </c>
      <c r="C293" s="1783"/>
      <c r="D293" s="1783"/>
      <c r="E293" s="1783"/>
      <c r="F293" s="1775">
        <v>0.1</v>
      </c>
    </row>
    <row r="294" spans="1:6" ht="14.25" thickBot="1">
      <c r="A294" s="1769" t="s">
        <v>1410</v>
      </c>
      <c r="B294" s="1773" t="s">
        <v>2150</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2151</v>
      </c>
      <c r="C296" s="1774">
        <v>0.15</v>
      </c>
      <c r="D296" s="1774">
        <v>0.15</v>
      </c>
      <c r="E296" s="1774">
        <v>0.15</v>
      </c>
      <c r="F296" s="1775">
        <v>0.15</v>
      </c>
    </row>
    <row r="297" spans="1:6" ht="14.25" thickBot="1">
      <c r="A297" s="1769" t="s">
        <v>1410</v>
      </c>
      <c r="B297" s="1773" t="s">
        <v>2152</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2153</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2154</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2155</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2156</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2157</v>
      </c>
      <c r="C310" s="1774">
        <v>0.15</v>
      </c>
      <c r="D310" s="1774">
        <v>0.15</v>
      </c>
      <c r="E310" s="1774">
        <v>0.15</v>
      </c>
      <c r="F310" s="1775">
        <v>0.13700000000000001</v>
      </c>
    </row>
    <row r="311" spans="1:6" ht="14.25" thickBot="1">
      <c r="A311" s="1769" t="s">
        <v>1410</v>
      </c>
      <c r="B311" s="1773" t="s">
        <v>2158</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2159</v>
      </c>
      <c r="C313" s="1774">
        <v>0.15</v>
      </c>
      <c r="D313" s="1774">
        <v>0.15</v>
      </c>
      <c r="E313" s="1774">
        <v>0.15</v>
      </c>
      <c r="F313" s="1775">
        <v>0.15</v>
      </c>
    </row>
    <row r="314" spans="1:6" ht="24.75" thickBot="1">
      <c r="A314" s="1769" t="s">
        <v>1410</v>
      </c>
      <c r="B314" s="1773" t="s">
        <v>2160</v>
      </c>
      <c r="C314" s="1783"/>
      <c r="D314" s="1783"/>
      <c r="E314" s="1783"/>
      <c r="F314" s="1775">
        <v>0.05</v>
      </c>
    </row>
    <row r="315" spans="1:6" ht="24.75" thickBot="1">
      <c r="A315" s="1769" t="s">
        <v>1410</v>
      </c>
      <c r="B315" s="1773" t="s">
        <v>2161</v>
      </c>
      <c r="C315" s="1783"/>
      <c r="D315" s="1783"/>
      <c r="E315" s="1783"/>
      <c r="F315" s="1775">
        <v>0.05</v>
      </c>
    </row>
    <row r="316" spans="1:6" ht="24.75" thickBot="1">
      <c r="A316" s="1777" t="s">
        <v>1410</v>
      </c>
      <c r="B316" s="1784" t="s">
        <v>2162</v>
      </c>
      <c r="C316" s="1780"/>
      <c r="D316" s="1780"/>
      <c r="E316" s="1780"/>
      <c r="F316" s="1785">
        <v>0.05</v>
      </c>
    </row>
    <row r="317" spans="1:6" ht="14.25" thickBot="1">
      <c r="A317" s="1769" t="s">
        <v>2163</v>
      </c>
      <c r="B317" s="1770" t="s">
        <v>2164</v>
      </c>
      <c r="C317" s="1771">
        <v>0.15</v>
      </c>
      <c r="D317" s="1771">
        <v>0.15</v>
      </c>
      <c r="E317" s="1771">
        <v>0.15</v>
      </c>
      <c r="F317" s="1772">
        <v>0.15</v>
      </c>
    </row>
    <row r="318" spans="1:6" ht="14.25" thickBot="1">
      <c r="A318" s="1769" t="s">
        <v>2163</v>
      </c>
      <c r="B318" s="1773" t="s">
        <v>2165</v>
      </c>
      <c r="C318" s="1774">
        <v>0.107</v>
      </c>
      <c r="D318" s="1774">
        <v>0.11</v>
      </c>
      <c r="E318" s="1774">
        <v>0.112</v>
      </c>
      <c r="F318" s="1782"/>
    </row>
    <row r="319" spans="1:6" ht="14.25" thickBot="1">
      <c r="A319" s="1769" t="s">
        <v>2163</v>
      </c>
      <c r="B319" s="1773" t="s">
        <v>2166</v>
      </c>
      <c r="C319" s="1774">
        <v>0.15</v>
      </c>
      <c r="D319" s="1774">
        <v>0.15</v>
      </c>
      <c r="E319" s="1774">
        <v>0.15</v>
      </c>
      <c r="F319" s="1775">
        <v>0.15</v>
      </c>
    </row>
    <row r="320" spans="1:6" ht="14.25" thickBot="1">
      <c r="A320" s="1769" t="s">
        <v>2163</v>
      </c>
      <c r="B320" s="1773" t="s">
        <v>1098</v>
      </c>
      <c r="C320" s="1774">
        <v>0.15</v>
      </c>
      <c r="D320" s="1774">
        <v>0.15</v>
      </c>
      <c r="E320" s="1774">
        <v>0.15</v>
      </c>
      <c r="F320" s="1782"/>
    </row>
    <row r="321" spans="1:6" ht="14.25" thickBot="1">
      <c r="A321" s="1769" t="s">
        <v>2163</v>
      </c>
      <c r="B321" s="1773" t="s">
        <v>2167</v>
      </c>
      <c r="C321" s="1774">
        <v>0.15</v>
      </c>
      <c r="D321" s="1774">
        <v>0.15</v>
      </c>
      <c r="E321" s="1774">
        <v>0.15</v>
      </c>
      <c r="F321" s="1782"/>
    </row>
    <row r="322" spans="1:6" ht="14.25" thickBot="1">
      <c r="A322" s="1769" t="s">
        <v>2163</v>
      </c>
      <c r="B322" s="1773" t="s">
        <v>2168</v>
      </c>
      <c r="C322" s="1774">
        <v>0.15</v>
      </c>
      <c r="D322" s="1774">
        <v>0.15</v>
      </c>
      <c r="E322" s="1774">
        <v>0.15</v>
      </c>
      <c r="F322" s="1775">
        <v>0.15</v>
      </c>
    </row>
    <row r="323" spans="1:6" ht="14.25" thickBot="1">
      <c r="A323" s="1769" t="s">
        <v>2163</v>
      </c>
      <c r="B323" s="1773" t="s">
        <v>2169</v>
      </c>
      <c r="C323" s="1774">
        <v>0.15</v>
      </c>
      <c r="D323" s="1774">
        <v>0.15</v>
      </c>
      <c r="E323" s="1774">
        <v>0.15</v>
      </c>
      <c r="F323" s="1782"/>
    </row>
    <row r="324" spans="1:6" ht="14.25" thickBot="1">
      <c r="A324" s="1769" t="s">
        <v>2163</v>
      </c>
      <c r="B324" s="1773" t="s">
        <v>2170</v>
      </c>
      <c r="C324" s="1774">
        <v>0.15</v>
      </c>
      <c r="D324" s="1774">
        <v>0.15</v>
      </c>
      <c r="E324" s="1774">
        <v>0.15</v>
      </c>
      <c r="F324" s="1782"/>
    </row>
    <row r="325" spans="1:6" ht="14.25" thickBot="1">
      <c r="A325" s="1769" t="s">
        <v>2163</v>
      </c>
      <c r="B325" s="1773" t="s">
        <v>2171</v>
      </c>
      <c r="C325" s="1774">
        <v>0.15</v>
      </c>
      <c r="D325" s="1774">
        <v>0.15</v>
      </c>
      <c r="E325" s="1774">
        <v>0.15</v>
      </c>
      <c r="F325" s="1775">
        <v>0.14699999999999999</v>
      </c>
    </row>
    <row r="326" spans="1:6" ht="14.25" thickBot="1">
      <c r="A326" s="1769" t="s">
        <v>2163</v>
      </c>
      <c r="B326" s="1773" t="s">
        <v>1167</v>
      </c>
      <c r="C326" s="1774">
        <v>0.15</v>
      </c>
      <c r="D326" s="1774">
        <v>0.15</v>
      </c>
      <c r="E326" s="1774">
        <v>0.15</v>
      </c>
      <c r="F326" s="1782"/>
    </row>
    <row r="327" spans="1:6" ht="14.25" thickBot="1">
      <c r="A327" s="1769" t="s">
        <v>2163</v>
      </c>
      <c r="B327" s="1773" t="s">
        <v>2172</v>
      </c>
      <c r="C327" s="1774">
        <v>0.15</v>
      </c>
      <c r="D327" s="1774">
        <v>0.15</v>
      </c>
      <c r="E327" s="1774">
        <v>0.15</v>
      </c>
      <c r="F327" s="1775">
        <v>0.15</v>
      </c>
    </row>
    <row r="328" spans="1:6" ht="14.25" thickBot="1">
      <c r="A328" s="1769" t="s">
        <v>2163</v>
      </c>
      <c r="B328" s="1773" t="s">
        <v>1187</v>
      </c>
      <c r="C328" s="1774">
        <v>0.15</v>
      </c>
      <c r="D328" s="1774">
        <v>0.15</v>
      </c>
      <c r="E328" s="1774">
        <v>0.15</v>
      </c>
      <c r="F328" s="1775">
        <v>0.14099999999999999</v>
      </c>
    </row>
    <row r="329" spans="1:6" ht="14.25" thickBot="1">
      <c r="A329" s="1769" t="s">
        <v>2163</v>
      </c>
      <c r="B329" s="1773" t="s">
        <v>1197</v>
      </c>
      <c r="C329" s="1774">
        <v>0.15</v>
      </c>
      <c r="D329" s="1774">
        <v>0.15</v>
      </c>
      <c r="E329" s="1774">
        <v>0.15</v>
      </c>
      <c r="F329" s="1775">
        <v>0.15</v>
      </c>
    </row>
    <row r="330" spans="1:6" ht="14.25" thickBot="1">
      <c r="A330" s="1769" t="s">
        <v>2163</v>
      </c>
      <c r="B330" s="1773" t="s">
        <v>1207</v>
      </c>
      <c r="C330" s="1774">
        <v>0.15</v>
      </c>
      <c r="D330" s="1774">
        <v>0.15</v>
      </c>
      <c r="E330" s="1774">
        <v>0.15</v>
      </c>
      <c r="F330" s="1782"/>
    </row>
    <row r="331" spans="1:6" ht="14.25" thickBot="1">
      <c r="A331" s="1769" t="s">
        <v>2163</v>
      </c>
      <c r="B331" s="1773" t="s">
        <v>2173</v>
      </c>
      <c r="C331" s="1774">
        <v>0.15</v>
      </c>
      <c r="D331" s="1774">
        <v>0.15</v>
      </c>
      <c r="E331" s="1774">
        <v>0.15</v>
      </c>
      <c r="F331" s="1775">
        <v>0.15</v>
      </c>
    </row>
    <row r="332" spans="1:6" ht="14.25" thickBot="1">
      <c r="A332" s="1769" t="s">
        <v>2163</v>
      </c>
      <c r="B332" s="1773" t="s">
        <v>1227</v>
      </c>
      <c r="C332" s="1774">
        <v>0.15</v>
      </c>
      <c r="D332" s="1774">
        <v>0.15</v>
      </c>
      <c r="E332" s="1774">
        <v>0.15</v>
      </c>
      <c r="F332" s="1775">
        <v>0.15</v>
      </c>
    </row>
    <row r="333" spans="1:6" ht="14.25" thickBot="1">
      <c r="A333" s="1769" t="s">
        <v>2163</v>
      </c>
      <c r="B333" s="1773" t="s">
        <v>2174</v>
      </c>
      <c r="C333" s="1774">
        <v>0.15</v>
      </c>
      <c r="D333" s="1774">
        <v>0.15</v>
      </c>
      <c r="E333" s="1774">
        <v>0.15</v>
      </c>
      <c r="F333" s="1775">
        <v>0.14099999999999999</v>
      </c>
    </row>
    <row r="334" spans="1:6" ht="14.25" thickBot="1">
      <c r="A334" s="1769" t="s">
        <v>2163</v>
      </c>
      <c r="B334" s="1773" t="s">
        <v>1247</v>
      </c>
      <c r="C334" s="1774">
        <v>0.15</v>
      </c>
      <c r="D334" s="1774">
        <v>0.15</v>
      </c>
      <c r="E334" s="1774">
        <v>0.15</v>
      </c>
      <c r="F334" s="1775">
        <v>0.15</v>
      </c>
    </row>
    <row r="335" spans="1:6" ht="14.25" thickBot="1">
      <c r="A335" s="1769" t="s">
        <v>2163</v>
      </c>
      <c r="B335" s="1773" t="s">
        <v>1257</v>
      </c>
      <c r="C335" s="1774">
        <v>0.15</v>
      </c>
      <c r="D335" s="1774">
        <v>0.15</v>
      </c>
      <c r="E335" s="1774">
        <v>0.15</v>
      </c>
      <c r="F335" s="1782"/>
    </row>
    <row r="336" spans="1:6" ht="14.25" thickBot="1">
      <c r="A336" s="1769" t="s">
        <v>2163</v>
      </c>
      <c r="B336" s="1773" t="s">
        <v>2175</v>
      </c>
      <c r="C336" s="1774">
        <v>0.15</v>
      </c>
      <c r="D336" s="1774">
        <v>0.15</v>
      </c>
      <c r="E336" s="1774">
        <v>0.15</v>
      </c>
      <c r="F336" s="1775">
        <v>0.11799999999999999</v>
      </c>
    </row>
    <row r="337" spans="1:6" ht="14.25" thickBot="1">
      <c r="A337" s="1777" t="s">
        <v>2163</v>
      </c>
      <c r="B337" s="1784" t="s">
        <v>1275</v>
      </c>
      <c r="C337" s="1780"/>
      <c r="D337" s="1780"/>
      <c r="E337" s="1780"/>
      <c r="F337" s="1785">
        <v>0.14299999999999999</v>
      </c>
    </row>
    <row r="338" spans="1:6" ht="14.25" thickBot="1">
      <c r="A338" s="1769" t="s">
        <v>2176</v>
      </c>
      <c r="B338" s="1770" t="s">
        <v>2177</v>
      </c>
      <c r="C338" s="1771">
        <v>0.15</v>
      </c>
      <c r="D338" s="1771">
        <v>0.15</v>
      </c>
      <c r="E338" s="1771">
        <v>0.15</v>
      </c>
      <c r="F338" s="1793"/>
    </row>
    <row r="339" spans="1:6" ht="14.25" thickBot="1">
      <c r="A339" s="1769" t="s">
        <v>2176</v>
      </c>
      <c r="B339" s="1773" t="s">
        <v>2178</v>
      </c>
      <c r="C339" s="1774">
        <v>0.15</v>
      </c>
      <c r="D339" s="1774">
        <v>0.15</v>
      </c>
      <c r="E339" s="1774">
        <v>0.15</v>
      </c>
      <c r="F339" s="1782"/>
    </row>
    <row r="340" spans="1:6" ht="14.25" thickBot="1">
      <c r="A340" s="1769" t="s">
        <v>2176</v>
      </c>
      <c r="B340" s="1773" t="s">
        <v>2179</v>
      </c>
      <c r="C340" s="1774">
        <v>0.15</v>
      </c>
      <c r="D340" s="1774">
        <v>0.15</v>
      </c>
      <c r="E340" s="1774">
        <v>0.15</v>
      </c>
      <c r="F340" s="1782"/>
    </row>
    <row r="341" spans="1:6" ht="14.25" thickBot="1">
      <c r="A341" s="1769" t="s">
        <v>2180</v>
      </c>
      <c r="B341" s="1773" t="s">
        <v>2181</v>
      </c>
      <c r="C341" s="1774">
        <v>0.15</v>
      </c>
      <c r="D341" s="1774">
        <v>0.15</v>
      </c>
      <c r="E341" s="1774">
        <v>0.15</v>
      </c>
      <c r="F341" s="1775">
        <v>0.15</v>
      </c>
    </row>
    <row r="342" spans="1:6" ht="14.25" thickBot="1">
      <c r="A342" s="1769" t="s">
        <v>2176</v>
      </c>
      <c r="B342" s="1773" t="s">
        <v>2182</v>
      </c>
      <c r="C342" s="1774">
        <v>0.15</v>
      </c>
      <c r="D342" s="1774">
        <v>0.15</v>
      </c>
      <c r="E342" s="1774">
        <v>0.15</v>
      </c>
      <c r="F342" s="1775">
        <v>0.15</v>
      </c>
    </row>
    <row r="343" spans="1:6" ht="14.25" thickBot="1">
      <c r="A343" s="1769" t="s">
        <v>2176</v>
      </c>
      <c r="B343" s="1773" t="s">
        <v>2183</v>
      </c>
      <c r="C343" s="1774">
        <v>0.15</v>
      </c>
      <c r="D343" s="1774">
        <v>0.15</v>
      </c>
      <c r="E343" s="1774">
        <v>0.15</v>
      </c>
      <c r="F343" s="1775">
        <v>0.15</v>
      </c>
    </row>
    <row r="344" spans="1:6" ht="14.25" thickBot="1">
      <c r="A344" s="1777" t="s">
        <v>2176</v>
      </c>
      <c r="B344" s="1784" t="s">
        <v>2184</v>
      </c>
      <c r="C344" s="1779">
        <v>0.15</v>
      </c>
      <c r="D344" s="1779">
        <v>0.15</v>
      </c>
      <c r="E344" s="1779">
        <v>0.15</v>
      </c>
      <c r="F344" s="1785">
        <v>0.15</v>
      </c>
    </row>
  </sheetData>
  <sheetProtection password="C66D" sheet="1" objects="1" scenarios="1"/>
  <mergeCells count="1">
    <mergeCell ref="A1:B1"/>
  </mergeCells>
  <phoneticPr fontId="14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L5" sqref="L5"/>
    </sheetView>
  </sheetViews>
  <sheetFormatPr defaultColWidth="9" defaultRowHeight="12.75"/>
  <cols>
    <col min="1" max="1" width="9" style="2880"/>
    <col min="2" max="6" width="9" style="2880" customWidth="1"/>
    <col min="7" max="7" width="9" style="2918" customWidth="1"/>
    <col min="8" max="12" width="9" style="2880" customWidth="1"/>
    <col min="13" max="13" width="2.125" style="2880" customWidth="1"/>
    <col min="14" max="14" width="9" style="2918" customWidth="1"/>
    <col min="15" max="17" width="9" style="2880" customWidth="1"/>
    <col min="18" max="18" width="2.375" style="2880" customWidth="1"/>
    <col min="19" max="19" width="7.125" style="2918" customWidth="1"/>
    <col min="20" max="22" width="7.125" style="2880" customWidth="1"/>
    <col min="23" max="23" width="24" style="2880" customWidth="1"/>
    <col min="24" max="25" width="9" style="2880"/>
    <col min="26" max="27" width="11.625" style="2880" customWidth="1"/>
    <col min="28" max="28" width="9" style="2880"/>
    <col min="29" max="29" width="2" style="2880" customWidth="1"/>
    <col min="30" max="16384" width="9" style="2880"/>
  </cols>
  <sheetData>
    <row r="1" spans="1:34" s="2858" customFormat="1">
      <c r="B1" s="3607" t="s">
        <v>2509</v>
      </c>
      <c r="C1" s="3607"/>
      <c r="D1" s="3607"/>
      <c r="E1" s="3607"/>
      <c r="F1" s="3607"/>
      <c r="G1" s="3606" t="s">
        <v>2510</v>
      </c>
      <c r="H1" s="3606"/>
      <c r="I1" s="3606"/>
      <c r="J1" s="3606"/>
      <c r="K1" s="3606"/>
      <c r="L1" s="3606"/>
      <c r="N1" s="3606" t="s">
        <v>2511</v>
      </c>
      <c r="O1" s="3606"/>
      <c r="P1" s="3606"/>
      <c r="Q1" s="3606"/>
      <c r="S1" s="3606" t="s">
        <v>2512</v>
      </c>
      <c r="T1" s="3606"/>
      <c r="U1" s="3606"/>
      <c r="V1" s="3606"/>
      <c r="X1" s="3605" t="s">
        <v>2572</v>
      </c>
      <c r="Y1" s="3606"/>
      <c r="Z1" s="3606"/>
      <c r="AA1" s="3606"/>
      <c r="AB1" s="3606"/>
      <c r="AD1" s="3605" t="s">
        <v>2576</v>
      </c>
      <c r="AE1" s="3606"/>
      <c r="AF1" s="3606"/>
      <c r="AG1" s="3606"/>
      <c r="AH1" s="3606"/>
    </row>
    <row r="2" spans="1:34" s="2859" customFormat="1" ht="14.25" thickBot="1">
      <c r="B2" s="2860" t="s">
        <v>2513</v>
      </c>
      <c r="C2" s="2860" t="s">
        <v>2574</v>
      </c>
      <c r="D2" s="2861" t="s">
        <v>1635</v>
      </c>
      <c r="E2" s="2861" t="s">
        <v>1896</v>
      </c>
      <c r="F2" s="2860" t="s">
        <v>2575</v>
      </c>
      <c r="G2" s="2862"/>
      <c r="I2" s="2860" t="s">
        <v>2869</v>
      </c>
      <c r="J2" s="2861" t="s">
        <v>2871</v>
      </c>
      <c r="K2" s="2861" t="s">
        <v>2872</v>
      </c>
      <c r="L2" s="2860" t="s">
        <v>2873</v>
      </c>
      <c r="N2" s="2860" t="s">
        <v>2513</v>
      </c>
      <c r="O2" s="2861" t="s">
        <v>2870</v>
      </c>
      <c r="P2" s="2861" t="s">
        <v>1896</v>
      </c>
      <c r="Q2" s="2860" t="s">
        <v>2575</v>
      </c>
      <c r="S2" s="2860" t="s">
        <v>2513</v>
      </c>
      <c r="T2" s="2861" t="s">
        <v>2870</v>
      </c>
      <c r="U2" s="2861" t="s">
        <v>1896</v>
      </c>
      <c r="V2" s="2860" t="s">
        <v>2575</v>
      </c>
      <c r="X2" s="2860" t="s">
        <v>2513</v>
      </c>
      <c r="Y2" s="2860" t="s">
        <v>2574</v>
      </c>
      <c r="Z2" s="2861" t="s">
        <v>1635</v>
      </c>
      <c r="AA2" s="2861" t="s">
        <v>1896</v>
      </c>
      <c r="AB2" s="2860" t="s">
        <v>2575</v>
      </c>
      <c r="AD2" s="2860" t="s">
        <v>2513</v>
      </c>
      <c r="AE2" s="2860" t="s">
        <v>2574</v>
      </c>
      <c r="AF2" s="2861" t="s">
        <v>1635</v>
      </c>
      <c r="AG2" s="2861" t="s">
        <v>1896</v>
      </c>
      <c r="AH2" s="2860" t="s">
        <v>2575</v>
      </c>
    </row>
    <row r="3" spans="1:34" s="2869" customFormat="1" ht="14.25">
      <c r="A3" s="2863" t="s">
        <v>2879</v>
      </c>
      <c r="B3" s="2864"/>
      <c r="C3" s="2864"/>
      <c r="D3" s="2865"/>
      <c r="E3" s="2865"/>
      <c r="F3" s="2864"/>
      <c r="G3" s="2866"/>
      <c r="H3" s="2867"/>
      <c r="I3" s="2868">
        <f>ROUND(AVERAGE($I4:$I31),2)</f>
        <v>1.79</v>
      </c>
      <c r="J3" s="2868">
        <f>ROUND(AVERAGE($J4:$J31),2)</f>
        <v>1.2</v>
      </c>
      <c r="K3" s="2868">
        <f>ROUND(AVERAGE($K4:$K31),2)</f>
        <v>1.97</v>
      </c>
      <c r="L3" s="2868">
        <f>ROUND(AVERAGE($L4:$L31),2)</f>
        <v>1.27</v>
      </c>
      <c r="N3" s="2866"/>
      <c r="S3" s="2866"/>
      <c r="W3" s="2870"/>
      <c r="X3" s="2871">
        <f>ROUND(SUMPRODUCT(PRODUCT(1+N3:N$30)),4)</f>
        <v>1.5652999999999999</v>
      </c>
      <c r="Y3" s="2871">
        <f>ROUND(SUMPRODUCT(PRODUCT(1+O3:O$30)),4)</f>
        <v>1.3472</v>
      </c>
      <c r="Z3" s="2871">
        <f>Y3</f>
        <v>1.3472</v>
      </c>
      <c r="AA3" s="2871">
        <f>ROUND(SUMPRODUCT(PRODUCT(1+P3:P$30)),4)</f>
        <v>1.6335999999999999</v>
      </c>
      <c r="AB3" s="2871">
        <f>ROUND(SUMPRODUCT(PRODUCT(1+Q3:Q$30)),4)</f>
        <v>1.3880999999999999</v>
      </c>
      <c r="AD3" s="2872">
        <f>ROUND(AVERAGE(I3:I$31)/100,4)</f>
        <v>1.7899999999999999E-2</v>
      </c>
      <c r="AE3" s="2872">
        <f>ROUND(AVERAGE(J3:J$31)/100,4)</f>
        <v>1.2E-2</v>
      </c>
      <c r="AF3" s="2872">
        <f t="shared" ref="AF3:AF29" si="0">AE3</f>
        <v>1.2E-2</v>
      </c>
      <c r="AG3" s="2872">
        <f>ROUND(AVERAGE(K3:K$31)/100,4)</f>
        <v>1.9699999999999999E-2</v>
      </c>
      <c r="AH3" s="2872">
        <f>ROUND(AVERAGE(L3:L$31)/100,4)</f>
        <v>1.2699999999999999E-2</v>
      </c>
    </row>
    <row r="4" spans="1:34" s="2873" customFormat="1" ht="14.25">
      <c r="B4" s="2874"/>
      <c r="C4" s="2874"/>
      <c r="D4" s="2875"/>
      <c r="E4" s="2875"/>
      <c r="F4" s="2874"/>
      <c r="G4" s="2876"/>
      <c r="H4" s="2877"/>
      <c r="I4" s="2878"/>
      <c r="J4" s="2878"/>
      <c r="K4" s="2878"/>
      <c r="L4" s="2878"/>
      <c r="N4" s="2876"/>
      <c r="S4" s="2876"/>
      <c r="W4" s="2879"/>
      <c r="X4" s="2880"/>
      <c r="Y4" s="2880"/>
      <c r="Z4" s="2880"/>
      <c r="AA4" s="2880"/>
      <c r="AB4" s="2880"/>
      <c r="AD4" s="2881"/>
      <c r="AE4" s="2881"/>
      <c r="AF4" s="2881"/>
      <c r="AG4" s="2881"/>
      <c r="AH4" s="2881"/>
    </row>
    <row r="5" spans="1:34" s="2886" customFormat="1">
      <c r="A5" s="2882" t="s">
        <v>2907</v>
      </c>
      <c r="B5" s="2883">
        <f t="shared" ref="B5:C9" si="1">B6*(1+N5)</f>
        <v>481.4103506697644</v>
      </c>
      <c r="C5" s="2883">
        <f t="shared" si="1"/>
        <v>347.29066026648707</v>
      </c>
      <c r="D5" s="2883">
        <f t="shared" ref="D5:D14" si="2">C5</f>
        <v>347.29066026648707</v>
      </c>
      <c r="E5" s="2883">
        <f t="shared" ref="E5:E15" si="3">E6*(1+P5)</f>
        <v>690.85977273901995</v>
      </c>
      <c r="F5" s="2883">
        <f t="shared" ref="F5:F15" si="4">F6*(1+Q5)</f>
        <v>319.13136737000184</v>
      </c>
      <c r="G5" s="2876">
        <v>2020</v>
      </c>
      <c r="H5" s="2884">
        <v>3</v>
      </c>
      <c r="I5" s="2885">
        <v>0</v>
      </c>
      <c r="J5" s="2885">
        <v>0</v>
      </c>
      <c r="K5" s="2885">
        <v>0</v>
      </c>
      <c r="L5" s="2885">
        <v>0</v>
      </c>
      <c r="N5" s="2887">
        <f t="shared" ref="N5:N14" si="5">I5/100</f>
        <v>0</v>
      </c>
      <c r="O5" s="2887">
        <f t="shared" ref="O5:O14" si="6">J5/100</f>
        <v>0</v>
      </c>
      <c r="P5" s="2887">
        <f t="shared" ref="P5:P14" si="7">K5/100</f>
        <v>0</v>
      </c>
      <c r="Q5" s="2887">
        <f t="shared" ref="Q5:Q14" si="8">L5/100</f>
        <v>0</v>
      </c>
      <c r="S5" s="2888"/>
      <c r="W5" s="2889" t="s">
        <v>2880</v>
      </c>
      <c r="X5" s="2890">
        <f>ROUND(SUMPRODUCT(PRODUCT(1+N5:N$31)),4)</f>
        <v>1.6117999999999999</v>
      </c>
      <c r="Y5" s="2890">
        <f>ROUND(SUMPRODUCT(PRODUCT(1+O5:O$31)),4)</f>
        <v>1.3788</v>
      </c>
      <c r="Z5" s="2890">
        <f>Y5</f>
        <v>1.3788</v>
      </c>
      <c r="AA5" s="2890">
        <f>ROUND(SUMPRODUCT(PRODUCT(1+P5:P$31)),4)</f>
        <v>1.6872</v>
      </c>
      <c r="AB5" s="2890">
        <f>ROUND(SUMPRODUCT(PRODUCT(1+Q5:Q$31)),4)</f>
        <v>1.4069</v>
      </c>
      <c r="AD5" s="2891">
        <f>ROUND(AVERAGE(I5:I$31)/100,4)</f>
        <v>1.7899999999999999E-2</v>
      </c>
      <c r="AE5" s="2891">
        <f>ROUND(AVERAGE(J5:J$31)/100,4)</f>
        <v>1.2E-2</v>
      </c>
      <c r="AF5" s="2891">
        <f t="shared" ref="AF5:AF15" si="9">AE5</f>
        <v>1.2E-2</v>
      </c>
      <c r="AG5" s="2891">
        <f>ROUND(AVERAGE(K5:K$31)/100,4)</f>
        <v>1.9699999999999999E-2</v>
      </c>
      <c r="AH5" s="2891">
        <f>ROUND(AVERAGE(L5:L$31)/100,4)</f>
        <v>1.2699999999999999E-2</v>
      </c>
    </row>
    <row r="6" spans="1:34" s="2899" customFormat="1">
      <c r="A6" s="2892" t="s">
        <v>2906</v>
      </c>
      <c r="B6" s="2893">
        <f t="shared" si="1"/>
        <v>481.4103506697644</v>
      </c>
      <c r="C6" s="2893">
        <f t="shared" si="1"/>
        <v>347.29066026648707</v>
      </c>
      <c r="D6" s="2893">
        <f t="shared" si="2"/>
        <v>347.29066026648707</v>
      </c>
      <c r="E6" s="2893">
        <f t="shared" si="3"/>
        <v>690.85977273901995</v>
      </c>
      <c r="F6" s="2893">
        <f t="shared" si="4"/>
        <v>319.13136737000184</v>
      </c>
      <c r="G6" s="2876">
        <v>2020</v>
      </c>
      <c r="H6" s="2894">
        <v>2</v>
      </c>
      <c r="I6" s="2856">
        <v>0.31</v>
      </c>
      <c r="J6" s="2856">
        <v>-0.78</v>
      </c>
      <c r="K6" s="2856">
        <v>0.5</v>
      </c>
      <c r="L6" s="2857">
        <v>0.47</v>
      </c>
      <c r="M6" s="2880"/>
      <c r="N6" s="2895">
        <f t="shared" si="5"/>
        <v>3.0999999999999999E-3</v>
      </c>
      <c r="O6" s="2881">
        <f t="shared" si="6"/>
        <v>-7.8000000000000005E-3</v>
      </c>
      <c r="P6" s="2881">
        <f t="shared" si="7"/>
        <v>5.0000000000000001E-3</v>
      </c>
      <c r="Q6" s="2881">
        <f t="shared" si="8"/>
        <v>4.6999999999999993E-3</v>
      </c>
      <c r="R6" s="2896"/>
      <c r="S6" s="2897"/>
      <c r="T6" s="2898"/>
      <c r="U6" s="2898"/>
      <c r="V6" s="2898"/>
      <c r="W6" s="2880"/>
      <c r="X6" s="2880">
        <f>ROUND(SUMPRODUCT(PRODUCT(1+N6:N$31)),4)</f>
        <v>1.6117999999999999</v>
      </c>
      <c r="Y6" s="2880">
        <f>ROUND(SUMPRODUCT(PRODUCT(1+O6:O$31)),4)</f>
        <v>1.3788</v>
      </c>
      <c r="Z6" s="2880">
        <f>Y6</f>
        <v>1.3788</v>
      </c>
      <c r="AA6" s="2880">
        <f>ROUND(SUMPRODUCT(PRODUCT(1+P6:P$31)),4)</f>
        <v>1.6872</v>
      </c>
      <c r="AB6" s="2880">
        <f>ROUND(SUMPRODUCT(PRODUCT(1+Q6:Q$31)),4)</f>
        <v>1.4069</v>
      </c>
      <c r="AC6" s="2880"/>
      <c r="AD6" s="2881">
        <f>ROUND(AVERAGE(I6:I$31)/100,4)</f>
        <v>1.8599999999999998E-2</v>
      </c>
      <c r="AE6" s="2881">
        <f>ROUND(AVERAGE(J6:J$31)/100,4)</f>
        <v>1.2500000000000001E-2</v>
      </c>
      <c r="AF6" s="2881">
        <f t="shared" si="9"/>
        <v>1.2500000000000001E-2</v>
      </c>
      <c r="AG6" s="2881">
        <f>ROUND(AVERAGE(K6:K$31)/100,4)</f>
        <v>2.0400000000000001E-2</v>
      </c>
      <c r="AH6" s="2881">
        <f>ROUND(AVERAGE(L6:L$31)/100,4)</f>
        <v>1.32E-2</v>
      </c>
    </row>
    <row r="7" spans="1:34" s="2899" customFormat="1">
      <c r="A7" s="2892" t="s">
        <v>2904</v>
      </c>
      <c r="B7" s="2893">
        <f t="shared" si="1"/>
        <v>479.92259063878413</v>
      </c>
      <c r="C7" s="2893">
        <f t="shared" si="1"/>
        <v>350.02082268341775</v>
      </c>
      <c r="D7" s="2893">
        <f t="shared" si="2"/>
        <v>350.02082268341775</v>
      </c>
      <c r="E7" s="2893">
        <f t="shared" si="3"/>
        <v>687.42265944181099</v>
      </c>
      <c r="F7" s="2893">
        <f t="shared" si="4"/>
        <v>317.63846657708956</v>
      </c>
      <c r="G7" s="2876">
        <v>2020</v>
      </c>
      <c r="H7" s="2894">
        <v>1</v>
      </c>
      <c r="I7" s="2856">
        <v>0.12</v>
      </c>
      <c r="J7" s="2856">
        <v>-0.4</v>
      </c>
      <c r="K7" s="2856">
        <v>0.21</v>
      </c>
      <c r="L7" s="2857">
        <v>0.27</v>
      </c>
      <c r="M7" s="2880"/>
      <c r="N7" s="2895">
        <f t="shared" si="5"/>
        <v>1.1999999999999999E-3</v>
      </c>
      <c r="O7" s="2881">
        <f t="shared" si="6"/>
        <v>-4.0000000000000001E-3</v>
      </c>
      <c r="P7" s="2881">
        <f t="shared" si="7"/>
        <v>2.0999999999999999E-3</v>
      </c>
      <c r="Q7" s="2881">
        <f t="shared" si="8"/>
        <v>2.7000000000000001E-3</v>
      </c>
      <c r="R7" s="2896"/>
      <c r="S7" s="2897">
        <f>B7/B8-1</f>
        <v>1.2000000000000899E-3</v>
      </c>
      <c r="T7" s="2898">
        <f>C7/C8-1</f>
        <v>-4.0000000000000036E-3</v>
      </c>
      <c r="U7" s="2898">
        <f>E7/E8-1</f>
        <v>2.0999999999999908E-3</v>
      </c>
      <c r="V7" s="2898">
        <f>F7/F8-1</f>
        <v>2.6999999999999247E-3</v>
      </c>
      <c r="W7" s="2880"/>
      <c r="X7" s="2880">
        <f>ROUND(SUMPRODUCT(PRODUCT(1+N7:N$31)),4)</f>
        <v>1.6068</v>
      </c>
      <c r="Y7" s="2880">
        <f>ROUND(SUMPRODUCT(PRODUCT(1+O7:O$31)),4)</f>
        <v>1.3895999999999999</v>
      </c>
      <c r="Z7" s="2880">
        <f t="shared" ref="Z7:Z30" si="10">Y7</f>
        <v>1.3895999999999999</v>
      </c>
      <c r="AA7" s="2880">
        <f>ROUND(SUMPRODUCT(PRODUCT(1+P7:P$31)),4)</f>
        <v>1.6788000000000001</v>
      </c>
      <c r="AB7" s="2880">
        <f>ROUND(SUMPRODUCT(PRODUCT(1+Q7:Q$31)),4)</f>
        <v>1.4004000000000001</v>
      </c>
      <c r="AC7" s="2880"/>
      <c r="AD7" s="2881">
        <f>ROUND(AVERAGE(I7:I$31)/100,4)</f>
        <v>1.9199999999999998E-2</v>
      </c>
      <c r="AE7" s="2881">
        <f>ROUND(AVERAGE(J7:J$31)/100,4)</f>
        <v>1.3299999999999999E-2</v>
      </c>
      <c r="AF7" s="2881">
        <f t="shared" si="9"/>
        <v>1.3299999999999999E-2</v>
      </c>
      <c r="AG7" s="2881">
        <f>ROUND(AVERAGE(K7:K$31)/100,4)</f>
        <v>2.1100000000000001E-2</v>
      </c>
      <c r="AH7" s="2881">
        <f>ROUND(AVERAGE(L7:L$31)/100,4)</f>
        <v>1.3599999999999999E-2</v>
      </c>
    </row>
    <row r="8" spans="1:34" s="2899" customFormat="1">
      <c r="A8" s="2892" t="s">
        <v>2901</v>
      </c>
      <c r="B8" s="2893">
        <f t="shared" si="1"/>
        <v>479.34737379023579</v>
      </c>
      <c r="C8" s="2893">
        <f t="shared" si="1"/>
        <v>351.4265287986122</v>
      </c>
      <c r="D8" s="2893">
        <f t="shared" si="2"/>
        <v>351.4265287986122</v>
      </c>
      <c r="E8" s="2893">
        <f t="shared" si="3"/>
        <v>685.98209703803116</v>
      </c>
      <c r="F8" s="2893">
        <f t="shared" si="4"/>
        <v>316.78315206651001</v>
      </c>
      <c r="G8" s="2876">
        <v>2019</v>
      </c>
      <c r="H8" s="2894">
        <v>4</v>
      </c>
      <c r="I8" s="2894">
        <v>0.45</v>
      </c>
      <c r="J8" s="2894">
        <v>-0.12</v>
      </c>
      <c r="K8" s="2894">
        <v>0.54</v>
      </c>
      <c r="L8" s="2900">
        <v>0.48</v>
      </c>
      <c r="M8" s="2880"/>
      <c r="N8" s="2895">
        <f t="shared" si="5"/>
        <v>4.5000000000000005E-3</v>
      </c>
      <c r="O8" s="2881">
        <f t="shared" si="6"/>
        <v>-1.1999999999999999E-3</v>
      </c>
      <c r="P8" s="2881">
        <f t="shared" si="7"/>
        <v>5.4000000000000003E-3</v>
      </c>
      <c r="Q8" s="2881">
        <f t="shared" si="8"/>
        <v>4.7999999999999996E-3</v>
      </c>
      <c r="R8" s="2896"/>
      <c r="S8" s="2897"/>
      <c r="T8" s="2898"/>
      <c r="U8" s="2898"/>
      <c r="V8" s="2898"/>
      <c r="W8" s="2880"/>
      <c r="X8" s="2880">
        <f>ROUND(SUMPRODUCT(PRODUCT(1+N8:N$31)),4)</f>
        <v>1.6049</v>
      </c>
      <c r="Y8" s="2880">
        <f>ROUND(SUMPRODUCT(PRODUCT(1+O8:O$31)),4)</f>
        <v>1.3952</v>
      </c>
      <c r="Z8" s="2880">
        <f t="shared" si="10"/>
        <v>1.3952</v>
      </c>
      <c r="AA8" s="2880">
        <f>ROUND(SUMPRODUCT(PRODUCT(1+P8:P$31)),4)</f>
        <v>1.6753</v>
      </c>
      <c r="AB8" s="2880">
        <f>ROUND(SUMPRODUCT(PRODUCT(1+Q8:Q$31)),4)</f>
        <v>1.3966000000000001</v>
      </c>
      <c r="AC8" s="2880"/>
      <c r="AD8" s="2881">
        <f>ROUND(AVERAGE(I8:I$31)/100,4)</f>
        <v>0.02</v>
      </c>
      <c r="AE8" s="2881">
        <f>ROUND(AVERAGE(J8:J$31)/100,4)</f>
        <v>1.4E-2</v>
      </c>
      <c r="AF8" s="2881">
        <f t="shared" si="9"/>
        <v>1.4E-2</v>
      </c>
      <c r="AG8" s="2881">
        <f>ROUND(AVERAGE(K8:K$31)/100,4)</f>
        <v>2.1899999999999999E-2</v>
      </c>
      <c r="AH8" s="2881">
        <f>ROUND(AVERAGE(L8:L$31)/100,4)</f>
        <v>1.4E-2</v>
      </c>
    </row>
    <row r="9" spans="1:34" s="2899" customFormat="1" ht="13.5" thickBot="1">
      <c r="A9" s="2892" t="s">
        <v>2900</v>
      </c>
      <c r="B9" s="2893">
        <f t="shared" si="1"/>
        <v>477.19997390765138</v>
      </c>
      <c r="C9" s="2893">
        <f t="shared" si="1"/>
        <v>351.84874729536665</v>
      </c>
      <c r="D9" s="2893">
        <f t="shared" si="2"/>
        <v>351.84874729536665</v>
      </c>
      <c r="E9" s="2893">
        <f t="shared" si="3"/>
        <v>682.29768951465201</v>
      </c>
      <c r="F9" s="2893">
        <f t="shared" si="4"/>
        <v>315.26985675409043</v>
      </c>
      <c r="G9" s="2876">
        <v>2019</v>
      </c>
      <c r="H9" s="2894">
        <v>3</v>
      </c>
      <c r="I9" s="2894">
        <v>0.61</v>
      </c>
      <c r="J9" s="2894">
        <v>0.67</v>
      </c>
      <c r="K9" s="2894">
        <v>0.6</v>
      </c>
      <c r="L9" s="2900">
        <v>1.03</v>
      </c>
      <c r="M9" s="2880"/>
      <c r="N9" s="2895">
        <f t="shared" si="5"/>
        <v>6.0999999999999995E-3</v>
      </c>
      <c r="O9" s="2881">
        <f t="shared" si="6"/>
        <v>6.7000000000000002E-3</v>
      </c>
      <c r="P9" s="2881">
        <f t="shared" si="7"/>
        <v>6.0000000000000001E-3</v>
      </c>
      <c r="Q9" s="2881">
        <f t="shared" si="8"/>
        <v>1.03E-2</v>
      </c>
      <c r="R9" s="2896"/>
      <c r="S9" s="2897"/>
      <c r="T9" s="2898"/>
      <c r="U9" s="2898"/>
      <c r="V9" s="2898"/>
      <c r="W9" s="2880"/>
      <c r="X9" s="2880">
        <f>ROUND(SUMPRODUCT(PRODUCT(1+N9:N$31)),4)</f>
        <v>1.5976999999999999</v>
      </c>
      <c r="Y9" s="2880">
        <f>ROUND(SUMPRODUCT(PRODUCT(1+O9:O$31)),4)</f>
        <v>1.3969</v>
      </c>
      <c r="Z9" s="2880">
        <f t="shared" si="10"/>
        <v>1.3969</v>
      </c>
      <c r="AA9" s="2880">
        <f>ROUND(SUMPRODUCT(PRODUCT(1+P9:P$31)),4)</f>
        <v>1.6662999999999999</v>
      </c>
      <c r="AB9" s="2880">
        <f>ROUND(SUMPRODUCT(PRODUCT(1+Q9:Q$31)),4)</f>
        <v>1.3898999999999999</v>
      </c>
      <c r="AC9" s="2880"/>
      <c r="AD9" s="2881">
        <f>ROUND(AVERAGE(I9:I$31)/100,4)</f>
        <v>2.07E-2</v>
      </c>
      <c r="AE9" s="2881">
        <f>ROUND(AVERAGE(J9:J$31)/100,4)</f>
        <v>1.47E-2</v>
      </c>
      <c r="AF9" s="2881">
        <f t="shared" si="9"/>
        <v>1.47E-2</v>
      </c>
      <c r="AG9" s="2881">
        <f>ROUND(AVERAGE(K9:K$31)/100,4)</f>
        <v>2.2599999999999999E-2</v>
      </c>
      <c r="AH9" s="2881">
        <f>ROUND(AVERAGE(L9:L$31)/100,4)</f>
        <v>1.44E-2</v>
      </c>
    </row>
    <row r="10" spans="1:34" s="2899" customFormat="1">
      <c r="A10" s="2892" t="s">
        <v>2899</v>
      </c>
      <c r="B10" s="2893">
        <f t="shared" ref="B10:B15" si="11">B11*(1+N10)</f>
        <v>474.30670301923408</v>
      </c>
      <c r="C10" s="2893">
        <f t="shared" ref="C10:C15" si="12">C11*(1+O10)</f>
        <v>349.50705005996491</v>
      </c>
      <c r="D10" s="2893">
        <f t="shared" si="2"/>
        <v>349.50705005996491</v>
      </c>
      <c r="E10" s="2893">
        <f t="shared" si="3"/>
        <v>678.22831959706957</v>
      </c>
      <c r="F10" s="2893">
        <f t="shared" si="4"/>
        <v>312.0556832169558</v>
      </c>
      <c r="G10" s="2876">
        <v>2019</v>
      </c>
      <c r="H10" s="2901">
        <v>2</v>
      </c>
      <c r="I10" s="2901">
        <v>1.53</v>
      </c>
      <c r="J10" s="2901">
        <v>1.01</v>
      </c>
      <c r="K10" s="2901">
        <v>1.62</v>
      </c>
      <c r="L10" s="2902">
        <v>1.25</v>
      </c>
      <c r="M10" s="2880"/>
      <c r="N10" s="2895">
        <f t="shared" si="5"/>
        <v>1.5300000000000001E-2</v>
      </c>
      <c r="O10" s="2881">
        <f t="shared" si="6"/>
        <v>1.01E-2</v>
      </c>
      <c r="P10" s="2881">
        <f t="shared" si="7"/>
        <v>1.6200000000000003E-2</v>
      </c>
      <c r="Q10" s="2881">
        <f t="shared" si="8"/>
        <v>1.2500000000000001E-2</v>
      </c>
      <c r="R10" s="2896"/>
      <c r="S10" s="2897"/>
      <c r="T10" s="2898"/>
      <c r="U10" s="2898"/>
      <c r="V10" s="2898"/>
      <c r="W10" s="2880"/>
      <c r="X10" s="2880">
        <f>ROUND(SUMPRODUCT(PRODUCT(1+N10:N$31)),4)</f>
        <v>1.5880000000000001</v>
      </c>
      <c r="Y10" s="2880">
        <f>ROUND(SUMPRODUCT(PRODUCT(1+O10:O$31)),4)</f>
        <v>1.3875999999999999</v>
      </c>
      <c r="Z10" s="2880">
        <f t="shared" si="10"/>
        <v>1.3875999999999999</v>
      </c>
      <c r="AA10" s="2880">
        <f>ROUND(SUMPRODUCT(PRODUCT(1+P10:P$31)),4)</f>
        <v>1.6563000000000001</v>
      </c>
      <c r="AB10" s="2880">
        <f>ROUND(SUMPRODUCT(PRODUCT(1+Q10:Q$31)),4)</f>
        <v>1.3756999999999999</v>
      </c>
      <c r="AC10" s="2880"/>
      <c r="AD10" s="2881">
        <f>ROUND(AVERAGE(I10:I$31)/100,4)</f>
        <v>2.1299999999999999E-2</v>
      </c>
      <c r="AE10" s="2881">
        <f>ROUND(AVERAGE(J10:J$31)/100,4)</f>
        <v>1.4999999999999999E-2</v>
      </c>
      <c r="AF10" s="2881">
        <f t="shared" si="9"/>
        <v>1.4999999999999999E-2</v>
      </c>
      <c r="AG10" s="2881">
        <f>ROUND(AVERAGE(K10:K$31)/100,4)</f>
        <v>2.3300000000000001E-2</v>
      </c>
      <c r="AH10" s="2881">
        <f>ROUND(AVERAGE(L10:L$31)/100,4)</f>
        <v>1.46E-2</v>
      </c>
    </row>
    <row r="11" spans="1:34" s="2899" customFormat="1" ht="13.5" thickBot="1">
      <c r="A11" s="2892" t="s">
        <v>2898</v>
      </c>
      <c r="B11" s="2893">
        <f t="shared" si="11"/>
        <v>467.15916775261894</v>
      </c>
      <c r="C11" s="2893">
        <f t="shared" si="12"/>
        <v>346.01232557169084</v>
      </c>
      <c r="D11" s="2893">
        <f t="shared" si="2"/>
        <v>346.01232557169084</v>
      </c>
      <c r="E11" s="2893">
        <f t="shared" si="3"/>
        <v>667.41617752122568</v>
      </c>
      <c r="F11" s="2893">
        <f t="shared" si="4"/>
        <v>308.20314391798104</v>
      </c>
      <c r="G11" s="2876">
        <v>2019</v>
      </c>
      <c r="H11" s="2894">
        <v>1</v>
      </c>
      <c r="I11" s="2894">
        <v>0.6</v>
      </c>
      <c r="J11" s="2894">
        <v>0.37</v>
      </c>
      <c r="K11" s="2894">
        <v>0.63</v>
      </c>
      <c r="L11" s="2900">
        <v>1.1299999999999999</v>
      </c>
      <c r="M11" s="2880"/>
      <c r="N11" s="2895">
        <f t="shared" si="5"/>
        <v>6.0000000000000001E-3</v>
      </c>
      <c r="O11" s="2881">
        <f t="shared" si="6"/>
        <v>3.7000000000000002E-3</v>
      </c>
      <c r="P11" s="2881">
        <f t="shared" si="7"/>
        <v>6.3E-3</v>
      </c>
      <c r="Q11" s="2881">
        <f t="shared" si="8"/>
        <v>1.1299999999999999E-2</v>
      </c>
      <c r="R11" s="2896"/>
      <c r="S11" s="2897">
        <f>B11/B12-1</f>
        <v>6.0000000000000053E-3</v>
      </c>
      <c r="T11" s="2898">
        <f>C11/C12-1</f>
        <v>3.7000000000000366E-3</v>
      </c>
      <c r="U11" s="2898">
        <f>E11/E12-1</f>
        <v>6.2999999999999723E-3</v>
      </c>
      <c r="V11" s="2898">
        <f>F11/F12-1</f>
        <v>1.1300000000000088E-2</v>
      </c>
      <c r="W11" s="2880"/>
      <c r="X11" s="2880">
        <f>ROUND(SUMPRODUCT(PRODUCT(1+N11:N$31)),4)</f>
        <v>1.5641</v>
      </c>
      <c r="Y11" s="2880">
        <f>ROUND(SUMPRODUCT(PRODUCT(1+O11:O$31)),4)</f>
        <v>1.3736999999999999</v>
      </c>
      <c r="Z11" s="2880">
        <f t="shared" si="10"/>
        <v>1.3736999999999999</v>
      </c>
      <c r="AA11" s="2880">
        <f>ROUND(SUMPRODUCT(PRODUCT(1+P11:P$31)),4)</f>
        <v>1.6298999999999999</v>
      </c>
      <c r="AB11" s="2880">
        <f>ROUND(SUMPRODUCT(PRODUCT(1+Q11:Q$31)),4)</f>
        <v>1.3588</v>
      </c>
      <c r="AC11" s="2880"/>
      <c r="AD11" s="2881">
        <f>ROUND(AVERAGE(I11:I$31)/100,4)</f>
        <v>2.1600000000000001E-2</v>
      </c>
      <c r="AE11" s="2881">
        <f>ROUND(AVERAGE(J11:J$31)/100,4)</f>
        <v>1.5299999999999999E-2</v>
      </c>
      <c r="AF11" s="2881">
        <f t="shared" si="9"/>
        <v>1.5299999999999999E-2</v>
      </c>
      <c r="AG11" s="2881">
        <f>ROUND(AVERAGE(K11:K$31)/100,4)</f>
        <v>2.3699999999999999E-2</v>
      </c>
      <c r="AH11" s="2881">
        <f>ROUND(AVERAGE(L11:L$31)/100,4)</f>
        <v>1.47E-2</v>
      </c>
    </row>
    <row r="12" spans="1:34" s="2899" customFormat="1">
      <c r="A12" s="2892" t="s">
        <v>2896</v>
      </c>
      <c r="B12" s="2903">
        <f t="shared" si="11"/>
        <v>464.37293017158942</v>
      </c>
      <c r="C12" s="2903">
        <f t="shared" si="12"/>
        <v>344.73679941385956</v>
      </c>
      <c r="D12" s="2903">
        <f t="shared" si="2"/>
        <v>344.73679941385956</v>
      </c>
      <c r="E12" s="2903">
        <f t="shared" si="3"/>
        <v>663.2377795103107</v>
      </c>
      <c r="F12" s="2904">
        <f t="shared" si="4"/>
        <v>304.75936311478398</v>
      </c>
      <c r="G12" s="3609">
        <v>2018</v>
      </c>
      <c r="H12" s="2901">
        <v>4</v>
      </c>
      <c r="I12" s="2901">
        <v>0.96</v>
      </c>
      <c r="J12" s="2901">
        <v>1.03</v>
      </c>
      <c r="K12" s="2901">
        <v>0.92</v>
      </c>
      <c r="L12" s="2902">
        <v>1.29</v>
      </c>
      <c r="M12" s="2880"/>
      <c r="N12" s="2895">
        <f t="shared" si="5"/>
        <v>9.5999999999999992E-3</v>
      </c>
      <c r="O12" s="2881">
        <f t="shared" si="6"/>
        <v>1.03E-2</v>
      </c>
      <c r="P12" s="2881">
        <f t="shared" si="7"/>
        <v>9.1999999999999998E-3</v>
      </c>
      <c r="Q12" s="2881">
        <f t="shared" si="8"/>
        <v>1.29E-2</v>
      </c>
      <c r="R12" s="2896"/>
      <c r="S12" s="2905"/>
      <c r="T12" s="2906"/>
      <c r="U12" s="2906"/>
      <c r="V12" s="2906"/>
      <c r="W12" s="2880"/>
      <c r="X12" s="2880">
        <f>ROUND(SUMPRODUCT(PRODUCT(1+N12:N$31)),4)</f>
        <v>1.5548</v>
      </c>
      <c r="Y12" s="2880">
        <f>ROUND(SUMPRODUCT(PRODUCT(1+O12:O$31)),4)</f>
        <v>1.3686</v>
      </c>
      <c r="Z12" s="2880">
        <f t="shared" si="10"/>
        <v>1.3686</v>
      </c>
      <c r="AA12" s="2880">
        <f>ROUND(SUMPRODUCT(PRODUCT(1+P12:P$31)),4)</f>
        <v>1.6196999999999999</v>
      </c>
      <c r="AB12" s="2880">
        <f>ROUND(SUMPRODUCT(PRODUCT(1+Q12:Q$31)),4)</f>
        <v>1.3435999999999999</v>
      </c>
      <c r="AC12" s="2880"/>
      <c r="AD12" s="2881">
        <f>ROUND(AVERAGE(I12:I$31)/100,4)</f>
        <v>2.24E-2</v>
      </c>
      <c r="AE12" s="2881">
        <f>ROUND(AVERAGE(J12:J$31)/100,4)</f>
        <v>1.5800000000000002E-2</v>
      </c>
      <c r="AF12" s="2881">
        <f t="shared" si="9"/>
        <v>1.5800000000000002E-2</v>
      </c>
      <c r="AG12" s="2881">
        <f>ROUND(AVERAGE(K12:K$31)/100,4)</f>
        <v>2.4500000000000001E-2</v>
      </c>
      <c r="AH12" s="2881">
        <f>ROUND(AVERAGE(L12:L$31)/100,4)</f>
        <v>1.49E-2</v>
      </c>
    </row>
    <row r="13" spans="1:34" s="2899" customFormat="1" ht="14.45" customHeight="1">
      <c r="A13" s="2892" t="s">
        <v>2889</v>
      </c>
      <c r="B13" s="2893">
        <f t="shared" si="11"/>
        <v>459.95733971036987</v>
      </c>
      <c r="C13" s="2893">
        <f t="shared" si="12"/>
        <v>341.22221064422405</v>
      </c>
      <c r="D13" s="2893">
        <f t="shared" si="2"/>
        <v>341.22221064422405</v>
      </c>
      <c r="E13" s="2893">
        <f t="shared" si="3"/>
        <v>657.19161663724799</v>
      </c>
      <c r="F13" s="2893">
        <f t="shared" si="4"/>
        <v>300.87803644464805</v>
      </c>
      <c r="G13" s="3609"/>
      <c r="H13" s="2894">
        <v>3</v>
      </c>
      <c r="I13" s="2894">
        <v>1.51</v>
      </c>
      <c r="J13" s="2894">
        <v>1.41</v>
      </c>
      <c r="K13" s="2894">
        <v>1.52</v>
      </c>
      <c r="L13" s="2900">
        <v>1.74</v>
      </c>
      <c r="M13" s="2880"/>
      <c r="N13" s="2895">
        <f t="shared" si="5"/>
        <v>1.5100000000000001E-2</v>
      </c>
      <c r="O13" s="2881">
        <f t="shared" si="6"/>
        <v>1.41E-2</v>
      </c>
      <c r="P13" s="2881">
        <f t="shared" si="7"/>
        <v>1.52E-2</v>
      </c>
      <c r="Q13" s="2881">
        <f t="shared" si="8"/>
        <v>1.7399999999999999E-2</v>
      </c>
      <c r="R13" s="2896"/>
      <c r="S13" s="2895"/>
      <c r="T13" s="2881"/>
      <c r="U13" s="2881"/>
      <c r="V13" s="2881"/>
      <c r="W13" s="2880"/>
      <c r="X13" s="2880">
        <f>ROUND(SUMPRODUCT(PRODUCT(1+N13:N$31)),4)</f>
        <v>1.54</v>
      </c>
      <c r="Y13" s="2880">
        <f>ROUND(SUMPRODUCT(PRODUCT(1+O13:O$31)),4)</f>
        <v>1.3547</v>
      </c>
      <c r="Z13" s="2880">
        <f t="shared" si="10"/>
        <v>1.3547</v>
      </c>
      <c r="AA13" s="2880">
        <f>ROUND(SUMPRODUCT(PRODUCT(1+P13:P$31)),4)</f>
        <v>1.605</v>
      </c>
      <c r="AB13" s="2880">
        <f>ROUND(SUMPRODUCT(PRODUCT(1+Q13:Q$31)),4)</f>
        <v>1.3265</v>
      </c>
      <c r="AC13" s="2880"/>
      <c r="AD13" s="2881">
        <f>ROUND(AVERAGE(I13:I$31)/100,4)</f>
        <v>2.3099999999999999E-2</v>
      </c>
      <c r="AE13" s="2881">
        <f>ROUND(AVERAGE(J13:J$31)/100,4)</f>
        <v>1.61E-2</v>
      </c>
      <c r="AF13" s="2881">
        <f t="shared" si="9"/>
        <v>1.61E-2</v>
      </c>
      <c r="AG13" s="2881">
        <f>ROUND(AVERAGE(K13:K$31)/100,4)</f>
        <v>2.53E-2</v>
      </c>
      <c r="AH13" s="2881">
        <f>ROUND(AVERAGE(L13:L$31)/100,4)</f>
        <v>1.4999999999999999E-2</v>
      </c>
    </row>
    <row r="14" spans="1:34" s="2899" customFormat="1" ht="14.45" customHeight="1">
      <c r="A14" s="2892" t="s">
        <v>2890</v>
      </c>
      <c r="B14" s="2893">
        <f t="shared" si="11"/>
        <v>453.11529869999993</v>
      </c>
      <c r="C14" s="2893">
        <f t="shared" si="12"/>
        <v>336.47787264000004</v>
      </c>
      <c r="D14" s="2893">
        <f t="shared" si="2"/>
        <v>336.47787264000004</v>
      </c>
      <c r="E14" s="2893">
        <f t="shared" si="3"/>
        <v>647.35186823999993</v>
      </c>
      <c r="F14" s="2893">
        <f t="shared" si="4"/>
        <v>295.73229452000004</v>
      </c>
      <c r="G14" s="3609"/>
      <c r="H14" s="2907">
        <v>2</v>
      </c>
      <c r="I14" s="2907">
        <v>1.49</v>
      </c>
      <c r="J14" s="2907">
        <v>0.96</v>
      </c>
      <c r="K14" s="2907">
        <v>1.58</v>
      </c>
      <c r="L14" s="2908">
        <v>2.44</v>
      </c>
      <c r="M14" s="2880"/>
      <c r="N14" s="2895">
        <f t="shared" si="5"/>
        <v>1.49E-2</v>
      </c>
      <c r="O14" s="2881">
        <f t="shared" si="6"/>
        <v>9.5999999999999992E-3</v>
      </c>
      <c r="P14" s="2881">
        <f t="shared" si="7"/>
        <v>1.5800000000000002E-2</v>
      </c>
      <c r="Q14" s="2881">
        <f t="shared" si="8"/>
        <v>2.4399999999999998E-2</v>
      </c>
      <c r="R14" s="2896"/>
      <c r="S14" s="2895"/>
      <c r="T14" s="2881"/>
      <c r="U14" s="2881"/>
      <c r="V14" s="2881"/>
      <c r="W14" s="2880"/>
      <c r="X14" s="2880">
        <f>ROUND(SUMPRODUCT(PRODUCT(1+N14:N$31)),4)</f>
        <v>1.5170999999999999</v>
      </c>
      <c r="Y14" s="2880">
        <f>ROUND(SUMPRODUCT(PRODUCT(1+O14:O$31)),4)</f>
        <v>1.3358000000000001</v>
      </c>
      <c r="Z14" s="2880">
        <f t="shared" si="10"/>
        <v>1.3358000000000001</v>
      </c>
      <c r="AA14" s="2880">
        <f>ROUND(SUMPRODUCT(PRODUCT(1+P14:P$31)),4)</f>
        <v>1.5809</v>
      </c>
      <c r="AB14" s="2880">
        <f>ROUND(SUMPRODUCT(PRODUCT(1+Q14:Q$31)),4)</f>
        <v>1.3038000000000001</v>
      </c>
      <c r="AC14" s="2880"/>
      <c r="AD14" s="2881">
        <f>ROUND(AVERAGE(I14:I$31)/100,4)</f>
        <v>2.35E-2</v>
      </c>
      <c r="AE14" s="2881">
        <f>ROUND(AVERAGE(J14:J$31)/100,4)</f>
        <v>1.6199999999999999E-2</v>
      </c>
      <c r="AF14" s="2881">
        <f t="shared" si="9"/>
        <v>1.6199999999999999E-2</v>
      </c>
      <c r="AG14" s="2881">
        <f>ROUND(AVERAGE(K14:K$31)/100,4)</f>
        <v>2.5899999999999999E-2</v>
      </c>
      <c r="AH14" s="2881">
        <f>ROUND(AVERAGE(L14:L$31)/100,4)</f>
        <v>1.49E-2</v>
      </c>
    </row>
    <row r="15" spans="1:34" s="2899" customFormat="1" ht="15" customHeight="1" thickBot="1">
      <c r="A15" s="2892" t="s">
        <v>2886</v>
      </c>
      <c r="B15" s="2893">
        <f t="shared" si="11"/>
        <v>446.46299999999997</v>
      </c>
      <c r="C15" s="2893">
        <f t="shared" si="12"/>
        <v>333.27840000000003</v>
      </c>
      <c r="D15" s="2893">
        <f t="shared" ref="D15:D20" si="13">C15</f>
        <v>333.27840000000003</v>
      </c>
      <c r="E15" s="2893">
        <f t="shared" si="3"/>
        <v>637.28279999999995</v>
      </c>
      <c r="F15" s="2893">
        <f t="shared" si="4"/>
        <v>288.68830000000003</v>
      </c>
      <c r="G15" s="3612"/>
      <c r="H15" s="2894">
        <v>1</v>
      </c>
      <c r="I15" s="2894">
        <v>1.7</v>
      </c>
      <c r="J15" s="2894">
        <v>1.92</v>
      </c>
      <c r="K15" s="2894">
        <v>1.64</v>
      </c>
      <c r="L15" s="2900">
        <v>2.0099999999999998</v>
      </c>
      <c r="M15" s="2880"/>
      <c r="N15" s="2895">
        <f t="shared" ref="N15:N20" si="14">I15/100</f>
        <v>1.7000000000000001E-2</v>
      </c>
      <c r="O15" s="2881">
        <f t="shared" ref="O15:Q19" si="15">J15/100</f>
        <v>1.9199999999999998E-2</v>
      </c>
      <c r="P15" s="2881">
        <f t="shared" si="15"/>
        <v>1.6399999999999998E-2</v>
      </c>
      <c r="Q15" s="2881">
        <f t="shared" si="15"/>
        <v>2.0099999999999996E-2</v>
      </c>
      <c r="R15" s="2896"/>
      <c r="S15" s="2897">
        <f>B15/B16-1</f>
        <v>1.6999999999999904E-2</v>
      </c>
      <c r="T15" s="2898">
        <f>C15/C16-1</f>
        <v>1.9200000000000106E-2</v>
      </c>
      <c r="U15" s="2898">
        <f>E15/E16-1</f>
        <v>1.639999999999997E-2</v>
      </c>
      <c r="V15" s="2898">
        <f>F15/F16-1</f>
        <v>2.0100000000000007E-2</v>
      </c>
      <c r="W15" s="2880"/>
      <c r="X15" s="2880">
        <f>ROUND(SUMPRODUCT(PRODUCT(1+N15:N$31)),4)</f>
        <v>1.4947999999999999</v>
      </c>
      <c r="Y15" s="2880">
        <f>ROUND(SUMPRODUCT(PRODUCT(1+O15:O$31)),4)</f>
        <v>1.3230999999999999</v>
      </c>
      <c r="Z15" s="2880">
        <f t="shared" si="10"/>
        <v>1.3230999999999999</v>
      </c>
      <c r="AA15" s="2880">
        <f>ROUND(SUMPRODUCT(PRODUCT(1+P15:P$31)),4)</f>
        <v>1.5564</v>
      </c>
      <c r="AB15" s="2880">
        <f>ROUND(SUMPRODUCT(PRODUCT(1+Q15:Q$31)),4)</f>
        <v>1.2726999999999999</v>
      </c>
      <c r="AC15" s="2880"/>
      <c r="AD15" s="2881">
        <f>ROUND(AVERAGE(I15:I$31)/100,4)</f>
        <v>2.4E-2</v>
      </c>
      <c r="AE15" s="2881">
        <f>ROUND(AVERAGE(J15:J$31)/100,4)</f>
        <v>1.66E-2</v>
      </c>
      <c r="AF15" s="2881">
        <f t="shared" si="9"/>
        <v>1.66E-2</v>
      </c>
      <c r="AG15" s="2881">
        <f>ROUND(AVERAGE(K15:K$31)/100,4)</f>
        <v>2.6499999999999999E-2</v>
      </c>
      <c r="AH15" s="2881">
        <f>ROUND(AVERAGE(L15:L$31)/100,4)</f>
        <v>1.43E-2</v>
      </c>
    </row>
    <row r="16" spans="1:34">
      <c r="A16" s="2892" t="s">
        <v>2878</v>
      </c>
      <c r="B16" s="2909">
        <v>439</v>
      </c>
      <c r="C16" s="2909">
        <v>327</v>
      </c>
      <c r="D16" s="2909">
        <f t="shared" si="13"/>
        <v>327</v>
      </c>
      <c r="E16" s="2909">
        <v>627</v>
      </c>
      <c r="F16" s="2910">
        <v>283</v>
      </c>
      <c r="G16" s="3611">
        <v>2017</v>
      </c>
      <c r="H16" s="2901">
        <v>4</v>
      </c>
      <c r="I16" s="2901">
        <v>1.71</v>
      </c>
      <c r="J16" s="2901">
        <v>1.78</v>
      </c>
      <c r="K16" s="2901">
        <v>1.71</v>
      </c>
      <c r="L16" s="2902">
        <v>1.43</v>
      </c>
      <c r="N16" s="2911">
        <f t="shared" si="14"/>
        <v>1.7100000000000001E-2</v>
      </c>
      <c r="O16" s="2912">
        <f t="shared" si="15"/>
        <v>1.78E-2</v>
      </c>
      <c r="P16" s="2912">
        <f t="shared" si="15"/>
        <v>1.7100000000000001E-2</v>
      </c>
      <c r="Q16" s="2912">
        <f t="shared" si="15"/>
        <v>1.43E-2</v>
      </c>
      <c r="R16" s="2896"/>
      <c r="S16" s="2905"/>
      <c r="T16" s="2906"/>
      <c r="U16" s="2906"/>
      <c r="V16" s="2906"/>
      <c r="X16" s="2880">
        <f>ROUND(SUMPRODUCT(PRODUCT(1+N16:N$31)),4)</f>
        <v>1.4698</v>
      </c>
      <c r="Y16" s="2880">
        <f>ROUND(SUMPRODUCT(PRODUCT(1+O16:O$31)),4)</f>
        <v>1.2982</v>
      </c>
      <c r="Z16" s="2880">
        <f t="shared" si="10"/>
        <v>1.2982</v>
      </c>
      <c r="AA16" s="2880">
        <f>ROUND(SUMPRODUCT(PRODUCT(1+P16:P$31)),4)</f>
        <v>1.5311999999999999</v>
      </c>
      <c r="AB16" s="2880">
        <f>ROUND(SUMPRODUCT(PRODUCT(1+Q16:Q$31)),4)</f>
        <v>1.2476</v>
      </c>
      <c r="AD16" s="2881">
        <f>ROUND(AVERAGE(I16:I$31)/100,4)</f>
        <v>2.4500000000000001E-2</v>
      </c>
      <c r="AE16" s="2881">
        <f>ROUND(AVERAGE(J16:J$31)/100,4)</f>
        <v>1.6500000000000001E-2</v>
      </c>
      <c r="AF16" s="2881">
        <f t="shared" si="0"/>
        <v>1.6500000000000001E-2</v>
      </c>
      <c r="AG16" s="2881">
        <f>ROUND(AVERAGE(K16:K$31)/100,4)</f>
        <v>2.7099999999999999E-2</v>
      </c>
      <c r="AH16" s="2881">
        <f>ROUND(AVERAGE(L16:L$31)/100,4)</f>
        <v>1.3899999999999999E-2</v>
      </c>
    </row>
    <row r="17" spans="1:34" s="2899" customFormat="1" ht="14.45" customHeight="1">
      <c r="A17" s="2892" t="s">
        <v>2881</v>
      </c>
      <c r="B17" s="2893">
        <f t="shared" ref="B17:C19" si="16">B18*(1+N17)</f>
        <v>431.80730811680002</v>
      </c>
      <c r="C17" s="2893">
        <f t="shared" si="16"/>
        <v>320.57880516480003</v>
      </c>
      <c r="D17" s="2893">
        <f t="shared" si="13"/>
        <v>320.57880516480003</v>
      </c>
      <c r="E17" s="2893">
        <f t="shared" ref="E17:F19" si="17">E18*(1+P17)</f>
        <v>615.96110553196797</v>
      </c>
      <c r="F17" s="2893">
        <f t="shared" si="17"/>
        <v>279.46777300108801</v>
      </c>
      <c r="G17" s="3609"/>
      <c r="H17" s="2894">
        <v>3</v>
      </c>
      <c r="I17" s="2894">
        <v>2.98</v>
      </c>
      <c r="J17" s="2894">
        <v>2.11</v>
      </c>
      <c r="K17" s="2894">
        <v>3.24</v>
      </c>
      <c r="L17" s="2900">
        <v>1.72</v>
      </c>
      <c r="M17" s="2880"/>
      <c r="N17" s="2895">
        <f t="shared" si="14"/>
        <v>2.98E-2</v>
      </c>
      <c r="O17" s="2913">
        <f t="shared" si="15"/>
        <v>2.1099999999999997E-2</v>
      </c>
      <c r="P17" s="2913">
        <f t="shared" si="15"/>
        <v>3.2400000000000005E-2</v>
      </c>
      <c r="Q17" s="2913">
        <f t="shared" si="15"/>
        <v>1.72E-2</v>
      </c>
      <c r="R17" s="2896"/>
      <c r="S17" s="2895"/>
      <c r="T17" s="2881"/>
      <c r="U17" s="2881"/>
      <c r="V17" s="2881"/>
      <c r="W17" s="2880"/>
      <c r="X17" s="2880">
        <f>ROUND(SUMPRODUCT(PRODUCT(1+N17:N$31)),4)</f>
        <v>1.4451000000000001</v>
      </c>
      <c r="Y17" s="2880">
        <f>ROUND(SUMPRODUCT(PRODUCT(1+O17:O$31)),4)</f>
        <v>1.2755000000000001</v>
      </c>
      <c r="Z17" s="2880">
        <f t="shared" si="10"/>
        <v>1.2755000000000001</v>
      </c>
      <c r="AA17" s="2880">
        <f>ROUND(SUMPRODUCT(PRODUCT(1+P17:P$31)),4)</f>
        <v>1.5055000000000001</v>
      </c>
      <c r="AB17" s="2880">
        <f>ROUND(SUMPRODUCT(PRODUCT(1+Q17:Q$31)),4)</f>
        <v>1.2301</v>
      </c>
      <c r="AC17" s="2880"/>
      <c r="AD17" s="2881">
        <f>ROUND(AVERAGE(I17:I$31)/100,4)</f>
        <v>2.4899999999999999E-2</v>
      </c>
      <c r="AE17" s="2881">
        <f>ROUND(AVERAGE(J17:J$31)/100,4)</f>
        <v>1.6400000000000001E-2</v>
      </c>
      <c r="AF17" s="2881">
        <f t="shared" si="0"/>
        <v>1.6400000000000001E-2</v>
      </c>
      <c r="AG17" s="2881">
        <f>ROUND(AVERAGE(K17:K$31)/100,4)</f>
        <v>2.7799999999999998E-2</v>
      </c>
      <c r="AH17" s="2881">
        <f>ROUND(AVERAGE(L17:L$31)/100,4)</f>
        <v>1.3899999999999999E-2</v>
      </c>
    </row>
    <row r="18" spans="1:34" s="2858" customFormat="1" ht="14.45" customHeight="1">
      <c r="A18" s="2892" t="s">
        <v>2514</v>
      </c>
      <c r="B18" s="2893">
        <f t="shared" si="16"/>
        <v>419.31181600000002</v>
      </c>
      <c r="C18" s="2893">
        <f t="shared" si="16"/>
        <v>313.95436800000004</v>
      </c>
      <c r="D18" s="2893">
        <f t="shared" si="13"/>
        <v>313.95436800000004</v>
      </c>
      <c r="E18" s="2893">
        <f t="shared" si="17"/>
        <v>596.63028431999999</v>
      </c>
      <c r="F18" s="2893">
        <f t="shared" si="17"/>
        <v>274.74220703999998</v>
      </c>
      <c r="G18" s="3609"/>
      <c r="H18" s="2907">
        <v>2</v>
      </c>
      <c r="I18" s="2907">
        <v>3.4</v>
      </c>
      <c r="J18" s="2907">
        <v>2</v>
      </c>
      <c r="K18" s="2907">
        <v>3.82</v>
      </c>
      <c r="L18" s="2908">
        <v>1.68</v>
      </c>
      <c r="N18" s="2895">
        <f t="shared" si="14"/>
        <v>3.4000000000000002E-2</v>
      </c>
      <c r="O18" s="2913">
        <f t="shared" si="15"/>
        <v>0.02</v>
      </c>
      <c r="P18" s="2913">
        <f t="shared" si="15"/>
        <v>3.8199999999999998E-2</v>
      </c>
      <c r="Q18" s="2913">
        <f t="shared" si="15"/>
        <v>1.6799999999999999E-2</v>
      </c>
      <c r="S18" s="2895"/>
      <c r="T18" s="2881"/>
      <c r="U18" s="2881"/>
      <c r="V18" s="2881"/>
      <c r="X18" s="2880">
        <f>ROUND(SUMPRODUCT(PRODUCT(1+N18:N$31)),4)</f>
        <v>1.4033</v>
      </c>
      <c r="Y18" s="2880">
        <f>ROUND(SUMPRODUCT(PRODUCT(1+O18:O$31)),4)</f>
        <v>1.2491000000000001</v>
      </c>
      <c r="Z18" s="2880">
        <f t="shared" si="10"/>
        <v>1.2491000000000001</v>
      </c>
      <c r="AA18" s="2880">
        <f>ROUND(SUMPRODUCT(PRODUCT(1+P18:P$31)),4)</f>
        <v>1.4581999999999999</v>
      </c>
      <c r="AB18" s="2880">
        <f>ROUND(SUMPRODUCT(PRODUCT(1+Q18:Q$31)),4)</f>
        <v>1.2093</v>
      </c>
      <c r="AD18" s="2881">
        <f>ROUND(AVERAGE(I18:I$31)/100,4)</f>
        <v>2.46E-2</v>
      </c>
      <c r="AE18" s="2881">
        <f>ROUND(AVERAGE(J18:J$31)/100,4)</f>
        <v>1.6E-2</v>
      </c>
      <c r="AF18" s="2881">
        <f t="shared" si="0"/>
        <v>1.6E-2</v>
      </c>
      <c r="AG18" s="2881">
        <f>ROUND(AVERAGE(K18:K$31)/100,4)</f>
        <v>2.75E-2</v>
      </c>
      <c r="AH18" s="2881">
        <f>ROUND(AVERAGE(L18:L$31)/100,4)</f>
        <v>1.37E-2</v>
      </c>
    </row>
    <row r="19" spans="1:34" s="2899" customFormat="1" ht="15" customHeight="1" thickBot="1">
      <c r="A19" s="2892" t="s">
        <v>2515</v>
      </c>
      <c r="B19" s="2893">
        <f t="shared" si="16"/>
        <v>405.524</v>
      </c>
      <c r="C19" s="2893">
        <f t="shared" si="16"/>
        <v>307.79840000000002</v>
      </c>
      <c r="D19" s="2893">
        <f t="shared" si="13"/>
        <v>307.79840000000002</v>
      </c>
      <c r="E19" s="2893">
        <f t="shared" si="17"/>
        <v>574.67759999999998</v>
      </c>
      <c r="F19" s="2893">
        <f t="shared" si="17"/>
        <v>270.20280000000002</v>
      </c>
      <c r="G19" s="3612"/>
      <c r="H19" s="2894">
        <v>1</v>
      </c>
      <c r="I19" s="2894">
        <v>3.45</v>
      </c>
      <c r="J19" s="2894">
        <v>1.92</v>
      </c>
      <c r="K19" s="2894">
        <v>3.92</v>
      </c>
      <c r="L19" s="2900">
        <v>1.58</v>
      </c>
      <c r="M19" s="2880"/>
      <c r="N19" s="2897">
        <f t="shared" si="14"/>
        <v>3.4500000000000003E-2</v>
      </c>
      <c r="O19" s="2898">
        <f t="shared" si="15"/>
        <v>1.9199999999999998E-2</v>
      </c>
      <c r="P19" s="2898">
        <f t="shared" si="15"/>
        <v>3.9199999999999999E-2</v>
      </c>
      <c r="Q19" s="2898">
        <f t="shared" si="15"/>
        <v>1.5800000000000002E-2</v>
      </c>
      <c r="R19" s="2896"/>
      <c r="S19" s="2897">
        <f>B19/B20-1</f>
        <v>3.4499999999999975E-2</v>
      </c>
      <c r="T19" s="2898">
        <f>C19/C20-1</f>
        <v>1.9200000000000106E-2</v>
      </c>
      <c r="U19" s="2898">
        <f>E19/E20-1</f>
        <v>3.9199999999999902E-2</v>
      </c>
      <c r="V19" s="2898">
        <f>F19/F20-1</f>
        <v>1.5800000000000036E-2</v>
      </c>
      <c r="W19" s="2880"/>
      <c r="X19" s="2880">
        <f>ROUND(SUMPRODUCT(PRODUCT(1+N19:N$31)),4)</f>
        <v>1.3571</v>
      </c>
      <c r="Y19" s="2880">
        <f>ROUND(SUMPRODUCT(PRODUCT(1+O19:O$31)),4)</f>
        <v>1.2245999999999999</v>
      </c>
      <c r="Z19" s="2880">
        <f t="shared" si="10"/>
        <v>1.2245999999999999</v>
      </c>
      <c r="AA19" s="2880">
        <f>ROUND(SUMPRODUCT(PRODUCT(1+P19:P$31)),4)</f>
        <v>1.4046000000000001</v>
      </c>
      <c r="AB19" s="2880">
        <f>ROUND(SUMPRODUCT(PRODUCT(1+Q19:Q$31)),4)</f>
        <v>1.1893</v>
      </c>
      <c r="AC19" s="2880"/>
      <c r="AD19" s="2881">
        <f>ROUND(AVERAGE(I19:I$31)/100,4)</f>
        <v>2.3900000000000001E-2</v>
      </c>
      <c r="AE19" s="2881">
        <f>ROUND(AVERAGE(J19:J$31)/100,4)</f>
        <v>1.5699999999999999E-2</v>
      </c>
      <c r="AF19" s="2881">
        <f t="shared" si="0"/>
        <v>1.5699999999999999E-2</v>
      </c>
      <c r="AG19" s="2881">
        <f>ROUND(AVERAGE(K19:K$31)/100,4)</f>
        <v>2.6599999999999999E-2</v>
      </c>
      <c r="AH19" s="2881">
        <f>ROUND(AVERAGE(L19:L$31)/100,4)</f>
        <v>1.34E-2</v>
      </c>
    </row>
    <row r="20" spans="1:34">
      <c r="A20" s="2892" t="s">
        <v>961</v>
      </c>
      <c r="B20" s="2914">
        <v>392</v>
      </c>
      <c r="C20" s="2914">
        <v>302</v>
      </c>
      <c r="D20" s="2914">
        <f t="shared" si="13"/>
        <v>302</v>
      </c>
      <c r="E20" s="2914">
        <v>553</v>
      </c>
      <c r="F20" s="2915">
        <v>266</v>
      </c>
      <c r="G20" s="3611">
        <v>2016</v>
      </c>
      <c r="H20" s="2901">
        <v>4</v>
      </c>
      <c r="I20" s="2901">
        <v>4.5599999999999996</v>
      </c>
      <c r="J20" s="2901">
        <v>2.15</v>
      </c>
      <c r="K20" s="2901">
        <v>5.32</v>
      </c>
      <c r="L20" s="2902">
        <v>1.57</v>
      </c>
      <c r="N20" s="2895">
        <f t="shared" si="14"/>
        <v>4.5599999999999995E-2</v>
      </c>
      <c r="O20" s="2881">
        <f t="shared" ref="O20:Q35" si="18">J20/100</f>
        <v>2.1499999999999998E-2</v>
      </c>
      <c r="P20" s="2881">
        <f t="shared" si="18"/>
        <v>5.3200000000000004E-2</v>
      </c>
      <c r="Q20" s="2881">
        <f t="shared" si="18"/>
        <v>1.5700000000000002E-2</v>
      </c>
      <c r="R20" s="2896"/>
      <c r="S20" s="2905"/>
      <c r="T20" s="2906"/>
      <c r="U20" s="2906"/>
      <c r="V20" s="2906"/>
      <c r="X20" s="2880">
        <f>ROUND(SUMPRODUCT(PRODUCT(1+N20:N$31)),4)</f>
        <v>1.3119000000000001</v>
      </c>
      <c r="Y20" s="2880">
        <f>ROUND(SUMPRODUCT(PRODUCT(1+O20:O$31)),4)</f>
        <v>1.2016</v>
      </c>
      <c r="Z20" s="2880">
        <f t="shared" si="10"/>
        <v>1.2016</v>
      </c>
      <c r="AA20" s="2880">
        <f>ROUND(SUMPRODUCT(PRODUCT(1+P20:P$31)),4)</f>
        <v>1.3515999999999999</v>
      </c>
      <c r="AB20" s="2880">
        <f>ROUND(SUMPRODUCT(PRODUCT(1+Q20:Q$31)),4)</f>
        <v>1.1708000000000001</v>
      </c>
      <c r="AD20" s="2881">
        <f>ROUND(AVERAGE(I20:I$31)/100,4)</f>
        <v>2.3E-2</v>
      </c>
      <c r="AE20" s="2881">
        <f>ROUND(AVERAGE(J20:J$31)/100,4)</f>
        <v>1.55E-2</v>
      </c>
      <c r="AF20" s="2881">
        <f t="shared" si="0"/>
        <v>1.55E-2</v>
      </c>
      <c r="AG20" s="2881">
        <f>ROUND(AVERAGE(K20:K$31)/100,4)</f>
        <v>2.5600000000000001E-2</v>
      </c>
      <c r="AH20" s="2881">
        <f>ROUND(AVERAGE(L20:L$31)/100,4)</f>
        <v>1.32E-2</v>
      </c>
    </row>
    <row r="21" spans="1:34">
      <c r="A21" s="2892" t="s">
        <v>960</v>
      </c>
      <c r="B21" s="2893">
        <f t="shared" ref="B21:C23" si="19">B20/(1+N20)</f>
        <v>374.90436113236416</v>
      </c>
      <c r="C21" s="2893">
        <f t="shared" si="19"/>
        <v>295.64366128242779</v>
      </c>
      <c r="D21" s="2893">
        <f t="shared" ref="D21:D80" si="20">C21</f>
        <v>295.64366128242779</v>
      </c>
      <c r="E21" s="2893">
        <f t="shared" ref="E21:F23" si="21">E20/(1+P20)</f>
        <v>525.06646410938095</v>
      </c>
      <c r="F21" s="2893">
        <f t="shared" si="21"/>
        <v>261.88835286009646</v>
      </c>
      <c r="G21" s="3609"/>
      <c r="H21" s="2894">
        <v>3</v>
      </c>
      <c r="I21" s="2894">
        <v>4.12</v>
      </c>
      <c r="J21" s="2894">
        <v>2</v>
      </c>
      <c r="K21" s="2894">
        <v>4.79</v>
      </c>
      <c r="L21" s="2900">
        <v>1.97</v>
      </c>
      <c r="N21" s="2895">
        <f t="shared" ref="N21:Q55" si="22">I21/100</f>
        <v>4.1200000000000001E-2</v>
      </c>
      <c r="O21" s="2881">
        <f t="shared" si="18"/>
        <v>0.02</v>
      </c>
      <c r="P21" s="2881">
        <f t="shared" si="18"/>
        <v>4.7899999999999998E-2</v>
      </c>
      <c r="Q21" s="2881">
        <f t="shared" si="18"/>
        <v>1.9699999999999999E-2</v>
      </c>
      <c r="R21" s="2896"/>
      <c r="S21" s="2895"/>
      <c r="T21" s="2881"/>
      <c r="U21" s="2881"/>
      <c r="V21" s="2881"/>
      <c r="X21" s="2880">
        <f>ROUND(SUMPRODUCT(PRODUCT(1+N21:N$31)),4)</f>
        <v>1.2546999999999999</v>
      </c>
      <c r="Y21" s="2880">
        <f>ROUND(SUMPRODUCT(PRODUCT(1+O21:O$31)),4)</f>
        <v>1.1762999999999999</v>
      </c>
      <c r="Z21" s="2880">
        <f t="shared" si="10"/>
        <v>1.1762999999999999</v>
      </c>
      <c r="AA21" s="2880">
        <f>ROUND(SUMPRODUCT(PRODUCT(1+P21:P$31)),4)</f>
        <v>1.2833000000000001</v>
      </c>
      <c r="AB21" s="2880">
        <f>ROUND(SUMPRODUCT(PRODUCT(1+Q21:Q$31)),4)</f>
        <v>1.1527000000000001</v>
      </c>
      <c r="AD21" s="2881">
        <f>ROUND(AVERAGE(I21:I$31)/100,4)</f>
        <v>2.0899999999999998E-2</v>
      </c>
      <c r="AE21" s="2881">
        <f>ROUND(AVERAGE(J21:J$31)/100,4)</f>
        <v>1.49E-2</v>
      </c>
      <c r="AF21" s="2881">
        <f t="shared" si="0"/>
        <v>1.49E-2</v>
      </c>
      <c r="AG21" s="2881">
        <f>ROUND(AVERAGE(K21:K$31)/100,4)</f>
        <v>2.3099999999999999E-2</v>
      </c>
      <c r="AH21" s="2881">
        <f>ROUND(AVERAGE(L21:L$31)/100,4)</f>
        <v>1.2999999999999999E-2</v>
      </c>
    </row>
    <row r="22" spans="1:34">
      <c r="A22" s="2892" t="s">
        <v>950</v>
      </c>
      <c r="B22" s="2893">
        <f t="shared" si="19"/>
        <v>360.06949782209392</v>
      </c>
      <c r="C22" s="2893">
        <f t="shared" si="19"/>
        <v>289.84672674747821</v>
      </c>
      <c r="D22" s="2893">
        <f t="shared" si="20"/>
        <v>289.84672674747821</v>
      </c>
      <c r="E22" s="2893">
        <f t="shared" si="21"/>
        <v>501.06543001181495</v>
      </c>
      <c r="F22" s="2893">
        <f t="shared" si="21"/>
        <v>256.82882500744967</v>
      </c>
      <c r="G22" s="3609"/>
      <c r="H22" s="2907">
        <v>2</v>
      </c>
      <c r="I22" s="2907">
        <v>3.85</v>
      </c>
      <c r="J22" s="2907">
        <v>1.95</v>
      </c>
      <c r="K22" s="2907">
        <v>4.4800000000000004</v>
      </c>
      <c r="L22" s="2908">
        <v>1.41</v>
      </c>
      <c r="N22" s="2895">
        <f t="shared" si="22"/>
        <v>3.85E-2</v>
      </c>
      <c r="O22" s="2881">
        <f t="shared" si="18"/>
        <v>1.95E-2</v>
      </c>
      <c r="P22" s="2881">
        <f t="shared" si="18"/>
        <v>4.4800000000000006E-2</v>
      </c>
      <c r="Q22" s="2881">
        <f t="shared" si="18"/>
        <v>1.41E-2</v>
      </c>
      <c r="R22" s="2896"/>
      <c r="S22" s="2895"/>
      <c r="T22" s="2881"/>
      <c r="U22" s="2881"/>
      <c r="V22" s="2881"/>
      <c r="X22" s="2880">
        <f>ROUND(SUMPRODUCT(PRODUCT(1+N22:N$31)),4)</f>
        <v>1.2050000000000001</v>
      </c>
      <c r="Y22" s="2880">
        <f>ROUND(SUMPRODUCT(PRODUCT(1+O22:O$31)),4)</f>
        <v>1.1532</v>
      </c>
      <c r="Z22" s="2880">
        <f t="shared" si="10"/>
        <v>1.1532</v>
      </c>
      <c r="AA22" s="2880">
        <f>ROUND(SUMPRODUCT(PRODUCT(1+P22:P$31)),4)</f>
        <v>1.2246999999999999</v>
      </c>
      <c r="AB22" s="2880">
        <f>ROUND(SUMPRODUCT(PRODUCT(1+Q22:Q$31)),4)</f>
        <v>1.1304000000000001</v>
      </c>
      <c r="AD22" s="2881">
        <f>ROUND(AVERAGE(I22:I$31)/100,4)</f>
        <v>1.89E-2</v>
      </c>
      <c r="AE22" s="2881">
        <f>ROUND(AVERAGE(J22:J$31)/100,4)</f>
        <v>1.44E-2</v>
      </c>
      <c r="AF22" s="2881">
        <f t="shared" si="0"/>
        <v>1.44E-2</v>
      </c>
      <c r="AG22" s="2881">
        <f>ROUND(AVERAGE(K22:K$31)/100,4)</f>
        <v>2.06E-2</v>
      </c>
      <c r="AH22" s="2881">
        <f>ROUND(AVERAGE(L22:L$31)/100,4)</f>
        <v>1.23E-2</v>
      </c>
    </row>
    <row r="23" spans="1:34" ht="13.5" thickBot="1">
      <c r="A23" s="2892" t="s">
        <v>959</v>
      </c>
      <c r="B23" s="2893">
        <f t="shared" si="19"/>
        <v>346.720748986128</v>
      </c>
      <c r="C23" s="2893">
        <f t="shared" si="19"/>
        <v>284.30282172386285</v>
      </c>
      <c r="D23" s="2893">
        <f t="shared" si="20"/>
        <v>284.30282172386285</v>
      </c>
      <c r="E23" s="2893">
        <f t="shared" si="21"/>
        <v>479.58023546306947</v>
      </c>
      <c r="F23" s="2893">
        <f t="shared" si="21"/>
        <v>253.25788877571213</v>
      </c>
      <c r="G23" s="3610"/>
      <c r="H23" s="2894">
        <v>1</v>
      </c>
      <c r="I23" s="2894">
        <v>4.09</v>
      </c>
      <c r="J23" s="2894">
        <v>2.93</v>
      </c>
      <c r="K23" s="2894">
        <v>4.54</v>
      </c>
      <c r="L23" s="2900">
        <v>1.48</v>
      </c>
      <c r="N23" s="2895">
        <f t="shared" si="22"/>
        <v>4.0899999999999999E-2</v>
      </c>
      <c r="O23" s="2881">
        <f t="shared" si="18"/>
        <v>2.9300000000000003E-2</v>
      </c>
      <c r="P23" s="2881">
        <f t="shared" si="18"/>
        <v>4.5400000000000003E-2</v>
      </c>
      <c r="Q23" s="2881">
        <f t="shared" si="18"/>
        <v>1.4800000000000001E-2</v>
      </c>
      <c r="R23" s="2896"/>
      <c r="S23" s="2897">
        <f>B23/B24-1</f>
        <v>4.1203450408792808E-2</v>
      </c>
      <c r="T23" s="2898">
        <f>C23/C24-1</f>
        <v>2.6363977342465095E-2</v>
      </c>
      <c r="U23" s="2898">
        <f>E23/E24-1</f>
        <v>4.4837114298626357E-2</v>
      </c>
      <c r="V23" s="2898">
        <f>F23/F24-1</f>
        <v>1.7099954922538574E-2</v>
      </c>
      <c r="X23" s="2880">
        <f>ROUND(SUMPRODUCT(PRODUCT(1+N23:N$31)),4)</f>
        <v>1.1604000000000001</v>
      </c>
      <c r="Y23" s="2880">
        <f>ROUND(SUMPRODUCT(PRODUCT(1+O23:O$31)),4)</f>
        <v>1.1312</v>
      </c>
      <c r="Z23" s="2880">
        <f t="shared" si="10"/>
        <v>1.1312</v>
      </c>
      <c r="AA23" s="2880">
        <f>ROUND(SUMPRODUCT(PRODUCT(1+P23:P$31)),4)</f>
        <v>1.1721999999999999</v>
      </c>
      <c r="AB23" s="2880">
        <f>ROUND(SUMPRODUCT(PRODUCT(1+Q23:Q$31)),4)</f>
        <v>1.1147</v>
      </c>
      <c r="AD23" s="2881">
        <f>ROUND(AVERAGE(I23:I$31)/100,4)</f>
        <v>1.67E-2</v>
      </c>
      <c r="AE23" s="2881">
        <f>ROUND(AVERAGE(J23:J$31)/100,4)</f>
        <v>1.38E-2</v>
      </c>
      <c r="AF23" s="2881">
        <f t="shared" si="0"/>
        <v>1.38E-2</v>
      </c>
      <c r="AG23" s="2881">
        <f>ROUND(AVERAGE(K23:K$31)/100,4)</f>
        <v>1.7899999999999999E-2</v>
      </c>
      <c r="AH23" s="2881">
        <f>ROUND(AVERAGE(L23:L$31)/100,4)</f>
        <v>1.21E-2</v>
      </c>
    </row>
    <row r="24" spans="1:34" ht="13.5" thickBot="1">
      <c r="A24" s="2892" t="s">
        <v>958</v>
      </c>
      <c r="B24" s="2914">
        <v>333</v>
      </c>
      <c r="C24" s="2914">
        <v>277</v>
      </c>
      <c r="D24" s="2914">
        <f t="shared" si="20"/>
        <v>277</v>
      </c>
      <c r="E24" s="2914">
        <v>459</v>
      </c>
      <c r="F24" s="2915">
        <v>249</v>
      </c>
      <c r="G24" s="3608">
        <v>2015</v>
      </c>
      <c r="H24" s="2916">
        <v>4</v>
      </c>
      <c r="I24" s="2916">
        <v>1.63</v>
      </c>
      <c r="J24" s="2916">
        <v>1.1100000000000001</v>
      </c>
      <c r="K24" s="2916">
        <v>1.77</v>
      </c>
      <c r="L24" s="2917">
        <v>1.89</v>
      </c>
      <c r="N24" s="2911">
        <f t="shared" si="22"/>
        <v>1.6299999999999999E-2</v>
      </c>
      <c r="O24" s="2912">
        <f t="shared" si="18"/>
        <v>1.11E-2</v>
      </c>
      <c r="P24" s="2912">
        <f t="shared" si="18"/>
        <v>1.77E-2</v>
      </c>
      <c r="Q24" s="2912">
        <f t="shared" si="18"/>
        <v>1.89E-2</v>
      </c>
      <c r="R24" s="2896"/>
      <c r="X24" s="2880">
        <f>ROUND(SUMPRODUCT(PRODUCT(1+N24:N$31)),4)</f>
        <v>1.1148</v>
      </c>
      <c r="Y24" s="2880">
        <f>ROUND(SUMPRODUCT(PRODUCT(1+O24:O$31)),4)</f>
        <v>1.099</v>
      </c>
      <c r="Z24" s="2880">
        <f t="shared" si="10"/>
        <v>1.099</v>
      </c>
      <c r="AA24" s="2880">
        <f>ROUND(SUMPRODUCT(PRODUCT(1+P24:P$31)),4)</f>
        <v>1.1213</v>
      </c>
      <c r="AB24" s="2880">
        <f>ROUND(SUMPRODUCT(PRODUCT(1+Q24:Q$31)),4)</f>
        <v>1.0984</v>
      </c>
      <c r="AD24" s="2881">
        <f>ROUND(AVERAGE(I24:I$31)/100,4)</f>
        <v>1.37E-2</v>
      </c>
      <c r="AE24" s="2881">
        <f>ROUND(AVERAGE(J24:J$31)/100,4)</f>
        <v>1.1900000000000001E-2</v>
      </c>
      <c r="AF24" s="2881">
        <f t="shared" si="0"/>
        <v>1.1900000000000001E-2</v>
      </c>
      <c r="AG24" s="2881">
        <f>ROUND(AVERAGE(K24:K$31)/100,4)</f>
        <v>1.4500000000000001E-2</v>
      </c>
      <c r="AH24" s="2881">
        <f>ROUND(AVERAGE(L24:L$31)/100,4)</f>
        <v>1.18E-2</v>
      </c>
    </row>
    <row r="25" spans="1:34">
      <c r="A25" s="2892" t="s">
        <v>957</v>
      </c>
      <c r="B25" s="2893">
        <f t="shared" ref="B25:C27" si="23">B24/(1+N24)</f>
        <v>327.65915576109415</v>
      </c>
      <c r="C25" s="2893">
        <f t="shared" si="23"/>
        <v>273.95905449510434</v>
      </c>
      <c r="D25" s="2893">
        <f t="shared" si="20"/>
        <v>273.95905449510434</v>
      </c>
      <c r="E25" s="2893">
        <f t="shared" ref="E25:F27" si="24">E24/(1+P24)</f>
        <v>451.01699911565294</v>
      </c>
      <c r="F25" s="2893">
        <f t="shared" si="24"/>
        <v>244.38119540681129</v>
      </c>
      <c r="G25" s="3609"/>
      <c r="H25" s="2919">
        <v>3</v>
      </c>
      <c r="I25" s="2919">
        <v>1.65</v>
      </c>
      <c r="J25" s="2919">
        <v>0.92</v>
      </c>
      <c r="K25" s="2919">
        <v>1.88</v>
      </c>
      <c r="L25" s="2920">
        <v>1.26</v>
      </c>
      <c r="N25" s="2895">
        <f t="shared" si="22"/>
        <v>1.6500000000000001E-2</v>
      </c>
      <c r="O25" s="2913">
        <f t="shared" si="18"/>
        <v>9.1999999999999998E-3</v>
      </c>
      <c r="P25" s="2913">
        <f t="shared" si="18"/>
        <v>1.8799999999999997E-2</v>
      </c>
      <c r="Q25" s="2913">
        <f t="shared" si="18"/>
        <v>1.26E-2</v>
      </c>
      <c r="R25" s="2896"/>
      <c r="S25" s="2895"/>
      <c r="T25" s="2881"/>
      <c r="U25" s="2881"/>
      <c r="V25" s="2881"/>
      <c r="X25" s="2880">
        <f>ROUND(SUMPRODUCT(PRODUCT(1+N25:N$31)),4)</f>
        <v>1.0969</v>
      </c>
      <c r="Y25" s="2880">
        <f>ROUND(SUMPRODUCT(PRODUCT(1+O25:O$31)),4)</f>
        <v>1.0869</v>
      </c>
      <c r="Z25" s="2880">
        <f t="shared" si="10"/>
        <v>1.0869</v>
      </c>
      <c r="AA25" s="2880">
        <f>ROUND(SUMPRODUCT(PRODUCT(1+P25:P$31)),4)</f>
        <v>1.1017999999999999</v>
      </c>
      <c r="AB25" s="2880">
        <f>ROUND(SUMPRODUCT(PRODUCT(1+Q25:Q$31)),4)</f>
        <v>1.0781000000000001</v>
      </c>
      <c r="AD25" s="2881">
        <f>ROUND(AVERAGE(I25:I$31)/100,4)</f>
        <v>1.3299999999999999E-2</v>
      </c>
      <c r="AE25" s="2881">
        <f>ROUND(AVERAGE(J25:J$31)/100,4)</f>
        <v>1.2E-2</v>
      </c>
      <c r="AF25" s="2881">
        <f t="shared" si="0"/>
        <v>1.2E-2</v>
      </c>
      <c r="AG25" s="2881">
        <f>ROUND(AVERAGE(K25:K$31)/100,4)</f>
        <v>1.4E-2</v>
      </c>
      <c r="AH25" s="2881">
        <f>ROUND(AVERAGE(L25:L$31)/100,4)</f>
        <v>1.0800000000000001E-2</v>
      </c>
    </row>
    <row r="26" spans="1:34">
      <c r="A26" s="2892" t="s">
        <v>956</v>
      </c>
      <c r="B26" s="2893">
        <f t="shared" si="23"/>
        <v>322.34053690220776</v>
      </c>
      <c r="C26" s="2893">
        <f t="shared" si="23"/>
        <v>271.46160770422546</v>
      </c>
      <c r="D26" s="2893">
        <f t="shared" si="20"/>
        <v>271.46160770422546</v>
      </c>
      <c r="E26" s="2893">
        <f t="shared" si="24"/>
        <v>442.69434542172456</v>
      </c>
      <c r="F26" s="2893">
        <f t="shared" si="24"/>
        <v>241.34030753190925</v>
      </c>
      <c r="G26" s="3609"/>
      <c r="H26" s="2907">
        <v>2</v>
      </c>
      <c r="I26" s="2907">
        <v>0.77</v>
      </c>
      <c r="J26" s="2907">
        <v>0.69</v>
      </c>
      <c r="K26" s="2907">
        <v>0.8</v>
      </c>
      <c r="L26" s="2908">
        <v>0.88</v>
      </c>
      <c r="N26" s="2895">
        <f t="shared" si="22"/>
        <v>7.7000000000000002E-3</v>
      </c>
      <c r="O26" s="2913">
        <f t="shared" si="18"/>
        <v>6.8999999999999999E-3</v>
      </c>
      <c r="P26" s="2913">
        <f t="shared" si="18"/>
        <v>8.0000000000000002E-3</v>
      </c>
      <c r="Q26" s="2913">
        <f t="shared" si="18"/>
        <v>8.8000000000000005E-3</v>
      </c>
      <c r="R26" s="2896"/>
      <c r="S26" s="2895"/>
      <c r="T26" s="2881"/>
      <c r="U26" s="2881"/>
      <c r="V26" s="2881"/>
      <c r="X26" s="2880">
        <f>ROUND(SUMPRODUCT(PRODUCT(1+N26:N$31)),4)</f>
        <v>1.0790999999999999</v>
      </c>
      <c r="Y26" s="2880">
        <f>ROUND(SUMPRODUCT(PRODUCT(1+O26:O$31)),4)</f>
        <v>1.077</v>
      </c>
      <c r="Z26" s="2880">
        <f t="shared" si="10"/>
        <v>1.077</v>
      </c>
      <c r="AA26" s="2880">
        <f>ROUND(SUMPRODUCT(PRODUCT(1+P26:P$31)),4)</f>
        <v>1.0813999999999999</v>
      </c>
      <c r="AB26" s="2880">
        <f>ROUND(SUMPRODUCT(PRODUCT(1+Q26:Q$31)),4)</f>
        <v>1.0647</v>
      </c>
      <c r="AD26" s="2881">
        <f>ROUND(AVERAGE(I26:I$31)/100,4)</f>
        <v>1.2800000000000001E-2</v>
      </c>
      <c r="AE26" s="2881">
        <f>ROUND(AVERAGE(J26:J$31)/100,4)</f>
        <v>1.2500000000000001E-2</v>
      </c>
      <c r="AF26" s="2881">
        <f t="shared" si="0"/>
        <v>1.2500000000000001E-2</v>
      </c>
      <c r="AG26" s="2881">
        <f>ROUND(AVERAGE(K26:K$31)/100,4)</f>
        <v>1.32E-2</v>
      </c>
      <c r="AH26" s="2881">
        <f>ROUND(AVERAGE(L26:L$31)/100,4)</f>
        <v>1.0500000000000001E-2</v>
      </c>
    </row>
    <row r="27" spans="1:34">
      <c r="A27" s="2892" t="s">
        <v>955</v>
      </c>
      <c r="B27" s="2893">
        <f t="shared" si="23"/>
        <v>319.87748030386797</v>
      </c>
      <c r="C27" s="2893">
        <f t="shared" si="23"/>
        <v>269.60135833173649</v>
      </c>
      <c r="D27" s="2893">
        <f t="shared" si="20"/>
        <v>269.60135833173649</v>
      </c>
      <c r="E27" s="2893">
        <f t="shared" si="24"/>
        <v>439.18089823583784</v>
      </c>
      <c r="F27" s="2893">
        <f t="shared" si="24"/>
        <v>239.23503918706311</v>
      </c>
      <c r="G27" s="3610"/>
      <c r="H27" s="2894">
        <v>1</v>
      </c>
      <c r="I27" s="2894">
        <v>0.51</v>
      </c>
      <c r="J27" s="2894">
        <v>0.54</v>
      </c>
      <c r="K27" s="2894">
        <v>0.48</v>
      </c>
      <c r="L27" s="2900">
        <v>0.93</v>
      </c>
      <c r="N27" s="2897">
        <f t="shared" si="22"/>
        <v>5.1000000000000004E-3</v>
      </c>
      <c r="O27" s="2898">
        <f t="shared" si="18"/>
        <v>5.4000000000000003E-3</v>
      </c>
      <c r="P27" s="2898">
        <f t="shared" si="18"/>
        <v>4.7999999999999996E-3</v>
      </c>
      <c r="Q27" s="2898">
        <f t="shared" si="18"/>
        <v>9.300000000000001E-3</v>
      </c>
      <c r="R27" s="2896"/>
      <c r="S27" s="2897">
        <f>B27/B28-1</f>
        <v>5.9040261127922822E-3</v>
      </c>
      <c r="T27" s="2898">
        <f>C27/C28-1</f>
        <v>5.9752176557332781E-3</v>
      </c>
      <c r="U27" s="2898">
        <f>E27/E28-1</f>
        <v>4.9906138119859556E-3</v>
      </c>
      <c r="V27" s="2898">
        <f>F27/F28-1</f>
        <v>9.4305450930933787E-3</v>
      </c>
      <c r="X27" s="2880">
        <f>ROUND(SUMPRODUCT(PRODUCT(1+N27:N$31)),4)</f>
        <v>1.0708</v>
      </c>
      <c r="Y27" s="2880">
        <f>ROUND(SUMPRODUCT(PRODUCT(1+O27:O$31)),4)</f>
        <v>1.0696000000000001</v>
      </c>
      <c r="Z27" s="2880">
        <f t="shared" si="10"/>
        <v>1.0696000000000001</v>
      </c>
      <c r="AA27" s="2880">
        <f>ROUND(SUMPRODUCT(PRODUCT(1+P27:P$31)),4)</f>
        <v>1.0728</v>
      </c>
      <c r="AB27" s="2880">
        <f>ROUND(SUMPRODUCT(PRODUCT(1+Q27:Q$31)),4)</f>
        <v>1.0553999999999999</v>
      </c>
      <c r="AD27" s="2881">
        <f>ROUND(AVERAGE(I27:I$31)/100,4)</f>
        <v>1.38E-2</v>
      </c>
      <c r="AE27" s="2881">
        <f>ROUND(AVERAGE(J27:J$31)/100,4)</f>
        <v>1.3599999999999999E-2</v>
      </c>
      <c r="AF27" s="2881">
        <f t="shared" si="0"/>
        <v>1.3599999999999999E-2</v>
      </c>
      <c r="AG27" s="2881">
        <f>ROUND(AVERAGE(K27:K$31)/100,4)</f>
        <v>1.4200000000000001E-2</v>
      </c>
      <c r="AH27" s="2881">
        <f>ROUND(AVERAGE(L27:L$31)/100,4)</f>
        <v>1.0800000000000001E-2</v>
      </c>
    </row>
    <row r="28" spans="1:34" ht="13.5" thickBot="1">
      <c r="A28" s="2892" t="s">
        <v>954</v>
      </c>
      <c r="B28" s="2921">
        <v>318</v>
      </c>
      <c r="C28" s="2921">
        <v>268</v>
      </c>
      <c r="D28" s="2921">
        <f t="shared" si="20"/>
        <v>268</v>
      </c>
      <c r="E28" s="2921">
        <v>437</v>
      </c>
      <c r="F28" s="2922">
        <v>237</v>
      </c>
      <c r="G28" s="3608">
        <v>2014</v>
      </c>
      <c r="H28" s="2916">
        <v>4</v>
      </c>
      <c r="I28" s="2916">
        <v>0.21</v>
      </c>
      <c r="J28" s="2916">
        <v>0.41</v>
      </c>
      <c r="K28" s="2916">
        <v>0.12</v>
      </c>
      <c r="L28" s="2917">
        <v>0.89</v>
      </c>
      <c r="N28" s="2895">
        <f t="shared" si="22"/>
        <v>2.0999999999999999E-3</v>
      </c>
      <c r="O28" s="2881">
        <f t="shared" si="18"/>
        <v>4.0999999999999995E-3</v>
      </c>
      <c r="P28" s="2881">
        <f t="shared" si="18"/>
        <v>1.1999999999999999E-3</v>
      </c>
      <c r="Q28" s="2881">
        <f t="shared" si="18"/>
        <v>8.8999999999999999E-3</v>
      </c>
      <c r="R28" s="2896"/>
      <c r="S28" s="2905"/>
      <c r="T28" s="2906"/>
      <c r="U28" s="2906"/>
      <c r="V28" s="2906"/>
      <c r="X28" s="2880">
        <f>ROUND(SUMPRODUCT(PRODUCT(1+N28:N$31)),4)</f>
        <v>1.0653999999999999</v>
      </c>
      <c r="Y28" s="2880">
        <f>ROUND(SUMPRODUCT(PRODUCT(1+O28:O$31)),4)</f>
        <v>1.0639000000000001</v>
      </c>
      <c r="Z28" s="2880">
        <f t="shared" si="10"/>
        <v>1.0639000000000001</v>
      </c>
      <c r="AA28" s="2880">
        <f>ROUND(SUMPRODUCT(PRODUCT(1+P28:P$31)),4)</f>
        <v>1.0677000000000001</v>
      </c>
      <c r="AB28" s="2880">
        <f>ROUND(SUMPRODUCT(PRODUCT(1+Q28:Q$31)),4)</f>
        <v>1.0456000000000001</v>
      </c>
      <c r="AD28" s="2881">
        <f>ROUND(AVERAGE(I28:I$31)/100,4)</f>
        <v>1.6E-2</v>
      </c>
      <c r="AE28" s="2881">
        <f>ROUND(AVERAGE(J28:J$31)/100,4)</f>
        <v>1.5599999999999999E-2</v>
      </c>
      <c r="AF28" s="2881">
        <f t="shared" si="0"/>
        <v>1.5599999999999999E-2</v>
      </c>
      <c r="AG28" s="2881">
        <f>ROUND(AVERAGE(K28:K$31)/100,4)</f>
        <v>1.66E-2</v>
      </c>
      <c r="AH28" s="2881">
        <f>ROUND(AVERAGE(L28:L$31)/100,4)</f>
        <v>1.12E-2</v>
      </c>
    </row>
    <row r="29" spans="1:34">
      <c r="A29" s="2892" t="s">
        <v>953</v>
      </c>
      <c r="B29" s="2893">
        <f t="shared" ref="B29:C31" si="25">B28/(1+N28)</f>
        <v>317.33359944117353</v>
      </c>
      <c r="C29" s="2893">
        <f t="shared" si="25"/>
        <v>266.90568668459315</v>
      </c>
      <c r="D29" s="2893">
        <f t="shared" si="20"/>
        <v>266.90568668459315</v>
      </c>
      <c r="E29" s="2893">
        <f t="shared" ref="E29:F31" si="26">E28/(1+P28)</f>
        <v>436.47622852576905</v>
      </c>
      <c r="F29" s="2893">
        <f t="shared" si="26"/>
        <v>234.90930716622066</v>
      </c>
      <c r="G29" s="3609"/>
      <c r="H29" s="2923">
        <v>3</v>
      </c>
      <c r="I29" s="2923">
        <v>0.83</v>
      </c>
      <c r="J29" s="2923">
        <v>1.47</v>
      </c>
      <c r="K29" s="2923">
        <v>0.65</v>
      </c>
      <c r="L29" s="2924">
        <v>0.72</v>
      </c>
      <c r="N29" s="2895">
        <f t="shared" si="22"/>
        <v>8.3000000000000001E-3</v>
      </c>
      <c r="O29" s="2881">
        <f t="shared" si="18"/>
        <v>1.47E-2</v>
      </c>
      <c r="P29" s="2881">
        <f t="shared" si="18"/>
        <v>6.5000000000000006E-3</v>
      </c>
      <c r="Q29" s="2881">
        <f t="shared" si="18"/>
        <v>7.1999999999999998E-3</v>
      </c>
      <c r="R29" s="2896"/>
      <c r="S29" s="2895"/>
      <c r="T29" s="2881"/>
      <c r="U29" s="2881"/>
      <c r="V29" s="2881"/>
      <c r="X29" s="2880">
        <f>ROUND(SUMPRODUCT(PRODUCT(1+N29:N$31)),4)</f>
        <v>1.0631999999999999</v>
      </c>
      <c r="Y29" s="2880">
        <f>ROUND(SUMPRODUCT(PRODUCT(1+O29:O$31)),4)</f>
        <v>1.0595000000000001</v>
      </c>
      <c r="Z29" s="2880">
        <f t="shared" si="10"/>
        <v>1.0595000000000001</v>
      </c>
      <c r="AA29" s="2880">
        <f>ROUND(SUMPRODUCT(PRODUCT(1+P29:P$31)),4)</f>
        <v>1.0664</v>
      </c>
      <c r="AB29" s="2880">
        <f>ROUND(SUMPRODUCT(PRODUCT(1+Q29:Q$31)),4)</f>
        <v>1.0364</v>
      </c>
      <c r="AD29" s="2881">
        <f>ROUND(AVERAGE(I29:I$31)/100,4)</f>
        <v>2.07E-2</v>
      </c>
      <c r="AE29" s="2881">
        <f>ROUND(AVERAGE(J29:J$31)/100,4)</f>
        <v>1.95E-2</v>
      </c>
      <c r="AF29" s="2881">
        <f t="shared" si="0"/>
        <v>1.95E-2</v>
      </c>
      <c r="AG29" s="2881">
        <f>ROUND(AVERAGE(K29:K$31)/100,4)</f>
        <v>2.1700000000000001E-2</v>
      </c>
      <c r="AH29" s="2881">
        <f>ROUND(AVERAGE(L29:L$31)/100,4)</f>
        <v>1.2E-2</v>
      </c>
    </row>
    <row r="30" spans="1:34" ht="13.5" thickBot="1">
      <c r="A30" s="2892" t="s">
        <v>952</v>
      </c>
      <c r="B30" s="2893">
        <f t="shared" si="25"/>
        <v>314.72141172386546</v>
      </c>
      <c r="C30" s="2893">
        <f t="shared" si="25"/>
        <v>263.03901319069001</v>
      </c>
      <c r="D30" s="2893">
        <f t="shared" si="20"/>
        <v>263.03901319069001</v>
      </c>
      <c r="E30" s="2893">
        <f t="shared" si="26"/>
        <v>433.65745506782821</v>
      </c>
      <c r="F30" s="2893">
        <f t="shared" si="26"/>
        <v>233.23005080045735</v>
      </c>
      <c r="G30" s="3609"/>
      <c r="H30" s="2916">
        <v>2</v>
      </c>
      <c r="I30" s="2916">
        <v>2.4</v>
      </c>
      <c r="J30" s="2916">
        <v>2.0299999999999998</v>
      </c>
      <c r="K30" s="2916">
        <v>2.59</v>
      </c>
      <c r="L30" s="2917">
        <v>1.52</v>
      </c>
      <c r="N30" s="2895">
        <f t="shared" si="22"/>
        <v>2.4E-2</v>
      </c>
      <c r="O30" s="2881">
        <f t="shared" si="18"/>
        <v>2.0299999999999999E-2</v>
      </c>
      <c r="P30" s="2881">
        <f t="shared" si="18"/>
        <v>2.5899999999999999E-2</v>
      </c>
      <c r="Q30" s="2881">
        <f t="shared" si="18"/>
        <v>1.52E-2</v>
      </c>
      <c r="R30" s="2896"/>
      <c r="S30" s="2895"/>
      <c r="T30" s="2881"/>
      <c r="U30" s="2881"/>
      <c r="V30" s="2881"/>
      <c r="X30" s="2880">
        <f>ROUND(SUMPRODUCT(PRODUCT(1+N30:N$31)),4)</f>
        <v>1.0544</v>
      </c>
      <c r="Y30" s="2880">
        <f>ROUND(SUMPRODUCT(PRODUCT(1+O30:O$31)),4)</f>
        <v>1.0442</v>
      </c>
      <c r="Z30" s="2880">
        <f t="shared" si="10"/>
        <v>1.0442</v>
      </c>
      <c r="AA30" s="2880">
        <f>ROUND(SUMPRODUCT(PRODUCT(1+P30:P$31)),4)</f>
        <v>1.0595000000000001</v>
      </c>
      <c r="AB30" s="2880">
        <f>ROUND(SUMPRODUCT(PRODUCT(1+Q30:Q$31)),4)</f>
        <v>1.0289999999999999</v>
      </c>
      <c r="AD30" s="2881">
        <f>ROUND(AVERAGE(I30:I$31)/100,4)</f>
        <v>2.69E-2</v>
      </c>
      <c r="AE30" s="2881">
        <f>ROUND(AVERAGE(J30:J$31)/100,4)</f>
        <v>2.1899999999999999E-2</v>
      </c>
      <c r="AF30" s="2881">
        <f>AE30</f>
        <v>2.1899999999999999E-2</v>
      </c>
      <c r="AG30" s="2881">
        <f>ROUND(AVERAGE(K30:K$31)/100,4)</f>
        <v>2.9399999999999999E-2</v>
      </c>
      <c r="AH30" s="2881">
        <f>ROUND(AVERAGE(L30:L$31)/100,4)</f>
        <v>1.44E-2</v>
      </c>
    </row>
    <row r="31" spans="1:34" s="2929" customFormat="1" ht="13.5" thickBot="1">
      <c r="A31" s="2925" t="s">
        <v>951</v>
      </c>
      <c r="B31" s="2926">
        <f t="shared" si="25"/>
        <v>307.34512863658733</v>
      </c>
      <c r="C31" s="2926">
        <f t="shared" si="25"/>
        <v>257.80556031626975</v>
      </c>
      <c r="D31" s="2926">
        <f t="shared" si="20"/>
        <v>257.80556031626975</v>
      </c>
      <c r="E31" s="2926">
        <f t="shared" si="26"/>
        <v>422.70928459677179</v>
      </c>
      <c r="F31" s="2926">
        <f t="shared" si="26"/>
        <v>229.73803270336617</v>
      </c>
      <c r="G31" s="3610"/>
      <c r="H31" s="2927">
        <v>1</v>
      </c>
      <c r="I31" s="2927">
        <v>2.97</v>
      </c>
      <c r="J31" s="2927">
        <v>2.34</v>
      </c>
      <c r="K31" s="2927">
        <v>3.28</v>
      </c>
      <c r="L31" s="2928">
        <v>1.36</v>
      </c>
      <c r="N31" s="2930">
        <f t="shared" si="22"/>
        <v>2.9700000000000001E-2</v>
      </c>
      <c r="O31" s="2931">
        <f t="shared" si="18"/>
        <v>2.3399999999999997E-2</v>
      </c>
      <c r="P31" s="2931">
        <f t="shared" si="18"/>
        <v>3.2799999999999996E-2</v>
      </c>
      <c r="Q31" s="2931">
        <f t="shared" si="18"/>
        <v>1.3600000000000001E-2</v>
      </c>
      <c r="R31" s="2932"/>
      <c r="S31" s="2933">
        <f>B31/B32-1</f>
        <v>2.7910129219355539E-2</v>
      </c>
      <c r="T31" s="2934">
        <f>C31/C32-1</f>
        <v>2.3037937762975247E-2</v>
      </c>
      <c r="U31" s="2934">
        <f>E31/E32-1</f>
        <v>3.3519033243940788E-2</v>
      </c>
      <c r="V31" s="2934">
        <f>F31/F32-1</f>
        <v>1.2061818076502862E-2</v>
      </c>
      <c r="W31" s="2935" t="s">
        <v>2573</v>
      </c>
      <c r="X31" s="2936">
        <v>1</v>
      </c>
      <c r="Y31" s="2936">
        <v>1</v>
      </c>
      <c r="Z31" s="2936">
        <v>1</v>
      </c>
      <c r="AA31" s="2936">
        <v>1</v>
      </c>
      <c r="AB31" s="2936">
        <v>1</v>
      </c>
      <c r="AD31" s="2931">
        <f>I31/100</f>
        <v>2.9700000000000001E-2</v>
      </c>
      <c r="AE31" s="2931">
        <f>J31/100</f>
        <v>2.3399999999999997E-2</v>
      </c>
      <c r="AF31" s="2931">
        <f>AE31</f>
        <v>2.3399999999999997E-2</v>
      </c>
      <c r="AG31" s="2931">
        <f>K31/100</f>
        <v>3.2799999999999996E-2</v>
      </c>
      <c r="AH31" s="2931">
        <f>L31/100</f>
        <v>1.3600000000000001E-2</v>
      </c>
    </row>
    <row r="32" spans="1:34" ht="13.5" thickBot="1">
      <c r="A32" s="2892" t="s">
        <v>2516</v>
      </c>
      <c r="B32" s="2914">
        <v>299</v>
      </c>
      <c r="C32" s="2914">
        <v>252</v>
      </c>
      <c r="D32" s="2914">
        <f t="shared" si="20"/>
        <v>252</v>
      </c>
      <c r="E32" s="2914">
        <v>409</v>
      </c>
      <c r="F32" s="2915">
        <v>227</v>
      </c>
      <c r="G32" s="3613">
        <v>2013</v>
      </c>
      <c r="H32" s="2937">
        <v>4</v>
      </c>
      <c r="I32" s="2937">
        <v>1.83</v>
      </c>
      <c r="J32" s="2937">
        <v>1.68</v>
      </c>
      <c r="K32" s="2937">
        <v>1.97</v>
      </c>
      <c r="L32" s="2938">
        <v>0.87</v>
      </c>
      <c r="N32" s="2911">
        <f t="shared" si="22"/>
        <v>1.83E-2</v>
      </c>
      <c r="O32" s="2912">
        <f t="shared" si="18"/>
        <v>1.6799999999999999E-2</v>
      </c>
      <c r="P32" s="2912">
        <f t="shared" si="18"/>
        <v>1.9699999999999999E-2</v>
      </c>
      <c r="Q32" s="2912">
        <f t="shared" si="18"/>
        <v>8.6999999999999994E-3</v>
      </c>
      <c r="R32" s="2896"/>
      <c r="S32" s="2905"/>
      <c r="T32" s="2906"/>
      <c r="U32" s="2906"/>
      <c r="V32" s="2906"/>
      <c r="X32" s="2906"/>
      <c r="Y32" s="2906"/>
      <c r="Z32" s="2906"/>
    </row>
    <row r="33" spans="1:26">
      <c r="A33" s="2892" t="s">
        <v>2517</v>
      </c>
      <c r="B33" s="2893">
        <f t="shared" ref="B33:C35" si="27">B32/(1+N32)</f>
        <v>293.62663262299913</v>
      </c>
      <c r="C33" s="2893">
        <f t="shared" si="27"/>
        <v>247.83634933123525</v>
      </c>
      <c r="D33" s="2893">
        <f t="shared" si="20"/>
        <v>247.83634933123525</v>
      </c>
      <c r="E33" s="2893">
        <f t="shared" ref="E33:F35" si="28">E32/(1+P32)</f>
        <v>401.09836226341076</v>
      </c>
      <c r="F33" s="2893">
        <f t="shared" si="28"/>
        <v>225.04213343908003</v>
      </c>
      <c r="G33" s="3614"/>
      <c r="H33" s="2919">
        <v>3</v>
      </c>
      <c r="I33" s="2919">
        <v>1.86</v>
      </c>
      <c r="J33" s="2919">
        <v>1.72</v>
      </c>
      <c r="K33" s="2919">
        <v>1.98</v>
      </c>
      <c r="L33" s="2920">
        <v>0.88</v>
      </c>
      <c r="N33" s="2895">
        <f t="shared" si="22"/>
        <v>1.8600000000000002E-2</v>
      </c>
      <c r="O33" s="2913">
        <f t="shared" si="18"/>
        <v>1.72E-2</v>
      </c>
      <c r="P33" s="2913">
        <f t="shared" si="18"/>
        <v>1.9799999999999998E-2</v>
      </c>
      <c r="Q33" s="2913">
        <f t="shared" si="18"/>
        <v>8.8000000000000005E-3</v>
      </c>
      <c r="R33" s="2896"/>
      <c r="S33" s="2895"/>
      <c r="T33" s="2881"/>
      <c r="U33" s="2881"/>
      <c r="V33" s="2881"/>
    </row>
    <row r="34" spans="1:26">
      <c r="A34" s="2892" t="s">
        <v>2518</v>
      </c>
      <c r="B34" s="2893">
        <f t="shared" si="27"/>
        <v>288.2649053828776</v>
      </c>
      <c r="C34" s="2893">
        <f t="shared" si="27"/>
        <v>243.64564425013293</v>
      </c>
      <c r="D34" s="2893">
        <f t="shared" si="20"/>
        <v>243.64564425013293</v>
      </c>
      <c r="E34" s="2893">
        <f t="shared" si="28"/>
        <v>393.31080825986544</v>
      </c>
      <c r="F34" s="2893">
        <f t="shared" si="28"/>
        <v>223.07903790551154</v>
      </c>
      <c r="G34" s="3614"/>
      <c r="H34" s="2907">
        <v>2</v>
      </c>
      <c r="I34" s="2907">
        <v>2.04</v>
      </c>
      <c r="J34" s="2907">
        <v>2.33</v>
      </c>
      <c r="K34" s="2907">
        <v>2.0699999999999998</v>
      </c>
      <c r="L34" s="2908">
        <v>0.69</v>
      </c>
      <c r="N34" s="2895">
        <f t="shared" si="22"/>
        <v>2.0400000000000001E-2</v>
      </c>
      <c r="O34" s="2913">
        <f t="shared" si="18"/>
        <v>2.3300000000000001E-2</v>
      </c>
      <c r="P34" s="2913">
        <f t="shared" si="18"/>
        <v>2.07E-2</v>
      </c>
      <c r="Q34" s="2913">
        <f t="shared" si="18"/>
        <v>6.8999999999999999E-3</v>
      </c>
      <c r="R34" s="2896"/>
      <c r="S34" s="2895"/>
      <c r="T34" s="2881"/>
      <c r="U34" s="2881"/>
      <c r="V34" s="2881"/>
      <c r="X34" s="2939"/>
      <c r="Y34" s="2940"/>
    </row>
    <row r="35" spans="1:26">
      <c r="A35" s="2892" t="s">
        <v>2519</v>
      </c>
      <c r="B35" s="2893">
        <f t="shared" si="27"/>
        <v>282.50186729015837</v>
      </c>
      <c r="C35" s="2893">
        <f t="shared" si="27"/>
        <v>238.09796174155468</v>
      </c>
      <c r="D35" s="2893">
        <f t="shared" si="20"/>
        <v>238.09796174155468</v>
      </c>
      <c r="E35" s="2893">
        <f t="shared" si="28"/>
        <v>385.33438646014054</v>
      </c>
      <c r="F35" s="2893">
        <f t="shared" si="28"/>
        <v>221.55034055567739</v>
      </c>
      <c r="G35" s="3615"/>
      <c r="H35" s="2894">
        <v>1</v>
      </c>
      <c r="I35" s="2894">
        <v>1.67</v>
      </c>
      <c r="J35" s="2894">
        <v>1.31</v>
      </c>
      <c r="K35" s="2894">
        <v>1.85</v>
      </c>
      <c r="L35" s="2900">
        <v>0.96</v>
      </c>
      <c r="N35" s="2897">
        <f t="shared" si="22"/>
        <v>1.67E-2</v>
      </c>
      <c r="O35" s="2898">
        <f t="shared" si="18"/>
        <v>1.3100000000000001E-2</v>
      </c>
      <c r="P35" s="2898">
        <f t="shared" si="18"/>
        <v>1.8500000000000003E-2</v>
      </c>
      <c r="Q35" s="2898">
        <f t="shared" si="18"/>
        <v>9.5999999999999992E-3</v>
      </c>
      <c r="R35" s="2896"/>
      <c r="S35" s="2897">
        <f>B35/B36-1</f>
        <v>1.6193767230785472E-2</v>
      </c>
      <c r="T35" s="2898">
        <f>C35/C36-1</f>
        <v>1.7512657015190891E-2</v>
      </c>
      <c r="U35" s="2898">
        <f>E35/E36-1</f>
        <v>1.6713420739157048E-2</v>
      </c>
      <c r="V35" s="2898">
        <f>F35/F36-1</f>
        <v>7.0470025258062563E-3</v>
      </c>
      <c r="X35" s="2941"/>
      <c r="Y35" s="2881"/>
      <c r="Z35" s="2881"/>
    </row>
    <row r="36" spans="1:26" ht="13.5" thickBot="1">
      <c r="A36" s="2892" t="s">
        <v>2520</v>
      </c>
      <c r="B36" s="2942">
        <v>278</v>
      </c>
      <c r="C36" s="2942">
        <v>234</v>
      </c>
      <c r="D36" s="2942">
        <f t="shared" si="20"/>
        <v>234</v>
      </c>
      <c r="E36" s="2942">
        <v>379</v>
      </c>
      <c r="F36" s="2943">
        <v>220</v>
      </c>
      <c r="G36" s="3608">
        <v>2012</v>
      </c>
      <c r="H36" s="2916">
        <v>4</v>
      </c>
      <c r="I36" s="2916">
        <v>0.91</v>
      </c>
      <c r="J36" s="2916">
        <v>0.68</v>
      </c>
      <c r="K36" s="2916">
        <v>0.98</v>
      </c>
      <c r="L36" s="2917">
        <v>0.9</v>
      </c>
      <c r="N36" s="2895">
        <f t="shared" si="22"/>
        <v>9.1000000000000004E-3</v>
      </c>
      <c r="O36" s="2881">
        <f t="shared" si="22"/>
        <v>6.8000000000000005E-3</v>
      </c>
      <c r="P36" s="2881">
        <f t="shared" si="22"/>
        <v>9.7999999999999997E-3</v>
      </c>
      <c r="Q36" s="2881">
        <f t="shared" si="22"/>
        <v>9.0000000000000011E-3</v>
      </c>
      <c r="R36" s="2896"/>
      <c r="S36" s="2905"/>
      <c r="T36" s="2906"/>
      <c r="U36" s="2906"/>
      <c r="V36" s="2906"/>
      <c r="X36" s="2906"/>
      <c r="Y36" s="2906"/>
      <c r="Z36" s="2906"/>
    </row>
    <row r="37" spans="1:26">
      <c r="A37" s="2892" t="s">
        <v>2521</v>
      </c>
      <c r="B37" s="2893">
        <f>B36/(1+N36)</f>
        <v>275.49301357645425</v>
      </c>
      <c r="C37" s="2893">
        <f>C36/(1+O36)</f>
        <v>232.41954707985698</v>
      </c>
      <c r="D37" s="2893">
        <f t="shared" si="20"/>
        <v>232.41954707985698</v>
      </c>
      <c r="E37" s="2893">
        <f t="shared" ref="E37:F39" si="29">E36/(1+P36)</f>
        <v>375.32184591008121</v>
      </c>
      <c r="F37" s="2893">
        <f t="shared" si="29"/>
        <v>218.03766105054513</v>
      </c>
      <c r="G37" s="3609"/>
      <c r="H37" s="2919">
        <v>3</v>
      </c>
      <c r="I37" s="2919">
        <v>0.09</v>
      </c>
      <c r="J37" s="2919">
        <v>0.28999999999999998</v>
      </c>
      <c r="K37" s="2919">
        <v>-0.01</v>
      </c>
      <c r="L37" s="2920">
        <v>0.57999999999999996</v>
      </c>
      <c r="N37" s="2895">
        <f t="shared" si="22"/>
        <v>8.9999999999999998E-4</v>
      </c>
      <c r="O37" s="2881">
        <f t="shared" si="22"/>
        <v>2.8999999999999998E-3</v>
      </c>
      <c r="P37" s="2881">
        <f t="shared" si="22"/>
        <v>-1E-4</v>
      </c>
      <c r="Q37" s="2881">
        <f t="shared" si="22"/>
        <v>5.7999999999999996E-3</v>
      </c>
      <c r="R37" s="2896"/>
      <c r="S37" s="2895"/>
      <c r="T37" s="2881"/>
      <c r="U37" s="2881"/>
      <c r="V37" s="2881"/>
    </row>
    <row r="38" spans="1:26">
      <c r="A38" s="2892" t="s">
        <v>2522</v>
      </c>
      <c r="B38" s="2893">
        <f>B37/(1+N37)</f>
        <v>275.24529281292263</v>
      </c>
      <c r="C38" s="2893">
        <f>C37/(1+O37)</f>
        <v>231.74747938962707</v>
      </c>
      <c r="D38" s="2893">
        <f t="shared" si="20"/>
        <v>231.74747938962707</v>
      </c>
      <c r="E38" s="2893">
        <f t="shared" si="29"/>
        <v>375.35938184826603</v>
      </c>
      <c r="F38" s="2893">
        <f t="shared" si="29"/>
        <v>216.78033510692495</v>
      </c>
      <c r="G38" s="3609"/>
      <c r="H38" s="2907">
        <v>2</v>
      </c>
      <c r="I38" s="2907">
        <v>0.02</v>
      </c>
      <c r="J38" s="2907">
        <v>0.12</v>
      </c>
      <c r="K38" s="2907">
        <v>-0.08</v>
      </c>
      <c r="L38" s="2908">
        <v>1.24</v>
      </c>
      <c r="N38" s="2895">
        <f t="shared" si="22"/>
        <v>2.0000000000000001E-4</v>
      </c>
      <c r="O38" s="2881">
        <f t="shared" si="22"/>
        <v>1.1999999999999999E-3</v>
      </c>
      <c r="P38" s="2881">
        <f t="shared" si="22"/>
        <v>-8.0000000000000004E-4</v>
      </c>
      <c r="Q38" s="2881">
        <f t="shared" si="22"/>
        <v>1.24E-2</v>
      </c>
      <c r="R38" s="2896"/>
      <c r="S38" s="2895"/>
      <c r="T38" s="2881"/>
      <c r="U38" s="2881"/>
      <c r="V38" s="2881"/>
    </row>
    <row r="39" spans="1:26" ht="13.5" thickBot="1">
      <c r="A39" s="2892" t="s">
        <v>2523</v>
      </c>
      <c r="B39" s="2893">
        <f>B38/(1+N38)</f>
        <v>275.19025476197027</v>
      </c>
      <c r="C39" s="2944">
        <v>232</v>
      </c>
      <c r="D39" s="2944">
        <f t="shared" si="20"/>
        <v>232</v>
      </c>
      <c r="E39" s="2893">
        <f t="shared" si="29"/>
        <v>375.65990977608692</v>
      </c>
      <c r="F39" s="2893">
        <f t="shared" si="29"/>
        <v>214.12518283971252</v>
      </c>
      <c r="G39" s="3610"/>
      <c r="H39" s="2894">
        <v>1</v>
      </c>
      <c r="I39" s="2894">
        <v>0.02</v>
      </c>
      <c r="J39" s="2894">
        <v>0.13</v>
      </c>
      <c r="K39" s="2894">
        <v>-0.04</v>
      </c>
      <c r="L39" s="2900">
        <v>0.46</v>
      </c>
      <c r="N39" s="2895">
        <f t="shared" si="22"/>
        <v>2.0000000000000001E-4</v>
      </c>
      <c r="O39" s="2881">
        <f t="shared" si="22"/>
        <v>1.2999999999999999E-3</v>
      </c>
      <c r="P39" s="2881">
        <f t="shared" si="22"/>
        <v>-4.0000000000000002E-4</v>
      </c>
      <c r="Q39" s="2881">
        <f t="shared" si="22"/>
        <v>4.5999999999999999E-3</v>
      </c>
      <c r="R39" s="2896"/>
      <c r="S39" s="2897">
        <f>B39/B40-1</f>
        <v>6.9183549807361189E-4</v>
      </c>
      <c r="T39" s="2898">
        <f>C39/C40-1</f>
        <v>0</v>
      </c>
      <c r="U39" s="2898">
        <f>E39/E40-1</f>
        <v>-9.0449527636460303E-4</v>
      </c>
      <c r="V39" s="2898">
        <f>F39/F40-1</f>
        <v>5.2825485432512753E-3</v>
      </c>
      <c r="X39" s="2881"/>
      <c r="Y39" s="2881"/>
      <c r="Z39" s="2881"/>
    </row>
    <row r="40" spans="1:26" ht="13.5" thickBot="1">
      <c r="A40" s="2892" t="s">
        <v>2524</v>
      </c>
      <c r="B40" s="2914">
        <v>275</v>
      </c>
      <c r="C40" s="2914">
        <v>232</v>
      </c>
      <c r="D40" s="2914">
        <f t="shared" si="20"/>
        <v>232</v>
      </c>
      <c r="E40" s="2914">
        <v>376</v>
      </c>
      <c r="F40" s="2915">
        <v>213</v>
      </c>
      <c r="G40" s="3608">
        <v>2011</v>
      </c>
      <c r="H40" s="2916">
        <v>4</v>
      </c>
      <c r="I40" s="2916">
        <v>-0.2</v>
      </c>
      <c r="J40" s="2916">
        <v>0.04</v>
      </c>
      <c r="K40" s="2916">
        <v>-0.34</v>
      </c>
      <c r="L40" s="2917">
        <v>0.46</v>
      </c>
      <c r="N40" s="2911">
        <f t="shared" si="22"/>
        <v>-2E-3</v>
      </c>
      <c r="O40" s="2912">
        <f t="shared" si="22"/>
        <v>4.0000000000000002E-4</v>
      </c>
      <c r="P40" s="2912">
        <f t="shared" si="22"/>
        <v>-3.4000000000000002E-3</v>
      </c>
      <c r="Q40" s="2912">
        <f t="shared" si="22"/>
        <v>4.5999999999999999E-3</v>
      </c>
      <c r="R40" s="2896"/>
      <c r="S40" s="2905"/>
      <c r="T40" s="2906"/>
      <c r="U40" s="2906"/>
      <c r="V40" s="2906"/>
      <c r="X40" s="2906"/>
      <c r="Y40" s="2906"/>
      <c r="Z40" s="2906"/>
    </row>
    <row r="41" spans="1:26">
      <c r="A41" s="2892" t="s">
        <v>2525</v>
      </c>
      <c r="B41" s="2893">
        <f t="shared" ref="B41:C43" si="30">B40/(1+N40)</f>
        <v>275.55110220440883</v>
      </c>
      <c r="C41" s="2893">
        <f t="shared" si="30"/>
        <v>231.90723710515795</v>
      </c>
      <c r="D41" s="2893">
        <f t="shared" si="20"/>
        <v>231.90723710515795</v>
      </c>
      <c r="E41" s="2893">
        <f t="shared" ref="E41:F43" si="31">E40/(1+P40)</f>
        <v>377.28276138872161</v>
      </c>
      <c r="F41" s="2893">
        <f t="shared" si="31"/>
        <v>212.02468644236512</v>
      </c>
      <c r="G41" s="3609">
        <v>2011</v>
      </c>
      <c r="H41" s="2919">
        <v>3</v>
      </c>
      <c r="I41" s="2919">
        <v>0.13</v>
      </c>
      <c r="J41" s="2919">
        <v>0.75</v>
      </c>
      <c r="K41" s="2919">
        <v>-0.08</v>
      </c>
      <c r="L41" s="2920">
        <v>0.53</v>
      </c>
      <c r="N41" s="2895">
        <f t="shared" si="22"/>
        <v>1.2999999999999999E-3</v>
      </c>
      <c r="O41" s="2913">
        <f t="shared" si="22"/>
        <v>7.4999999999999997E-3</v>
      </c>
      <c r="P41" s="2913">
        <f t="shared" si="22"/>
        <v>-8.0000000000000004E-4</v>
      </c>
      <c r="Q41" s="2913">
        <f t="shared" si="22"/>
        <v>5.3E-3</v>
      </c>
      <c r="R41" s="2896"/>
      <c r="S41" s="2895"/>
      <c r="T41" s="2881"/>
      <c r="U41" s="2881"/>
      <c r="V41" s="2881"/>
    </row>
    <row r="42" spans="1:26">
      <c r="A42" s="2892" t="s">
        <v>2526</v>
      </c>
      <c r="B42" s="2893">
        <f t="shared" si="30"/>
        <v>275.19335084830601</v>
      </c>
      <c r="C42" s="2893">
        <f t="shared" si="30"/>
        <v>230.18088050139744</v>
      </c>
      <c r="D42" s="2893">
        <f t="shared" si="20"/>
        <v>230.18088050139744</v>
      </c>
      <c r="E42" s="2893">
        <f t="shared" si="31"/>
        <v>377.58482925212331</v>
      </c>
      <c r="F42" s="2893">
        <f t="shared" si="31"/>
        <v>210.90687997847917</v>
      </c>
      <c r="G42" s="3609">
        <v>2011</v>
      </c>
      <c r="H42" s="2907">
        <v>2</v>
      </c>
      <c r="I42" s="2907">
        <v>-0.4</v>
      </c>
      <c r="J42" s="2907">
        <v>0.17</v>
      </c>
      <c r="K42" s="2907">
        <v>-0.57999999999999996</v>
      </c>
      <c r="L42" s="2908">
        <v>-0.2</v>
      </c>
      <c r="N42" s="2895">
        <f t="shared" si="22"/>
        <v>-4.0000000000000001E-3</v>
      </c>
      <c r="O42" s="2913">
        <f t="shared" si="22"/>
        <v>1.7000000000000001E-3</v>
      </c>
      <c r="P42" s="2913">
        <f t="shared" si="22"/>
        <v>-5.7999999999999996E-3</v>
      </c>
      <c r="Q42" s="2913">
        <f t="shared" si="22"/>
        <v>-2E-3</v>
      </c>
      <c r="R42" s="2896"/>
      <c r="S42" s="2895"/>
      <c r="T42" s="2881"/>
      <c r="U42" s="2881"/>
      <c r="V42" s="2881"/>
    </row>
    <row r="43" spans="1:26" ht="13.5" thickBot="1">
      <c r="A43" s="2892" t="s">
        <v>2527</v>
      </c>
      <c r="B43" s="2893">
        <f t="shared" si="30"/>
        <v>276.29854502841971</v>
      </c>
      <c r="C43" s="2893">
        <f t="shared" si="30"/>
        <v>229.79023709833027</v>
      </c>
      <c r="D43" s="2893">
        <f t="shared" si="20"/>
        <v>229.79023709833027</v>
      </c>
      <c r="E43" s="2893">
        <f t="shared" si="31"/>
        <v>379.78759731655936</v>
      </c>
      <c r="F43" s="2893">
        <f t="shared" si="31"/>
        <v>211.32953905659235</v>
      </c>
      <c r="G43" s="3610">
        <v>2011</v>
      </c>
      <c r="H43" s="2894">
        <v>1</v>
      </c>
      <c r="I43" s="2894">
        <v>2.65</v>
      </c>
      <c r="J43" s="2894">
        <v>3.76</v>
      </c>
      <c r="K43" s="2894">
        <v>1.89</v>
      </c>
      <c r="L43" s="2900">
        <v>7.95</v>
      </c>
      <c r="N43" s="2897">
        <f t="shared" si="22"/>
        <v>2.6499999999999999E-2</v>
      </c>
      <c r="O43" s="2898">
        <f t="shared" si="22"/>
        <v>3.7599999999999995E-2</v>
      </c>
      <c r="P43" s="2898">
        <f t="shared" si="22"/>
        <v>1.89E-2</v>
      </c>
      <c r="Q43" s="2898">
        <f t="shared" si="22"/>
        <v>7.9500000000000001E-2</v>
      </c>
      <c r="R43" s="2896"/>
      <c r="S43" s="2897">
        <f>B43/B44-1</f>
        <v>2.713213765211786E-2</v>
      </c>
      <c r="T43" s="2898">
        <f>C43/C44-1</f>
        <v>3.9774828499231862E-2</v>
      </c>
      <c r="U43" s="2898">
        <f>E43/E44-1</f>
        <v>1.8197311840641772E-2</v>
      </c>
      <c r="V43" s="2898">
        <f>F43/F44-1</f>
        <v>7.8211933962205826E-2</v>
      </c>
      <c r="X43" s="2881"/>
      <c r="Y43" s="2881"/>
      <c r="Z43" s="2881"/>
    </row>
    <row r="44" spans="1:26" ht="13.5" thickBot="1">
      <c r="A44" s="2892" t="s">
        <v>2528</v>
      </c>
      <c r="B44" s="2914">
        <v>269</v>
      </c>
      <c r="C44" s="2914">
        <v>221</v>
      </c>
      <c r="D44" s="2914">
        <f t="shared" si="20"/>
        <v>221</v>
      </c>
      <c r="E44" s="2914">
        <v>373</v>
      </c>
      <c r="F44" s="2915">
        <v>196</v>
      </c>
      <c r="G44" s="3608">
        <v>2010</v>
      </c>
      <c r="H44" s="2916">
        <v>4</v>
      </c>
      <c r="I44" s="2916">
        <v>5.72</v>
      </c>
      <c r="J44" s="2916">
        <v>6.57</v>
      </c>
      <c r="K44" s="2916">
        <v>5.72</v>
      </c>
      <c r="L44" s="2917">
        <v>2.72</v>
      </c>
      <c r="N44" s="2895">
        <f t="shared" si="22"/>
        <v>5.7200000000000001E-2</v>
      </c>
      <c r="O44" s="2881">
        <f t="shared" si="22"/>
        <v>6.5700000000000008E-2</v>
      </c>
      <c r="P44" s="2881">
        <f t="shared" si="22"/>
        <v>5.7200000000000001E-2</v>
      </c>
      <c r="Q44" s="2881">
        <f t="shared" si="22"/>
        <v>2.7200000000000002E-2</v>
      </c>
      <c r="R44" s="2896"/>
      <c r="S44" s="2905"/>
      <c r="T44" s="2906"/>
      <c r="U44" s="2906"/>
      <c r="V44" s="2906"/>
      <c r="X44" s="2906"/>
      <c r="Y44" s="2906"/>
      <c r="Z44" s="2906"/>
    </row>
    <row r="45" spans="1:26">
      <c r="A45" s="2892" t="s">
        <v>2529</v>
      </c>
      <c r="B45" s="2893">
        <f t="shared" ref="B45:C47" si="32">B44/(1+N44)</f>
        <v>254.44570563753314</v>
      </c>
      <c r="C45" s="2893">
        <f t="shared" si="32"/>
        <v>207.37543398705074</v>
      </c>
      <c r="D45" s="2893">
        <f t="shared" si="20"/>
        <v>207.37543398705074</v>
      </c>
      <c r="E45" s="2893">
        <f t="shared" ref="E45:F47" si="33">E44/(1+P44)</f>
        <v>352.81876655315932</v>
      </c>
      <c r="F45" s="2893">
        <f t="shared" si="33"/>
        <v>190.809968847352</v>
      </c>
      <c r="G45" s="3609">
        <v>2010</v>
      </c>
      <c r="H45" s="2919">
        <v>3</v>
      </c>
      <c r="I45" s="2919">
        <v>4.7300000000000004</v>
      </c>
      <c r="J45" s="2919">
        <v>3.9</v>
      </c>
      <c r="K45" s="2919">
        <v>5.03</v>
      </c>
      <c r="L45" s="2920">
        <v>4.21</v>
      </c>
      <c r="N45" s="2895">
        <f t="shared" si="22"/>
        <v>4.7300000000000002E-2</v>
      </c>
      <c r="O45" s="2881">
        <f t="shared" si="22"/>
        <v>3.9E-2</v>
      </c>
      <c r="P45" s="2881">
        <f t="shared" si="22"/>
        <v>5.0300000000000004E-2</v>
      </c>
      <c r="Q45" s="2881">
        <f t="shared" si="22"/>
        <v>4.2099999999999999E-2</v>
      </c>
      <c r="R45" s="2896"/>
      <c r="S45" s="2895"/>
      <c r="T45" s="2881"/>
      <c r="U45" s="2881"/>
      <c r="V45" s="2881"/>
    </row>
    <row r="46" spans="1:26">
      <c r="A46" s="2892" t="s">
        <v>2530</v>
      </c>
      <c r="B46" s="2893">
        <f t="shared" si="32"/>
        <v>242.95398227588385</v>
      </c>
      <c r="C46" s="2893">
        <f t="shared" si="32"/>
        <v>199.59137053614126</v>
      </c>
      <c r="D46" s="2893">
        <f t="shared" si="20"/>
        <v>199.59137053614126</v>
      </c>
      <c r="E46" s="2893">
        <f t="shared" si="33"/>
        <v>335.92189522342125</v>
      </c>
      <c r="F46" s="2893">
        <f t="shared" si="33"/>
        <v>183.10139991109489</v>
      </c>
      <c r="G46" s="3609">
        <v>2010</v>
      </c>
      <c r="H46" s="2907">
        <v>2</v>
      </c>
      <c r="I46" s="2907">
        <v>4.6900000000000004</v>
      </c>
      <c r="J46" s="2907">
        <v>3.55</v>
      </c>
      <c r="K46" s="2907">
        <v>5.07</v>
      </c>
      <c r="L46" s="2908">
        <v>4.2300000000000004</v>
      </c>
      <c r="N46" s="2895">
        <f t="shared" si="22"/>
        <v>4.6900000000000004E-2</v>
      </c>
      <c r="O46" s="2881">
        <f t="shared" si="22"/>
        <v>3.5499999999999997E-2</v>
      </c>
      <c r="P46" s="2881">
        <f t="shared" si="22"/>
        <v>5.0700000000000002E-2</v>
      </c>
      <c r="Q46" s="2881">
        <f t="shared" si="22"/>
        <v>4.2300000000000004E-2</v>
      </c>
      <c r="R46" s="2896"/>
      <c r="S46" s="2895"/>
      <c r="T46" s="2881"/>
      <c r="U46" s="2881"/>
      <c r="V46" s="2881"/>
    </row>
    <row r="47" spans="1:26" ht="13.5" thickBot="1">
      <c r="A47" s="2892" t="s">
        <v>2531</v>
      </c>
      <c r="B47" s="2893">
        <f t="shared" si="32"/>
        <v>232.06990378821649</v>
      </c>
      <c r="C47" s="2893">
        <f t="shared" si="32"/>
        <v>192.74878854286936</v>
      </c>
      <c r="D47" s="2893">
        <f t="shared" si="20"/>
        <v>192.74878854286936</v>
      </c>
      <c r="E47" s="2893">
        <f t="shared" si="33"/>
        <v>319.71247284992984</v>
      </c>
      <c r="F47" s="2893">
        <f t="shared" si="33"/>
        <v>175.67053622862409</v>
      </c>
      <c r="G47" s="3610">
        <v>2010</v>
      </c>
      <c r="H47" s="2894">
        <v>1</v>
      </c>
      <c r="I47" s="2894">
        <v>5.4</v>
      </c>
      <c r="J47" s="2894">
        <v>3.2</v>
      </c>
      <c r="K47" s="2894">
        <v>6.16</v>
      </c>
      <c r="L47" s="2900">
        <v>4.51</v>
      </c>
      <c r="N47" s="2895">
        <f t="shared" si="22"/>
        <v>5.4000000000000006E-2</v>
      </c>
      <c r="O47" s="2881">
        <f t="shared" si="22"/>
        <v>3.2000000000000001E-2</v>
      </c>
      <c r="P47" s="2881">
        <f t="shared" si="22"/>
        <v>6.1600000000000002E-2</v>
      </c>
      <c r="Q47" s="2881">
        <f t="shared" si="22"/>
        <v>4.5100000000000001E-2</v>
      </c>
      <c r="R47" s="2896"/>
      <c r="S47" s="2897">
        <f>B47/B48-1</f>
        <v>5.4863199037347599E-2</v>
      </c>
      <c r="T47" s="2898">
        <f>C47/C48-1</f>
        <v>3.0742184721226584E-2</v>
      </c>
      <c r="U47" s="2898">
        <f>E47/E48-1</f>
        <v>6.2167683886810154E-2</v>
      </c>
      <c r="V47" s="2898">
        <f>F47/F48-1</f>
        <v>4.5657953741810031E-2</v>
      </c>
      <c r="X47" s="2881"/>
      <c r="Y47" s="2881"/>
      <c r="Z47" s="2881"/>
    </row>
    <row r="48" spans="1:26" ht="13.5" thickBot="1">
      <c r="A48" s="2892" t="s">
        <v>2532</v>
      </c>
      <c r="B48" s="2914">
        <v>220</v>
      </c>
      <c r="C48" s="2914">
        <v>187</v>
      </c>
      <c r="D48" s="2914">
        <f t="shared" si="20"/>
        <v>187</v>
      </c>
      <c r="E48" s="2914">
        <v>301</v>
      </c>
      <c r="F48" s="2915">
        <v>168</v>
      </c>
      <c r="G48" s="3608">
        <v>2009</v>
      </c>
      <c r="H48" s="2916">
        <v>4</v>
      </c>
      <c r="I48" s="2916">
        <v>2.2999999999999998</v>
      </c>
      <c r="J48" s="2916">
        <v>1.04</v>
      </c>
      <c r="K48" s="2916">
        <v>2.84</v>
      </c>
      <c r="L48" s="2917">
        <v>0.67</v>
      </c>
      <c r="N48" s="2911">
        <f t="shared" si="22"/>
        <v>2.3E-2</v>
      </c>
      <c r="O48" s="2912">
        <f t="shared" si="22"/>
        <v>1.04E-2</v>
      </c>
      <c r="P48" s="2912">
        <f t="shared" si="22"/>
        <v>2.8399999999999998E-2</v>
      </c>
      <c r="Q48" s="2912">
        <f t="shared" si="22"/>
        <v>6.7000000000000002E-3</v>
      </c>
      <c r="R48" s="2896"/>
      <c r="S48" s="2905"/>
      <c r="T48" s="2906"/>
      <c r="U48" s="2906"/>
      <c r="V48" s="2906"/>
      <c r="X48" s="2906"/>
      <c r="Y48" s="2906"/>
      <c r="Z48" s="2906"/>
    </row>
    <row r="49" spans="1:26">
      <c r="A49" s="2892" t="s">
        <v>2533</v>
      </c>
      <c r="B49" s="2893">
        <f t="shared" ref="B49:C51" si="34">B48/(1+N48)</f>
        <v>215.05376344086022</v>
      </c>
      <c r="C49" s="2893">
        <f t="shared" si="34"/>
        <v>185.0752177355503</v>
      </c>
      <c r="D49" s="2893">
        <f t="shared" si="20"/>
        <v>185.0752177355503</v>
      </c>
      <c r="E49" s="2893">
        <f t="shared" ref="E49:F51" si="35">E48/(1+P48)</f>
        <v>292.68767016725008</v>
      </c>
      <c r="F49" s="2893">
        <f t="shared" si="35"/>
        <v>166.88189132810174</v>
      </c>
      <c r="G49" s="3609">
        <v>2009</v>
      </c>
      <c r="H49" s="2919">
        <v>3</v>
      </c>
      <c r="I49" s="2919">
        <v>2.1</v>
      </c>
      <c r="J49" s="2919">
        <v>1.86</v>
      </c>
      <c r="K49" s="2919">
        <v>2.29</v>
      </c>
      <c r="L49" s="2920">
        <v>0.85</v>
      </c>
      <c r="N49" s="2895">
        <f t="shared" si="22"/>
        <v>2.1000000000000001E-2</v>
      </c>
      <c r="O49" s="2913">
        <f t="shared" si="22"/>
        <v>1.8600000000000002E-2</v>
      </c>
      <c r="P49" s="2913">
        <f t="shared" si="22"/>
        <v>2.29E-2</v>
      </c>
      <c r="Q49" s="2913">
        <f t="shared" si="22"/>
        <v>8.5000000000000006E-3</v>
      </c>
      <c r="R49" s="2896"/>
      <c r="S49" s="2895"/>
      <c r="T49" s="2881"/>
      <c r="U49" s="2881"/>
      <c r="V49" s="2881"/>
    </row>
    <row r="50" spans="1:26">
      <c r="A50" s="2892" t="s">
        <v>2534</v>
      </c>
      <c r="B50" s="2893">
        <f t="shared" si="34"/>
        <v>210.630522469011</v>
      </c>
      <c r="C50" s="2893">
        <f t="shared" si="34"/>
        <v>181.69567812247232</v>
      </c>
      <c r="D50" s="2893">
        <f t="shared" si="20"/>
        <v>181.69567812247232</v>
      </c>
      <c r="E50" s="2893">
        <f t="shared" si="35"/>
        <v>286.13517466736738</v>
      </c>
      <c r="F50" s="2893">
        <f t="shared" si="35"/>
        <v>165.47535084591149</v>
      </c>
      <c r="G50" s="3609">
        <v>2009</v>
      </c>
      <c r="H50" s="2907">
        <v>2</v>
      </c>
      <c r="I50" s="2907">
        <v>0.86</v>
      </c>
      <c r="J50" s="2907">
        <v>-1.1299999999999999</v>
      </c>
      <c r="K50" s="2907">
        <v>1.79</v>
      </c>
      <c r="L50" s="2908">
        <v>-2.0699999999999998</v>
      </c>
      <c r="N50" s="2895">
        <f t="shared" si="22"/>
        <v>8.6E-3</v>
      </c>
      <c r="O50" s="2913">
        <f t="shared" si="22"/>
        <v>-1.1299999999999999E-2</v>
      </c>
      <c r="P50" s="2913">
        <f t="shared" si="22"/>
        <v>1.7899999999999999E-2</v>
      </c>
      <c r="Q50" s="2913">
        <f t="shared" si="22"/>
        <v>-2.07E-2</v>
      </c>
      <c r="R50" s="2896"/>
      <c r="S50" s="2895"/>
      <c r="T50" s="2881"/>
      <c r="U50" s="2881"/>
      <c r="V50" s="2881"/>
    </row>
    <row r="51" spans="1:26">
      <c r="A51" s="2892" t="s">
        <v>2535</v>
      </c>
      <c r="B51" s="2893">
        <f t="shared" si="34"/>
        <v>208.83454537875372</v>
      </c>
      <c r="C51" s="2893">
        <f t="shared" si="34"/>
        <v>183.77230517090351</v>
      </c>
      <c r="D51" s="2893">
        <f t="shared" si="20"/>
        <v>183.77230517090351</v>
      </c>
      <c r="E51" s="2893">
        <f t="shared" si="35"/>
        <v>281.10342338870947</v>
      </c>
      <c r="F51" s="2893">
        <f t="shared" si="35"/>
        <v>168.97309388942256</v>
      </c>
      <c r="G51" s="3610">
        <v>2009</v>
      </c>
      <c r="H51" s="2894">
        <v>1</v>
      </c>
      <c r="I51" s="2894">
        <v>-2.64</v>
      </c>
      <c r="J51" s="2894">
        <v>-2.5299999999999998</v>
      </c>
      <c r="K51" s="2894">
        <v>-3.02</v>
      </c>
      <c r="L51" s="2900">
        <v>1.52</v>
      </c>
      <c r="N51" s="2897">
        <f t="shared" si="22"/>
        <v>-2.64E-2</v>
      </c>
      <c r="O51" s="2898">
        <f t="shared" si="22"/>
        <v>-2.53E-2</v>
      </c>
      <c r="P51" s="2898">
        <f t="shared" si="22"/>
        <v>-3.0200000000000001E-2</v>
      </c>
      <c r="Q51" s="2898">
        <f t="shared" si="22"/>
        <v>1.52E-2</v>
      </c>
      <c r="R51" s="2896"/>
      <c r="S51" s="2897">
        <f>B51/B52-1</f>
        <v>-2.4137638417038754E-2</v>
      </c>
      <c r="T51" s="2898">
        <f>C51/C52-1</f>
        <v>-2.248773845264096E-2</v>
      </c>
      <c r="U51" s="2898">
        <f>E51/E52-1</f>
        <v>-2.7323794502735366E-2</v>
      </c>
      <c r="V51" s="2898">
        <f>F51/F52-1</f>
        <v>1.7910204153148035E-2</v>
      </c>
      <c r="X51" s="2881"/>
      <c r="Y51" s="2881"/>
      <c r="Z51" s="2881"/>
    </row>
    <row r="52" spans="1:26" ht="13.5" thickBot="1">
      <c r="A52" s="2892" t="s">
        <v>2536</v>
      </c>
      <c r="B52" s="2942">
        <v>214</v>
      </c>
      <c r="C52" s="2942">
        <v>188</v>
      </c>
      <c r="D52" s="2942">
        <f t="shared" si="20"/>
        <v>188</v>
      </c>
      <c r="E52" s="2942">
        <v>289</v>
      </c>
      <c r="F52" s="2943">
        <v>166</v>
      </c>
      <c r="G52" s="3608">
        <v>2008</v>
      </c>
      <c r="H52" s="2916">
        <v>4</v>
      </c>
      <c r="I52" s="2916">
        <v>1.73</v>
      </c>
      <c r="J52" s="2916">
        <v>0.03</v>
      </c>
      <c r="K52" s="2916">
        <v>2.59</v>
      </c>
      <c r="L52" s="2917">
        <v>-1.66</v>
      </c>
      <c r="N52" s="2895">
        <f t="shared" si="22"/>
        <v>1.7299999999999999E-2</v>
      </c>
      <c r="O52" s="2881">
        <f t="shared" si="22"/>
        <v>2.9999999999999997E-4</v>
      </c>
      <c r="P52" s="2881">
        <f t="shared" si="22"/>
        <v>2.5899999999999999E-2</v>
      </c>
      <c r="Q52" s="2881">
        <f t="shared" si="22"/>
        <v>-1.66E-2</v>
      </c>
      <c r="R52" s="2896"/>
      <c r="S52" s="2905"/>
      <c r="T52" s="2906"/>
      <c r="U52" s="2906"/>
      <c r="V52" s="2906"/>
      <c r="X52" s="2906"/>
      <c r="Y52" s="2906"/>
      <c r="Z52" s="2906"/>
    </row>
    <row r="53" spans="1:26">
      <c r="A53" s="2892" t="s">
        <v>2537</v>
      </c>
      <c r="B53" s="2893">
        <f t="shared" ref="B53:C55" si="36">B52/(1+N52)</f>
        <v>210.36075887152265</v>
      </c>
      <c r="C53" s="2893">
        <f t="shared" si="36"/>
        <v>187.94361691492554</v>
      </c>
      <c r="D53" s="2893">
        <f t="shared" si="20"/>
        <v>187.94361691492554</v>
      </c>
      <c r="E53" s="2893">
        <f t="shared" ref="E53:F55" si="37">E52/(1+P52)</f>
        <v>281.70386977288234</v>
      </c>
      <c r="F53" s="2893">
        <f t="shared" si="37"/>
        <v>168.80211511083994</v>
      </c>
      <c r="G53" s="3609">
        <v>2008</v>
      </c>
      <c r="H53" s="2919">
        <v>3</v>
      </c>
      <c r="I53" s="2919">
        <v>1.96</v>
      </c>
      <c r="J53" s="2919">
        <v>2.36</v>
      </c>
      <c r="K53" s="2919">
        <v>1.82</v>
      </c>
      <c r="L53" s="2920">
        <v>2.2200000000000002</v>
      </c>
      <c r="N53" s="2895">
        <f t="shared" si="22"/>
        <v>1.9599999999999999E-2</v>
      </c>
      <c r="O53" s="2881">
        <f t="shared" si="22"/>
        <v>2.3599999999999999E-2</v>
      </c>
      <c r="P53" s="2881">
        <f t="shared" si="22"/>
        <v>1.8200000000000001E-2</v>
      </c>
      <c r="Q53" s="2881">
        <f t="shared" si="22"/>
        <v>2.2200000000000001E-2</v>
      </c>
      <c r="R53" s="2896"/>
      <c r="S53" s="2895"/>
      <c r="T53" s="2881"/>
      <c r="U53" s="2881"/>
      <c r="V53" s="2881"/>
    </row>
    <row r="54" spans="1:26">
      <c r="A54" s="2892" t="s">
        <v>2538</v>
      </c>
      <c r="B54" s="2893">
        <f t="shared" si="36"/>
        <v>206.31694671589116</v>
      </c>
      <c r="C54" s="2893">
        <f t="shared" si="36"/>
        <v>183.61041121036101</v>
      </c>
      <c r="D54" s="2893">
        <f t="shared" si="20"/>
        <v>183.61041121036101</v>
      </c>
      <c r="E54" s="2893">
        <f t="shared" si="37"/>
        <v>276.66850301795557</v>
      </c>
      <c r="F54" s="2893">
        <f t="shared" si="37"/>
        <v>165.1360938278614</v>
      </c>
      <c r="G54" s="3609">
        <v>2008</v>
      </c>
      <c r="H54" s="2907">
        <v>2</v>
      </c>
      <c r="I54" s="2907">
        <v>4.93</v>
      </c>
      <c r="J54" s="2907">
        <v>7.38</v>
      </c>
      <c r="K54" s="2907">
        <v>3.98</v>
      </c>
      <c r="L54" s="2908">
        <v>6.86</v>
      </c>
      <c r="N54" s="2895">
        <f t="shared" si="22"/>
        <v>4.9299999999999997E-2</v>
      </c>
      <c r="O54" s="2881">
        <f t="shared" si="22"/>
        <v>7.3800000000000004E-2</v>
      </c>
      <c r="P54" s="2881">
        <f t="shared" si="22"/>
        <v>3.9800000000000002E-2</v>
      </c>
      <c r="Q54" s="2881">
        <f t="shared" si="22"/>
        <v>6.8600000000000008E-2</v>
      </c>
      <c r="R54" s="2896"/>
      <c r="S54" s="2895"/>
      <c r="T54" s="2881"/>
      <c r="U54" s="2881"/>
      <c r="V54" s="2881"/>
    </row>
    <row r="55" spans="1:26" s="2948" customFormat="1" ht="13.5" thickBot="1">
      <c r="A55" s="2892" t="s">
        <v>2539</v>
      </c>
      <c r="B55" s="2945">
        <f t="shared" si="36"/>
        <v>196.62341248059772</v>
      </c>
      <c r="C55" s="2945">
        <f t="shared" si="36"/>
        <v>170.99125648199012</v>
      </c>
      <c r="D55" s="2945">
        <f t="shared" si="20"/>
        <v>170.99125648199012</v>
      </c>
      <c r="E55" s="2945">
        <f t="shared" si="37"/>
        <v>266.07857570490052</v>
      </c>
      <c r="F55" s="2945">
        <f t="shared" si="37"/>
        <v>154.53499328828505</v>
      </c>
      <c r="G55" s="3610">
        <v>2008</v>
      </c>
      <c r="H55" s="2946">
        <v>1</v>
      </c>
      <c r="I55" s="2946">
        <v>4.1399999999999997</v>
      </c>
      <c r="J55" s="2946">
        <v>3.45</v>
      </c>
      <c r="K55" s="2946">
        <v>4.95</v>
      </c>
      <c r="L55" s="2947">
        <v>4.82</v>
      </c>
      <c r="N55" s="2949">
        <f t="shared" si="22"/>
        <v>4.1399999999999999E-2</v>
      </c>
      <c r="O55" s="2950">
        <f t="shared" si="22"/>
        <v>3.4500000000000003E-2</v>
      </c>
      <c r="P55" s="2950">
        <f t="shared" si="22"/>
        <v>4.9500000000000002E-2</v>
      </c>
      <c r="Q55" s="2950">
        <f t="shared" si="22"/>
        <v>4.82E-2</v>
      </c>
      <c r="R55" s="2951"/>
      <c r="S55" s="2949">
        <f>B55/B56-1</f>
        <v>4.5869215322328349E-2</v>
      </c>
      <c r="T55" s="2950">
        <f>C55/C56-1</f>
        <v>3.6310645345394743E-2</v>
      </c>
      <c r="U55" s="2950">
        <f>E55/E56-1</f>
        <v>4.7553447657088688E-2</v>
      </c>
      <c r="V55" s="2950">
        <f>F55/F56-1</f>
        <v>4.4155360055980086E-2</v>
      </c>
      <c r="X55" s="2950"/>
      <c r="Y55" s="2950"/>
      <c r="Z55" s="2950"/>
    </row>
    <row r="56" spans="1:26" ht="13.5" thickBot="1">
      <c r="A56" s="2892" t="s">
        <v>2540</v>
      </c>
      <c r="B56" s="2914">
        <v>188</v>
      </c>
      <c r="C56" s="2914">
        <v>165</v>
      </c>
      <c r="D56" s="2914">
        <f t="shared" si="20"/>
        <v>165</v>
      </c>
      <c r="E56" s="2914">
        <v>254</v>
      </c>
      <c r="F56" s="2915">
        <v>148</v>
      </c>
      <c r="G56" s="3608">
        <v>2007</v>
      </c>
      <c r="H56" s="2952">
        <v>4</v>
      </c>
      <c r="I56" s="2952">
        <v>5.51</v>
      </c>
      <c r="J56" s="2952">
        <v>4.8899999999999997</v>
      </c>
      <c r="K56" s="2952">
        <v>6.43</v>
      </c>
      <c r="L56" s="2953">
        <v>5.36</v>
      </c>
      <c r="N56" s="2954">
        <f t="shared" ref="N56:O59" si="38">B56/B57-1</f>
        <v>4.1339718365245526E-2</v>
      </c>
      <c r="O56" s="2955">
        <f t="shared" si="38"/>
        <v>4.0324492593776018E-2</v>
      </c>
      <c r="P56" s="2955">
        <f t="shared" ref="P56:Q59" si="39">E56/E57-1</f>
        <v>6.1625555347990968E-2</v>
      </c>
      <c r="Q56" s="2955">
        <f t="shared" si="39"/>
        <v>4.6757569250590603E-2</v>
      </c>
      <c r="R56" s="2896"/>
      <c r="S56" s="2905"/>
      <c r="T56" s="2906"/>
      <c r="U56" s="2906"/>
      <c r="V56" s="2906"/>
      <c r="X56" s="2906"/>
      <c r="Y56" s="2906"/>
      <c r="Z56" s="2906"/>
    </row>
    <row r="57" spans="1:26">
      <c r="A57" s="2892" t="s">
        <v>2541</v>
      </c>
      <c r="B57" s="2893">
        <f t="shared" ref="B57:C59" si="40">B58+(B$56-B$60)*I57/SUM(I$56:I$59)</f>
        <v>180.5366651097618</v>
      </c>
      <c r="C57" s="2893">
        <f t="shared" si="40"/>
        <v>158.60435967302453</v>
      </c>
      <c r="D57" s="2893">
        <f t="shared" si="20"/>
        <v>158.60435967302453</v>
      </c>
      <c r="E57" s="2893">
        <f t="shared" ref="E57:F59" si="41">E58+(E$56-E$60)*K57/SUM(K$56:K$59)</f>
        <v>239.25573260785075</v>
      </c>
      <c r="F57" s="2893">
        <f t="shared" si="41"/>
        <v>141.38899430740037</v>
      </c>
      <c r="G57" s="3609">
        <v>2007</v>
      </c>
      <c r="H57" s="2919">
        <v>3</v>
      </c>
      <c r="I57" s="2919">
        <v>8.65</v>
      </c>
      <c r="J57" s="2919">
        <v>8.06</v>
      </c>
      <c r="K57" s="2919">
        <v>9.94</v>
      </c>
      <c r="L57" s="2920">
        <v>5.8</v>
      </c>
      <c r="N57" s="2954">
        <f t="shared" si="38"/>
        <v>6.940217571740015E-2</v>
      </c>
      <c r="O57" s="2955">
        <f t="shared" si="38"/>
        <v>7.1197482471153428E-2</v>
      </c>
      <c r="P57" s="2955">
        <f t="shared" si="39"/>
        <v>0.10529679922579582</v>
      </c>
      <c r="Q57" s="2955">
        <f t="shared" si="39"/>
        <v>5.3292245059512133E-2</v>
      </c>
      <c r="R57" s="2896"/>
      <c r="S57" s="2895"/>
      <c r="T57" s="2881"/>
      <c r="U57" s="2881"/>
      <c r="V57" s="2881"/>
      <c r="X57" s="2956"/>
      <c r="Y57" s="2956"/>
      <c r="Z57" s="2956"/>
    </row>
    <row r="58" spans="1:26">
      <c r="A58" s="2892" t="s">
        <v>2542</v>
      </c>
      <c r="B58" s="2893">
        <f t="shared" si="40"/>
        <v>168.82017748715555</v>
      </c>
      <c r="C58" s="2893">
        <f t="shared" si="40"/>
        <v>148.06267029972753</v>
      </c>
      <c r="D58" s="2893">
        <f t="shared" si="20"/>
        <v>148.06267029972753</v>
      </c>
      <c r="E58" s="2893">
        <f t="shared" si="41"/>
        <v>216.46288379323747</v>
      </c>
      <c r="F58" s="2893">
        <f t="shared" si="41"/>
        <v>134.23529411764704</v>
      </c>
      <c r="G58" s="3609">
        <v>2007</v>
      </c>
      <c r="H58" s="2907">
        <v>2</v>
      </c>
      <c r="I58" s="2907">
        <v>3.67</v>
      </c>
      <c r="J58" s="2907">
        <v>2.3199999999999998</v>
      </c>
      <c r="K58" s="2907">
        <v>5.0199999999999996</v>
      </c>
      <c r="L58" s="2908">
        <v>6.71</v>
      </c>
      <c r="N58" s="2954">
        <f t="shared" si="38"/>
        <v>3.0339138143848032E-2</v>
      </c>
      <c r="O58" s="2955">
        <f t="shared" si="38"/>
        <v>2.0922341588790472E-2</v>
      </c>
      <c r="P58" s="2955">
        <f t="shared" si="39"/>
        <v>5.6164796592717003E-2</v>
      </c>
      <c r="Q58" s="2955">
        <f t="shared" si="39"/>
        <v>6.5704536723887319E-2</v>
      </c>
      <c r="R58" s="2896"/>
      <c r="S58" s="2895"/>
      <c r="T58" s="2881"/>
      <c r="U58" s="2881"/>
      <c r="V58" s="2881"/>
      <c r="X58" s="2956"/>
      <c r="Y58" s="2956"/>
      <c r="Z58" s="2956"/>
    </row>
    <row r="59" spans="1:26">
      <c r="A59" s="2892" t="s">
        <v>2543</v>
      </c>
      <c r="B59" s="2893">
        <f t="shared" si="40"/>
        <v>163.84913591779542</v>
      </c>
      <c r="C59" s="2893">
        <f t="shared" si="40"/>
        <v>145.0283378746594</v>
      </c>
      <c r="D59" s="2893">
        <f t="shared" si="20"/>
        <v>145.0283378746594</v>
      </c>
      <c r="E59" s="2893">
        <f t="shared" si="41"/>
        <v>204.95180722891567</v>
      </c>
      <c r="F59" s="2893">
        <f t="shared" si="41"/>
        <v>125.95920303605313</v>
      </c>
      <c r="G59" s="3610">
        <v>2007</v>
      </c>
      <c r="H59" s="2894">
        <v>1</v>
      </c>
      <c r="I59" s="2894">
        <v>3.58</v>
      </c>
      <c r="J59" s="2894">
        <v>3.08</v>
      </c>
      <c r="K59" s="2894">
        <v>4.34</v>
      </c>
      <c r="L59" s="2900">
        <v>3.21</v>
      </c>
      <c r="N59" s="2957">
        <f t="shared" si="38"/>
        <v>3.0497710174814063E-2</v>
      </c>
      <c r="O59" s="2958">
        <f t="shared" si="38"/>
        <v>2.8569772160704998E-2</v>
      </c>
      <c r="P59" s="2958">
        <f t="shared" si="39"/>
        <v>5.1034908866234296E-2</v>
      </c>
      <c r="Q59" s="2958">
        <f t="shared" si="39"/>
        <v>3.245248390207478E-2</v>
      </c>
      <c r="R59" s="2896"/>
      <c r="S59" s="2897">
        <f>B59/B60-1</f>
        <v>3.0497710174814063E-2</v>
      </c>
      <c r="T59" s="2898">
        <f>C59/C60-1</f>
        <v>2.8569772160704998E-2</v>
      </c>
      <c r="U59" s="2898">
        <f>E59/E60-1</f>
        <v>5.1034908866234296E-2</v>
      </c>
      <c r="V59" s="2898">
        <f>F59/F60-1</f>
        <v>3.245248390207478E-2</v>
      </c>
      <c r="X59" s="2956"/>
      <c r="Y59" s="2956"/>
      <c r="Z59" s="2956"/>
    </row>
    <row r="60" spans="1:26" ht="13.5" thickBot="1">
      <c r="A60" s="2892" t="s">
        <v>2544</v>
      </c>
      <c r="B60" s="2921">
        <v>159</v>
      </c>
      <c r="C60" s="2921">
        <v>141</v>
      </c>
      <c r="D60" s="2921">
        <f t="shared" si="20"/>
        <v>141</v>
      </c>
      <c r="E60" s="2921">
        <v>195</v>
      </c>
      <c r="F60" s="2922">
        <v>122</v>
      </c>
      <c r="G60" s="3608">
        <v>2006</v>
      </c>
      <c r="H60" s="2916">
        <v>4</v>
      </c>
      <c r="I60" s="2916">
        <v>3.79</v>
      </c>
      <c r="J60" s="2916">
        <v>2.21</v>
      </c>
      <c r="K60" s="2916">
        <v>5.65</v>
      </c>
      <c r="L60" s="2917">
        <v>5.41</v>
      </c>
      <c r="N60" s="2954">
        <f t="shared" ref="N60:O63" si="42">I60/SUM(I$60:I$63)*(B$60/B$64-1)</f>
        <v>7.245466462748526E-2</v>
      </c>
      <c r="O60" s="2955">
        <f t="shared" si="42"/>
        <v>2.3237230038062766E-2</v>
      </c>
      <c r="P60" s="2955">
        <f t="shared" ref="P60:Q63" si="43">K60/SUM(K$60:K$63)*(E$60/E$64-1)</f>
        <v>0.16146893866323722</v>
      </c>
      <c r="Q60" s="2955">
        <f t="shared" si="43"/>
        <v>5.0755230321793784E-2</v>
      </c>
      <c r="R60" s="2896"/>
      <c r="S60" s="2905"/>
      <c r="T60" s="2906"/>
      <c r="U60" s="2906"/>
      <c r="V60" s="2906"/>
      <c r="X60" s="2956"/>
      <c r="Y60" s="2956"/>
      <c r="Z60" s="2956"/>
    </row>
    <row r="61" spans="1:26">
      <c r="A61" s="2892" t="s">
        <v>2545</v>
      </c>
      <c r="B61" s="2893">
        <f t="shared" ref="B61:C63" si="44">B62+(B$60-B$64)*I61/SUM(I$60:I$63)</f>
        <v>149.00125628140702</v>
      </c>
      <c r="C61" s="2893">
        <f t="shared" si="44"/>
        <v>137.95592286501378</v>
      </c>
      <c r="D61" s="2893">
        <f t="shared" si="20"/>
        <v>137.95592286501378</v>
      </c>
      <c r="E61" s="2893">
        <f t="shared" ref="E61:F63" si="45">E62+(E$60-E$64)*K61/SUM(K$60:K$63)</f>
        <v>169.97231450719823</v>
      </c>
      <c r="F61" s="2893">
        <f t="shared" si="45"/>
        <v>116.21390374331551</v>
      </c>
      <c r="G61" s="3609">
        <v>2006</v>
      </c>
      <c r="H61" s="2919">
        <v>3</v>
      </c>
      <c r="I61" s="2919">
        <v>0.92</v>
      </c>
      <c r="J61" s="2919">
        <v>1.08</v>
      </c>
      <c r="K61" s="2919">
        <v>0.73</v>
      </c>
      <c r="L61" s="2920">
        <v>1.08</v>
      </c>
      <c r="N61" s="2954">
        <f t="shared" si="42"/>
        <v>1.7587939698492462E-2</v>
      </c>
      <c r="O61" s="2955">
        <f t="shared" si="42"/>
        <v>1.1355750425840628E-2</v>
      </c>
      <c r="P61" s="2955">
        <f t="shared" si="43"/>
        <v>2.0862358446754544E-2</v>
      </c>
      <c r="Q61" s="2955">
        <f t="shared" si="43"/>
        <v>1.0132282578103011E-2</v>
      </c>
      <c r="R61" s="2896"/>
      <c r="S61" s="2895"/>
      <c r="T61" s="2881"/>
      <c r="U61" s="2881"/>
      <c r="V61" s="2881"/>
      <c r="X61" s="2956"/>
      <c r="Y61" s="2956"/>
      <c r="Z61" s="2956"/>
    </row>
    <row r="62" spans="1:26">
      <c r="A62" s="2892" t="s">
        <v>2546</v>
      </c>
      <c r="B62" s="2893">
        <f t="shared" si="44"/>
        <v>146.57412060301507</v>
      </c>
      <c r="C62" s="2893">
        <f t="shared" si="44"/>
        <v>136.46831955922866</v>
      </c>
      <c r="D62" s="2893">
        <f t="shared" si="20"/>
        <v>136.46831955922866</v>
      </c>
      <c r="E62" s="2893">
        <f t="shared" si="45"/>
        <v>166.73864894795128</v>
      </c>
      <c r="F62" s="2893">
        <f t="shared" si="45"/>
        <v>115.05882352941177</v>
      </c>
      <c r="G62" s="3609">
        <v>2006</v>
      </c>
      <c r="H62" s="2907">
        <v>2</v>
      </c>
      <c r="I62" s="2907">
        <v>0.96</v>
      </c>
      <c r="J62" s="2907">
        <v>0.25</v>
      </c>
      <c r="K62" s="2907">
        <v>1.9</v>
      </c>
      <c r="L62" s="2908">
        <v>0.95</v>
      </c>
      <c r="N62" s="2954">
        <f t="shared" si="42"/>
        <v>1.8352632728861701E-2</v>
      </c>
      <c r="O62" s="2955">
        <f t="shared" si="42"/>
        <v>2.6286459319075526E-3</v>
      </c>
      <c r="P62" s="2955">
        <f t="shared" si="43"/>
        <v>5.4299289107991269E-2</v>
      </c>
      <c r="Q62" s="2955">
        <f t="shared" si="43"/>
        <v>8.9126559714794995E-3</v>
      </c>
      <c r="R62" s="2896"/>
      <c r="S62" s="2895"/>
      <c r="T62" s="2881"/>
      <c r="U62" s="2881"/>
      <c r="V62" s="2881"/>
      <c r="X62" s="2956"/>
      <c r="Y62" s="2956"/>
      <c r="Z62" s="2956"/>
    </row>
    <row r="63" spans="1:26">
      <c r="A63" s="2892" t="s">
        <v>2547</v>
      </c>
      <c r="B63" s="2893">
        <f t="shared" si="44"/>
        <v>144.04145728643215</v>
      </c>
      <c r="C63" s="2893">
        <f t="shared" si="44"/>
        <v>136.12396694214877</v>
      </c>
      <c r="D63" s="2893">
        <f t="shared" si="20"/>
        <v>136.12396694214877</v>
      </c>
      <c r="E63" s="2893">
        <f t="shared" si="45"/>
        <v>158.32225913621264</v>
      </c>
      <c r="F63" s="2893">
        <f t="shared" si="45"/>
        <v>114.04278074866311</v>
      </c>
      <c r="G63" s="3610">
        <v>2006</v>
      </c>
      <c r="H63" s="2894">
        <v>1</v>
      </c>
      <c r="I63" s="2894">
        <v>2.29</v>
      </c>
      <c r="J63" s="2894">
        <v>3.72</v>
      </c>
      <c r="K63" s="2894">
        <v>0.75</v>
      </c>
      <c r="L63" s="2900">
        <v>0.04</v>
      </c>
      <c r="N63" s="2957">
        <f t="shared" si="42"/>
        <v>4.3778675988638847E-2</v>
      </c>
      <c r="O63" s="2958">
        <f t="shared" si="42"/>
        <v>3.9114251466784385E-2</v>
      </c>
      <c r="P63" s="2958">
        <f t="shared" si="43"/>
        <v>2.1433929911049188E-2</v>
      </c>
      <c r="Q63" s="2958">
        <f t="shared" si="43"/>
        <v>3.7526972511492629E-4</v>
      </c>
      <c r="R63" s="2896"/>
      <c r="S63" s="2897">
        <f>B63/B64-1</f>
        <v>4.3778675988638716E-2</v>
      </c>
      <c r="T63" s="2898">
        <f>C63/C64-1</f>
        <v>3.91142514667846E-2</v>
      </c>
      <c r="U63" s="2898">
        <f>E63/E64-1</f>
        <v>2.143392991104931E-2</v>
      </c>
      <c r="V63" s="2898">
        <f>F63/F64-1</f>
        <v>3.7526972511492396E-4</v>
      </c>
      <c r="X63" s="2956"/>
      <c r="Y63" s="2956"/>
      <c r="Z63" s="2956"/>
    </row>
    <row r="64" spans="1:26" ht="13.5" thickBot="1">
      <c r="A64" s="2892" t="s">
        <v>2548</v>
      </c>
      <c r="B64" s="2921">
        <v>138</v>
      </c>
      <c r="C64" s="2921">
        <v>131</v>
      </c>
      <c r="D64" s="2921">
        <f t="shared" si="20"/>
        <v>131</v>
      </c>
      <c r="E64" s="2921">
        <v>155</v>
      </c>
      <c r="F64" s="2922">
        <v>114</v>
      </c>
      <c r="G64" s="3608">
        <v>2005</v>
      </c>
      <c r="H64" s="2916">
        <v>4</v>
      </c>
      <c r="I64" s="2916">
        <v>3.29</v>
      </c>
      <c r="J64" s="2916">
        <v>1.44</v>
      </c>
      <c r="K64" s="2916">
        <v>0.66</v>
      </c>
      <c r="L64" s="2917">
        <v>7.78</v>
      </c>
      <c r="N64" s="2954">
        <f t="shared" ref="N64:O67" si="46">I64/SUM(I$64:I$67)*(B$64/B$68-1)</f>
        <v>9.9404603216919935E-2</v>
      </c>
      <c r="O64" s="2955">
        <f t="shared" si="46"/>
        <v>4.7636550760861554E-2</v>
      </c>
      <c r="P64" s="2955">
        <f t="shared" ref="P64:Q67" si="47">K64/SUM(K$64:K$67)*(E$64/E$68-1)</f>
        <v>8.3756345177664976E-2</v>
      </c>
      <c r="Q64" s="2955">
        <f t="shared" si="47"/>
        <v>5.2148766661559584E-2</v>
      </c>
      <c r="R64" s="2896"/>
      <c r="S64" s="2905"/>
      <c r="T64" s="2906"/>
      <c r="U64" s="2906"/>
      <c r="V64" s="2906"/>
      <c r="X64" s="2956"/>
      <c r="Y64" s="2956"/>
      <c r="Z64" s="2956"/>
    </row>
    <row r="65" spans="1:26">
      <c r="A65" s="2892" t="s">
        <v>2549</v>
      </c>
      <c r="B65" s="2893">
        <f t="shared" ref="B65:C67" si="48">B66+(B$64-B$68)*I65/SUM(I$64:I$67)</f>
        <v>125.9720430107527</v>
      </c>
      <c r="C65" s="2893">
        <f t="shared" si="48"/>
        <v>125.1883408071749</v>
      </c>
      <c r="D65" s="2893">
        <f t="shared" si="20"/>
        <v>125.1883408071749</v>
      </c>
      <c r="E65" s="2893">
        <f t="shared" ref="E65:F67" si="49">E66+(E$64-E$68)*K65/SUM(K$64:K$67)</f>
        <v>144.61421319796952</v>
      </c>
      <c r="F65" s="2893">
        <f t="shared" si="49"/>
        <v>108.42008196721311</v>
      </c>
      <c r="G65" s="3609">
        <v>2005</v>
      </c>
      <c r="H65" s="2919">
        <v>3</v>
      </c>
      <c r="I65" s="2919">
        <v>0.46</v>
      </c>
      <c r="J65" s="2919">
        <v>0.32</v>
      </c>
      <c r="K65" s="2919">
        <v>0.42</v>
      </c>
      <c r="L65" s="2920">
        <v>0.64</v>
      </c>
      <c r="N65" s="2954">
        <f t="shared" si="46"/>
        <v>1.3898515951301874E-2</v>
      </c>
      <c r="O65" s="2955">
        <f t="shared" si="46"/>
        <v>1.0585900169080346E-2</v>
      </c>
      <c r="P65" s="2955">
        <f t="shared" si="47"/>
        <v>5.3299492385786795E-2</v>
      </c>
      <c r="Q65" s="2955">
        <f t="shared" si="47"/>
        <v>4.2898728359123568E-3</v>
      </c>
      <c r="R65" s="2896"/>
      <c r="S65" s="2895"/>
      <c r="T65" s="2881"/>
      <c r="U65" s="2881"/>
      <c r="V65" s="2881"/>
      <c r="X65" s="2956"/>
      <c r="Y65" s="2956"/>
      <c r="Z65" s="2956"/>
    </row>
    <row r="66" spans="1:26">
      <c r="A66" s="2892" t="s">
        <v>2550</v>
      </c>
      <c r="B66" s="2893">
        <f t="shared" si="48"/>
        <v>124.29032258064517</v>
      </c>
      <c r="C66" s="2893">
        <f t="shared" si="48"/>
        <v>123.8968609865471</v>
      </c>
      <c r="D66" s="2893">
        <f t="shared" si="20"/>
        <v>123.8968609865471</v>
      </c>
      <c r="E66" s="2893">
        <f t="shared" si="49"/>
        <v>138.00507614213197</v>
      </c>
      <c r="F66" s="2893">
        <f t="shared" si="49"/>
        <v>107.96106557377048</v>
      </c>
      <c r="G66" s="3609">
        <v>2005</v>
      </c>
      <c r="H66" s="2907">
        <v>2</v>
      </c>
      <c r="I66" s="2907">
        <v>0.47</v>
      </c>
      <c r="J66" s="2907">
        <v>0.1</v>
      </c>
      <c r="K66" s="2907">
        <v>0.52</v>
      </c>
      <c r="L66" s="2908">
        <v>0.79</v>
      </c>
      <c r="N66" s="2954">
        <f t="shared" si="46"/>
        <v>1.420065760241713E-2</v>
      </c>
      <c r="O66" s="2955">
        <f t="shared" si="46"/>
        <v>3.3080938028376083E-3</v>
      </c>
      <c r="P66" s="2955">
        <f t="shared" si="47"/>
        <v>6.598984771573603E-2</v>
      </c>
      <c r="Q66" s="2955">
        <f t="shared" si="47"/>
        <v>5.2953117818293153E-3</v>
      </c>
      <c r="R66" s="2896"/>
      <c r="S66" s="2895"/>
      <c r="T66" s="2881"/>
      <c r="U66" s="2881"/>
      <c r="V66" s="2881"/>
      <c r="X66" s="2956"/>
      <c r="Y66" s="2956"/>
      <c r="Z66" s="2956"/>
    </row>
    <row r="67" spans="1:26">
      <c r="A67" s="2892" t="s">
        <v>2551</v>
      </c>
      <c r="B67" s="2893">
        <f t="shared" si="48"/>
        <v>122.57204301075269</v>
      </c>
      <c r="C67" s="2893">
        <f t="shared" si="48"/>
        <v>123.4932735426009</v>
      </c>
      <c r="D67" s="2893">
        <f t="shared" si="20"/>
        <v>123.4932735426009</v>
      </c>
      <c r="E67" s="2893">
        <f t="shared" si="49"/>
        <v>129.82233502538071</v>
      </c>
      <c r="F67" s="2893">
        <f t="shared" si="49"/>
        <v>107.39446721311475</v>
      </c>
      <c r="G67" s="3610">
        <v>2005</v>
      </c>
      <c r="H67" s="2894">
        <v>1</v>
      </c>
      <c r="I67" s="2894">
        <v>0.43</v>
      </c>
      <c r="J67" s="2894">
        <v>0.37</v>
      </c>
      <c r="K67" s="2894">
        <v>0.37</v>
      </c>
      <c r="L67" s="2900">
        <v>0.55000000000000004</v>
      </c>
      <c r="N67" s="2957">
        <f t="shared" si="46"/>
        <v>1.2992090997956099E-2</v>
      </c>
      <c r="O67" s="2958">
        <f t="shared" si="46"/>
        <v>1.2239947070499151E-2</v>
      </c>
      <c r="P67" s="2958">
        <f t="shared" si="47"/>
        <v>4.6954314720812178E-2</v>
      </c>
      <c r="Q67" s="2958">
        <f t="shared" si="47"/>
        <v>3.6866094683621815E-3</v>
      </c>
      <c r="R67" s="2896"/>
      <c r="S67" s="2897">
        <f>B67/B68-1</f>
        <v>1.2992090997956174E-2</v>
      </c>
      <c r="T67" s="2898">
        <f>C67/C68-1</f>
        <v>1.2239947070499246E-2</v>
      </c>
      <c r="U67" s="2898">
        <f>E67/E68-1</f>
        <v>4.695431472081224E-2</v>
      </c>
      <c r="V67" s="2898">
        <f>F67/F68-1</f>
        <v>3.6866094683620787E-3</v>
      </c>
      <c r="X67" s="2956"/>
      <c r="Y67" s="2956"/>
      <c r="Z67" s="2956"/>
    </row>
    <row r="68" spans="1:26" ht="13.5" thickBot="1">
      <c r="A68" s="2892" t="s">
        <v>2552</v>
      </c>
      <c r="B68" s="2942">
        <v>121</v>
      </c>
      <c r="C68" s="2942">
        <v>122</v>
      </c>
      <c r="D68" s="2942">
        <f t="shared" si="20"/>
        <v>122</v>
      </c>
      <c r="E68" s="2942">
        <v>124</v>
      </c>
      <c r="F68" s="2943">
        <v>107</v>
      </c>
      <c r="G68" s="3608">
        <v>2004</v>
      </c>
      <c r="H68" s="2916">
        <v>4</v>
      </c>
      <c r="I68" s="2916">
        <v>0.33</v>
      </c>
      <c r="J68" s="2916">
        <v>0.5</v>
      </c>
      <c r="K68" s="2916">
        <v>0.5</v>
      </c>
      <c r="L68" s="2917">
        <v>0</v>
      </c>
      <c r="N68" s="2954">
        <f t="shared" ref="N68:O71" si="50">I68/SUM(I$68:I$71)*(B$68/B$72-1)</f>
        <v>1.3391770148526898E-2</v>
      </c>
      <c r="O68" s="2955">
        <f t="shared" si="50"/>
        <v>1.063264221158958E-2</v>
      </c>
      <c r="P68" s="2955">
        <f t="shared" ref="P68:Q71" si="51">K68/SUM(K$68:K$71)*(E$68/E$72-1)</f>
        <v>2.2244466688911134E-2</v>
      </c>
      <c r="Q68" s="2955">
        <f t="shared" si="51"/>
        <v>0</v>
      </c>
      <c r="R68" s="2896"/>
      <c r="S68" s="2905"/>
      <c r="T68" s="2906"/>
      <c r="U68" s="2906"/>
      <c r="V68" s="2906"/>
      <c r="X68" s="2956"/>
      <c r="Y68" s="2956"/>
      <c r="Z68" s="2956"/>
    </row>
    <row r="69" spans="1:26">
      <c r="A69" s="2892" t="s">
        <v>2553</v>
      </c>
      <c r="B69" s="2893">
        <f t="shared" ref="B69:C71" si="52">B70+(B$68-B$72)*I69/SUM(I$68:I$71)</f>
        <v>119.51351351351352</v>
      </c>
      <c r="C69" s="2893">
        <f t="shared" si="52"/>
        <v>120.7878787878788</v>
      </c>
      <c r="D69" s="2893">
        <f t="shared" si="20"/>
        <v>120.7878787878788</v>
      </c>
      <c r="E69" s="2893">
        <f t="shared" ref="E69:F71" si="53">E70+(E$68-E$72)*K69/SUM(K$68:K$71)</f>
        <v>121.5975975975976</v>
      </c>
      <c r="F69" s="2893">
        <f t="shared" si="53"/>
        <v>107</v>
      </c>
      <c r="G69" s="3609">
        <v>2004</v>
      </c>
      <c r="H69" s="2919">
        <v>3</v>
      </c>
      <c r="I69" s="2919">
        <v>0.56000000000000005</v>
      </c>
      <c r="J69" s="2919">
        <v>0.8</v>
      </c>
      <c r="K69" s="2919">
        <v>0.83</v>
      </c>
      <c r="L69" s="2920">
        <v>0.06</v>
      </c>
      <c r="N69" s="2954">
        <f t="shared" si="50"/>
        <v>2.2725428130833527E-2</v>
      </c>
      <c r="O69" s="2955">
        <f t="shared" si="50"/>
        <v>1.7012227538543329E-2</v>
      </c>
      <c r="P69" s="2955">
        <f t="shared" si="51"/>
        <v>3.6925814703592477E-2</v>
      </c>
      <c r="Q69" s="2955">
        <f t="shared" si="51"/>
        <v>2.8846153846153744E-2</v>
      </c>
      <c r="R69" s="2896"/>
      <c r="S69" s="2895"/>
      <c r="T69" s="2881"/>
      <c r="U69" s="2881"/>
      <c r="V69" s="2881"/>
      <c r="X69" s="2956"/>
      <c r="Y69" s="2956"/>
      <c r="Z69" s="2956"/>
    </row>
    <row r="70" spans="1:26">
      <c r="A70" s="2892" t="s">
        <v>2554</v>
      </c>
      <c r="B70" s="2893">
        <f t="shared" si="52"/>
        <v>116.99099099099099</v>
      </c>
      <c r="C70" s="2893">
        <f t="shared" si="52"/>
        <v>118.84848484848486</v>
      </c>
      <c r="D70" s="2893">
        <f t="shared" si="20"/>
        <v>118.84848484848486</v>
      </c>
      <c r="E70" s="2893">
        <f t="shared" si="53"/>
        <v>117.60960960960961</v>
      </c>
      <c r="F70" s="2893">
        <f t="shared" si="53"/>
        <v>104</v>
      </c>
      <c r="G70" s="3609">
        <v>2004</v>
      </c>
      <c r="H70" s="2907">
        <v>2</v>
      </c>
      <c r="I70" s="2907">
        <v>1</v>
      </c>
      <c r="J70" s="2907">
        <v>1.5</v>
      </c>
      <c r="K70" s="2907">
        <v>1.5</v>
      </c>
      <c r="L70" s="2908">
        <v>0</v>
      </c>
      <c r="N70" s="2954">
        <f t="shared" si="50"/>
        <v>4.0581121662202721E-2</v>
      </c>
      <c r="O70" s="2955">
        <f t="shared" si="50"/>
        <v>3.1897926634768738E-2</v>
      </c>
      <c r="P70" s="2955">
        <f t="shared" si="51"/>
        <v>6.6733400066733395E-2</v>
      </c>
      <c r="Q70" s="2955">
        <f t="shared" si="51"/>
        <v>0</v>
      </c>
      <c r="R70" s="2896"/>
      <c r="S70" s="2895"/>
      <c r="T70" s="2881"/>
      <c r="U70" s="2881"/>
      <c r="V70" s="2881"/>
      <c r="X70" s="2956"/>
      <c r="Y70" s="2956"/>
      <c r="Z70" s="2956"/>
    </row>
    <row r="71" spans="1:26" s="2948" customFormat="1" ht="13.5" thickBot="1">
      <c r="A71" s="2892" t="s">
        <v>2555</v>
      </c>
      <c r="B71" s="2945">
        <f t="shared" si="52"/>
        <v>112.48648648648648</v>
      </c>
      <c r="C71" s="2945">
        <f t="shared" si="52"/>
        <v>115.21212121212122</v>
      </c>
      <c r="D71" s="2945">
        <f t="shared" si="20"/>
        <v>115.21212121212122</v>
      </c>
      <c r="E71" s="2945">
        <f t="shared" si="53"/>
        <v>110.4024024024024</v>
      </c>
      <c r="F71" s="2945">
        <f t="shared" si="53"/>
        <v>104</v>
      </c>
      <c r="G71" s="3610">
        <v>2004</v>
      </c>
      <c r="H71" s="2946">
        <v>1</v>
      </c>
      <c r="I71" s="2946">
        <v>0.33</v>
      </c>
      <c r="J71" s="2946">
        <v>0.5</v>
      </c>
      <c r="K71" s="2946">
        <v>0.5</v>
      </c>
      <c r="L71" s="2947">
        <v>0</v>
      </c>
      <c r="N71" s="2959">
        <f t="shared" si="50"/>
        <v>1.3391770148526898E-2</v>
      </c>
      <c r="O71" s="2960">
        <f t="shared" si="50"/>
        <v>1.063264221158958E-2</v>
      </c>
      <c r="P71" s="2960">
        <f t="shared" si="51"/>
        <v>2.2244466688911134E-2</v>
      </c>
      <c r="Q71" s="2960">
        <f t="shared" si="51"/>
        <v>0</v>
      </c>
      <c r="R71" s="2951"/>
      <c r="S71" s="2949">
        <f>B71/B72-1</f>
        <v>1.3391770148526883E-2</v>
      </c>
      <c r="T71" s="2950">
        <f>C71/C72-1</f>
        <v>1.063264221158966E-2</v>
      </c>
      <c r="U71" s="2950">
        <f>E71/E72-1</f>
        <v>2.2244466688911224E-2</v>
      </c>
      <c r="V71" s="2950">
        <f>F71/F72-1</f>
        <v>0</v>
      </c>
      <c r="X71" s="2961"/>
      <c r="Y71" s="2961"/>
      <c r="Z71" s="2961"/>
    </row>
    <row r="72" spans="1:26" ht="13.5" thickBot="1">
      <c r="A72" s="2892" t="s">
        <v>2556</v>
      </c>
      <c r="B72" s="2962">
        <v>111</v>
      </c>
      <c r="C72" s="2962">
        <v>114</v>
      </c>
      <c r="D72" s="2962">
        <f t="shared" si="20"/>
        <v>114</v>
      </c>
      <c r="E72" s="2962">
        <v>108</v>
      </c>
      <c r="F72" s="2963">
        <v>104</v>
      </c>
      <c r="G72" s="3608">
        <v>2003</v>
      </c>
      <c r="H72" s="2952">
        <v>4</v>
      </c>
      <c r="I72" s="2964"/>
      <c r="J72" s="2964"/>
      <c r="K72" s="2964"/>
      <c r="L72" s="2964"/>
      <c r="N72" s="2965"/>
      <c r="O72" s="2964"/>
      <c r="P72" s="2964"/>
      <c r="Q72" s="2964"/>
      <c r="S72" s="2965"/>
      <c r="T72" s="2964"/>
      <c r="U72" s="2964"/>
      <c r="V72" s="2964"/>
      <c r="X72" s="2956"/>
      <c r="Y72" s="2956"/>
      <c r="Z72" s="2956"/>
    </row>
    <row r="73" spans="1:26">
      <c r="A73" s="2892" t="s">
        <v>2557</v>
      </c>
      <c r="B73" s="2966">
        <f t="shared" ref="B73:C75" si="54">B74+(B$72-B$76)/4</f>
        <v>109.75</v>
      </c>
      <c r="C73" s="2966">
        <f t="shared" si="54"/>
        <v>112.25</v>
      </c>
      <c r="D73" s="2966">
        <f t="shared" si="20"/>
        <v>112.25</v>
      </c>
      <c r="E73" s="2966">
        <f t="shared" ref="E73:F75" si="55">E74+(E$72-E$76)/4</f>
        <v>107.25</v>
      </c>
      <c r="F73" s="2966">
        <f t="shared" si="55"/>
        <v>103.5</v>
      </c>
      <c r="G73" s="3609">
        <v>2003</v>
      </c>
      <c r="H73" s="2919">
        <v>3</v>
      </c>
      <c r="I73" s="2964"/>
      <c r="J73" s="2964"/>
      <c r="K73" s="2964"/>
      <c r="L73" s="2964"/>
      <c r="X73" s="2956"/>
      <c r="Y73" s="2956"/>
      <c r="Z73" s="2956"/>
    </row>
    <row r="74" spans="1:26">
      <c r="A74" s="2892" t="s">
        <v>2558</v>
      </c>
      <c r="B74" s="2966">
        <f t="shared" si="54"/>
        <v>108.5</v>
      </c>
      <c r="C74" s="2966">
        <f t="shared" si="54"/>
        <v>110.5</v>
      </c>
      <c r="D74" s="2966">
        <f t="shared" si="20"/>
        <v>110.5</v>
      </c>
      <c r="E74" s="2966">
        <f t="shared" si="55"/>
        <v>106.5</v>
      </c>
      <c r="F74" s="2966">
        <f t="shared" si="55"/>
        <v>103</v>
      </c>
      <c r="G74" s="3609">
        <v>2003</v>
      </c>
      <c r="H74" s="2907">
        <v>2</v>
      </c>
      <c r="I74" s="2964"/>
      <c r="J74" s="2964"/>
      <c r="K74" s="2964"/>
      <c r="L74" s="2964"/>
      <c r="X74" s="2956"/>
      <c r="Y74" s="2956"/>
      <c r="Z74" s="2956"/>
    </row>
    <row r="75" spans="1:26" ht="13.5" thickBot="1">
      <c r="A75" s="2892" t="s">
        <v>2559</v>
      </c>
      <c r="B75" s="2966">
        <f t="shared" si="54"/>
        <v>107.25</v>
      </c>
      <c r="C75" s="2966">
        <f t="shared" si="54"/>
        <v>108.75</v>
      </c>
      <c r="D75" s="2966">
        <f t="shared" si="20"/>
        <v>108.75</v>
      </c>
      <c r="E75" s="2966">
        <f t="shared" si="55"/>
        <v>105.75</v>
      </c>
      <c r="F75" s="2966">
        <f t="shared" si="55"/>
        <v>102.5</v>
      </c>
      <c r="G75" s="3610">
        <v>2003</v>
      </c>
      <c r="H75" s="2967">
        <v>1</v>
      </c>
      <c r="I75" s="2964"/>
      <c r="J75" s="2964"/>
      <c r="K75" s="2964"/>
      <c r="L75" s="2964"/>
      <c r="S75" s="2895"/>
      <c r="T75" s="2881"/>
      <c r="U75" s="2881"/>
      <c r="X75" s="2956"/>
      <c r="Y75" s="2956"/>
      <c r="Z75" s="2956"/>
    </row>
    <row r="76" spans="1:26" ht="13.5" thickBot="1">
      <c r="A76" s="2892" t="s">
        <v>2560</v>
      </c>
      <c r="B76" s="2968">
        <v>106</v>
      </c>
      <c r="C76" s="2968">
        <v>107</v>
      </c>
      <c r="D76" s="2968">
        <f t="shared" si="20"/>
        <v>107</v>
      </c>
      <c r="E76" s="2968">
        <v>105</v>
      </c>
      <c r="F76" s="2969">
        <v>102</v>
      </c>
      <c r="G76" s="3608">
        <v>2002</v>
      </c>
      <c r="H76" s="2916">
        <v>4</v>
      </c>
      <c r="I76" s="2964"/>
      <c r="J76" s="2964"/>
      <c r="K76" s="2964"/>
      <c r="L76" s="2964"/>
      <c r="N76" s="2965"/>
      <c r="O76" s="2964"/>
      <c r="P76" s="2964"/>
      <c r="Q76" s="2964"/>
      <c r="S76" s="2965"/>
      <c r="T76" s="2964"/>
      <c r="U76" s="2964"/>
      <c r="V76" s="2964"/>
      <c r="X76" s="2956"/>
      <c r="Y76" s="2956"/>
      <c r="Z76" s="2956"/>
    </row>
    <row r="77" spans="1:26">
      <c r="A77" s="2892" t="s">
        <v>2561</v>
      </c>
      <c r="B77" s="2966">
        <f t="shared" ref="B77:C79" si="56">B78+(B$76-B$80)/4</f>
        <v>105</v>
      </c>
      <c r="C77" s="2966">
        <f t="shared" si="56"/>
        <v>106</v>
      </c>
      <c r="D77" s="2966">
        <f t="shared" si="20"/>
        <v>106</v>
      </c>
      <c r="E77" s="2966">
        <f t="shared" ref="E77:F79" si="57">E78+(E$76-E$80)/4</f>
        <v>104.5</v>
      </c>
      <c r="F77" s="2966">
        <f t="shared" si="57"/>
        <v>101.5</v>
      </c>
      <c r="G77" s="3609">
        <v>2002</v>
      </c>
      <c r="H77" s="2919">
        <v>3</v>
      </c>
      <c r="I77" s="2964"/>
      <c r="J77" s="2964"/>
      <c r="K77" s="2964"/>
      <c r="L77" s="2964"/>
      <c r="X77" s="2956"/>
      <c r="Y77" s="2956"/>
      <c r="Z77" s="2956"/>
    </row>
    <row r="78" spans="1:26">
      <c r="A78" s="2892" t="s">
        <v>2562</v>
      </c>
      <c r="B78" s="2966">
        <f t="shared" si="56"/>
        <v>104</v>
      </c>
      <c r="C78" s="2966">
        <f t="shared" si="56"/>
        <v>105</v>
      </c>
      <c r="D78" s="2966">
        <f t="shared" si="20"/>
        <v>105</v>
      </c>
      <c r="E78" s="2966">
        <f t="shared" si="57"/>
        <v>104</v>
      </c>
      <c r="F78" s="2966">
        <f t="shared" si="57"/>
        <v>101</v>
      </c>
      <c r="G78" s="3609">
        <v>2002</v>
      </c>
      <c r="H78" s="2907">
        <v>2</v>
      </c>
      <c r="I78" s="2964"/>
      <c r="J78" s="2964"/>
      <c r="K78" s="2964"/>
      <c r="L78" s="2964"/>
      <c r="X78" s="2956"/>
      <c r="Y78" s="2956"/>
      <c r="Z78" s="2956"/>
    </row>
    <row r="79" spans="1:26" s="2929" customFormat="1" ht="13.5" thickBot="1">
      <c r="A79" s="2925" t="s">
        <v>2563</v>
      </c>
      <c r="B79" s="2932">
        <f t="shared" si="56"/>
        <v>103</v>
      </c>
      <c r="C79" s="2932">
        <f t="shared" si="56"/>
        <v>104</v>
      </c>
      <c r="D79" s="2932">
        <f t="shared" si="20"/>
        <v>104</v>
      </c>
      <c r="E79" s="2932">
        <f t="shared" si="57"/>
        <v>103.5</v>
      </c>
      <c r="F79" s="2932">
        <f t="shared" si="57"/>
        <v>100.5</v>
      </c>
      <c r="G79" s="3610">
        <v>2002</v>
      </c>
      <c r="H79" s="2970">
        <v>1</v>
      </c>
      <c r="I79" s="2971"/>
      <c r="J79" s="2971"/>
      <c r="K79" s="2971"/>
      <c r="L79" s="2971"/>
      <c r="N79" s="2972"/>
      <c r="S79" s="2972"/>
      <c r="X79" s="2973"/>
      <c r="Y79" s="2973"/>
      <c r="Z79" s="2973"/>
    </row>
    <row r="80" spans="1:26" ht="13.5" thickBot="1">
      <c r="B80" s="2974">
        <v>102</v>
      </c>
      <c r="C80" s="2975">
        <v>103</v>
      </c>
      <c r="D80" s="2975">
        <f t="shared" si="20"/>
        <v>103</v>
      </c>
      <c r="E80" s="2975">
        <v>103</v>
      </c>
      <c r="F80" s="2976">
        <v>100</v>
      </c>
      <c r="I80" s="2964"/>
      <c r="J80" s="2964"/>
      <c r="K80" s="2964"/>
      <c r="L80" s="2964"/>
      <c r="N80" s="2965"/>
      <c r="O80" s="2964"/>
      <c r="P80" s="2964"/>
      <c r="Q80" s="2964"/>
      <c r="S80" s="2965"/>
      <c r="T80" s="2964"/>
      <c r="U80" s="2964"/>
      <c r="V80" s="2964"/>
      <c r="X80" s="2906"/>
      <c r="Y80" s="2906"/>
      <c r="Z80" s="2906"/>
    </row>
    <row r="82" spans="1:22" s="2978" customFormat="1">
      <c r="A82" s="2977" t="s">
        <v>2564</v>
      </c>
      <c r="G82" s="2979"/>
      <c r="N82" s="2979"/>
      <c r="S82" s="2979"/>
    </row>
    <row r="83" spans="1:22" s="2978" customFormat="1">
      <c r="A83" s="2978" t="s">
        <v>2565</v>
      </c>
      <c r="G83" s="2979"/>
      <c r="N83" s="2979"/>
      <c r="S83" s="2979"/>
    </row>
    <row r="84" spans="1:22" s="2978" customFormat="1">
      <c r="A84" s="2978" t="s">
        <v>2566</v>
      </c>
      <c r="G84" s="2979"/>
      <c r="I84" s="2980"/>
      <c r="J84" s="2980"/>
      <c r="K84" s="2980"/>
      <c r="L84" s="2980"/>
      <c r="N84" s="2981"/>
      <c r="O84" s="2980"/>
      <c r="P84" s="2980"/>
      <c r="Q84" s="2980"/>
      <c r="S84" s="2981"/>
      <c r="T84" s="2980"/>
      <c r="U84" s="2980"/>
      <c r="V84" s="2980"/>
    </row>
    <row r="85" spans="1:22" s="2978" customFormat="1">
      <c r="A85" s="2978" t="s">
        <v>2567</v>
      </c>
      <c r="G85" s="2979"/>
      <c r="N85" s="2979"/>
      <c r="S85" s="2979"/>
    </row>
    <row r="92" spans="1:22" ht="13.5" thickBot="1"/>
    <row r="93" spans="1:22">
      <c r="G93" s="2880"/>
      <c r="S93" s="2982" t="s">
        <v>2568</v>
      </c>
      <c r="T93" s="2983" t="s">
        <v>2569</v>
      </c>
      <c r="U93" s="2983" t="s">
        <v>2570</v>
      </c>
      <c r="V93" s="2983" t="s">
        <v>2571</v>
      </c>
    </row>
    <row r="94" spans="1:22">
      <c r="G94" s="2880"/>
      <c r="N94" s="2905"/>
      <c r="O94" s="2906"/>
      <c r="P94" s="2906"/>
      <c r="Q94" s="2906"/>
      <c r="S94" s="2984">
        <v>2006</v>
      </c>
      <c r="T94" s="2985">
        <v>15.1</v>
      </c>
      <c r="U94" s="2985">
        <v>7.43</v>
      </c>
      <c r="V94" s="2985">
        <v>26.26</v>
      </c>
    </row>
    <row r="95" spans="1:22">
      <c r="G95" s="2880"/>
      <c r="N95" s="2905"/>
      <c r="O95" s="2906"/>
      <c r="P95" s="2906"/>
      <c r="Q95" s="2906"/>
      <c r="S95" s="2986">
        <v>2005</v>
      </c>
      <c r="T95" s="2987">
        <v>13.9</v>
      </c>
      <c r="U95" s="2987">
        <v>7.49</v>
      </c>
      <c r="V95" s="2987">
        <v>24.92</v>
      </c>
    </row>
    <row r="96" spans="1:22">
      <c r="G96" s="2880"/>
      <c r="N96" s="2905"/>
      <c r="O96" s="2906"/>
      <c r="P96" s="2906"/>
      <c r="Q96" s="2906"/>
      <c r="S96" s="2984">
        <v>2004</v>
      </c>
      <c r="T96" s="2985">
        <v>9.48</v>
      </c>
      <c r="U96" s="2985">
        <v>7.2</v>
      </c>
      <c r="V96" s="2985">
        <v>14.68</v>
      </c>
    </row>
    <row r="97" spans="7:22">
      <c r="G97" s="2880"/>
      <c r="N97" s="2905"/>
      <c r="O97" s="2906"/>
      <c r="P97" s="2906"/>
      <c r="Q97" s="2906"/>
      <c r="S97" s="2986">
        <v>2003</v>
      </c>
      <c r="T97" s="2987">
        <v>4.5</v>
      </c>
      <c r="U97" s="2987">
        <v>6.12</v>
      </c>
      <c r="V97" s="2987">
        <v>2.34</v>
      </c>
    </row>
    <row r="98" spans="7:22" ht="13.5" thickBot="1">
      <c r="G98" s="2880"/>
      <c r="N98" s="2905"/>
      <c r="O98" s="2906"/>
      <c r="P98" s="2906"/>
      <c r="Q98" s="2906"/>
      <c r="S98" s="2988">
        <v>2002</v>
      </c>
      <c r="T98" s="2989">
        <v>3.59</v>
      </c>
      <c r="U98" s="2989">
        <v>4.54</v>
      </c>
      <c r="V98" s="2989">
        <v>2.5499999999999998</v>
      </c>
    </row>
    <row r="99" spans="7:22">
      <c r="G99" s="2880"/>
      <c r="N99" s="2905"/>
      <c r="O99" s="2906"/>
      <c r="P99" s="2906"/>
      <c r="Q99" s="2906"/>
    </row>
    <row r="100" spans="7:22">
      <c r="G100" s="2880"/>
      <c r="N100" s="2905"/>
      <c r="O100" s="2906"/>
      <c r="P100" s="2906"/>
      <c r="Q100" s="2906"/>
    </row>
    <row r="101" spans="7:22">
      <c r="G101" s="2880"/>
      <c r="N101" s="2905"/>
      <c r="O101" s="2906"/>
      <c r="P101" s="2906"/>
      <c r="Q101" s="2906"/>
    </row>
    <row r="102" spans="7:22">
      <c r="G102" s="2880"/>
      <c r="N102" s="2905"/>
      <c r="O102" s="2906"/>
      <c r="P102" s="2906"/>
      <c r="Q102" s="2906"/>
    </row>
    <row r="103" spans="7:22">
      <c r="G103" s="2880"/>
      <c r="N103" s="2905"/>
      <c r="O103" s="2906"/>
      <c r="P103" s="2906"/>
      <c r="Q103" s="2906"/>
    </row>
    <row r="104" spans="7:22">
      <c r="G104" s="2880"/>
      <c r="N104" s="2905"/>
      <c r="O104" s="2906"/>
      <c r="P104" s="2906"/>
      <c r="Q104" s="2906"/>
    </row>
    <row r="105" spans="7:22">
      <c r="G105" s="2880"/>
      <c r="N105" s="2905"/>
      <c r="O105" s="2906"/>
      <c r="P105" s="2906"/>
      <c r="Q105" s="2906"/>
    </row>
    <row r="106" spans="7:22">
      <c r="G106" s="2880"/>
      <c r="N106" s="2905"/>
      <c r="O106" s="2906"/>
      <c r="P106" s="2906"/>
      <c r="Q106" s="2906"/>
    </row>
    <row r="107" spans="7:22">
      <c r="G107" s="2880"/>
      <c r="N107" s="2905"/>
      <c r="O107" s="2906"/>
      <c r="P107" s="2906"/>
      <c r="Q107" s="2906"/>
    </row>
    <row r="108" spans="7:22">
      <c r="G108" s="2880"/>
      <c r="N108" s="2905"/>
      <c r="O108" s="2906"/>
      <c r="P108" s="2906"/>
      <c r="Q108" s="2906"/>
    </row>
    <row r="109" spans="7:22">
      <c r="G109" s="2880"/>
      <c r="N109" s="2905"/>
      <c r="O109" s="2906"/>
      <c r="P109" s="2906"/>
      <c r="Q109" s="2906"/>
      <c r="S109" s="2880"/>
    </row>
    <row r="110" spans="7:22">
      <c r="G110" s="2880"/>
      <c r="N110" s="2905"/>
      <c r="O110" s="2906"/>
      <c r="P110" s="2906"/>
      <c r="Q110" s="2906"/>
      <c r="S110" s="2880"/>
    </row>
    <row r="111" spans="7:22">
      <c r="G111" s="2880"/>
      <c r="N111" s="2905"/>
      <c r="O111" s="2906"/>
      <c r="P111" s="2906"/>
      <c r="Q111" s="2906"/>
      <c r="S111" s="2880"/>
    </row>
    <row r="112" spans="7:22">
      <c r="G112" s="2880"/>
      <c r="N112" s="2905"/>
      <c r="O112" s="2906"/>
      <c r="P112" s="2906"/>
      <c r="Q112" s="2906"/>
      <c r="S112" s="2880"/>
    </row>
    <row r="113" spans="7:19">
      <c r="G113" s="2880"/>
      <c r="N113" s="2905"/>
      <c r="O113" s="2906"/>
      <c r="P113" s="2906"/>
      <c r="Q113" s="2906"/>
      <c r="S113" s="2880"/>
    </row>
    <row r="114" spans="7:19">
      <c r="G114" s="2880"/>
      <c r="N114" s="2905"/>
      <c r="O114" s="2906"/>
      <c r="P114" s="2906"/>
      <c r="Q114" s="2906"/>
      <c r="S114" s="2880"/>
    </row>
  </sheetData>
  <sheetProtection password="CEE9" sheet="1" objects="1" scenarios="1" formatCells="0" formatColumns="0" formatRows="0"/>
  <mergeCells count="23">
    <mergeCell ref="G24:G27"/>
    <mergeCell ref="G64:G67"/>
    <mergeCell ref="G68:G71"/>
    <mergeCell ref="G72:G75"/>
    <mergeCell ref="G28:G31"/>
    <mergeCell ref="G32:G35"/>
    <mergeCell ref="G36:G39"/>
    <mergeCell ref="X1:AB1"/>
    <mergeCell ref="B1:F1"/>
    <mergeCell ref="AD1:AH1"/>
    <mergeCell ref="G76:G79"/>
    <mergeCell ref="G1:L1"/>
    <mergeCell ref="N1:Q1"/>
    <mergeCell ref="S1:V1"/>
    <mergeCell ref="G52:G55"/>
    <mergeCell ref="G56:G59"/>
    <mergeCell ref="G60:G63"/>
    <mergeCell ref="G16:G19"/>
    <mergeCell ref="G12:G15"/>
    <mergeCell ref="G40:G43"/>
    <mergeCell ref="G44:G47"/>
    <mergeCell ref="G48:G51"/>
    <mergeCell ref="G20:G23"/>
  </mergeCells>
  <phoneticPr fontId="161"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625" style="3238" customWidth="1"/>
    <col min="2" max="2" width="12.5" style="3238" customWidth="1"/>
    <col min="3" max="3" width="12.125" style="3238" customWidth="1"/>
    <col min="4" max="4" width="16.625" style="3238" customWidth="1"/>
    <col min="5" max="5" width="12.5" style="3238" customWidth="1"/>
    <col min="6" max="6" width="12.625" style="3238" customWidth="1"/>
    <col min="7" max="16384" width="8.875" style="3238"/>
  </cols>
  <sheetData>
    <row r="1" spans="1:14" ht="20.25">
      <c r="A1" s="3241" t="s">
        <v>2863</v>
      </c>
      <c r="B1" s="3236"/>
      <c r="C1" s="3236"/>
      <c r="D1" s="3236"/>
      <c r="E1" s="3236"/>
      <c r="F1" s="3236"/>
      <c r="G1" s="3237"/>
      <c r="H1" s="3237"/>
      <c r="I1" s="3237"/>
      <c r="J1" s="3237"/>
      <c r="K1" s="3237"/>
      <c r="L1" s="3237"/>
      <c r="M1" s="3237"/>
      <c r="N1" s="3237"/>
    </row>
    <row r="2" spans="1:14" ht="14.25">
      <c r="A2" s="3242" t="s">
        <v>2858</v>
      </c>
      <c r="B2" s="3247">
        <f ca="1">SUMIF(B7:B14,"&lt;&gt;#ref!",B7:B14)</f>
        <v>0</v>
      </c>
      <c r="C2" s="3242" t="s">
        <v>2859</v>
      </c>
      <c r="D2" s="3239"/>
      <c r="E2" s="3239"/>
      <c r="F2" s="3239"/>
      <c r="G2" s="3237"/>
      <c r="H2" s="3237"/>
      <c r="I2" s="3237"/>
      <c r="J2" s="3237"/>
      <c r="K2" s="3237"/>
      <c r="L2" s="3237"/>
      <c r="M2" s="3237"/>
      <c r="N2" s="3237"/>
    </row>
    <row r="3" spans="1:14" ht="14.25">
      <c r="A3" s="3242" t="s">
        <v>2887</v>
      </c>
      <c r="B3" s="3247" t="e">
        <f ca="1">ROUND(B2*10000/E3,0)</f>
        <v>#DIV/0!</v>
      </c>
      <c r="C3" s="3242" t="s">
        <v>2025</v>
      </c>
      <c r="D3" s="3242" t="s">
        <v>2860</v>
      </c>
      <c r="E3" s="3240">
        <f ca="1">SUMIF(E7:E14,"&lt;&gt;#ref!",E7:E14)</f>
        <v>0</v>
      </c>
      <c r="F3" s="3239"/>
      <c r="G3" s="3237"/>
      <c r="H3" s="3237"/>
      <c r="I3" s="3237"/>
      <c r="J3" s="3237"/>
      <c r="K3" s="3237"/>
      <c r="L3" s="3237"/>
      <c r="M3" s="3237"/>
      <c r="N3" s="3237"/>
    </row>
    <row r="4" spans="1:14" ht="14.25">
      <c r="A4" s="3242" t="s">
        <v>2866</v>
      </c>
      <c r="B4" s="3247" t="e">
        <f ca="1">ROUND(B2*10000/E4,0)</f>
        <v>#DIV/0!</v>
      </c>
      <c r="C4" s="3242" t="s">
        <v>2025</v>
      </c>
      <c r="D4" s="3242" t="s">
        <v>2867</v>
      </c>
      <c r="E4" s="3240">
        <f ca="1">SUMIF(F7:F14,"&lt;&gt;#ref!",F7:F14)</f>
        <v>0</v>
      </c>
      <c r="F4" s="3239"/>
      <c r="G4" s="3237"/>
      <c r="H4" s="3237"/>
      <c r="I4" s="3237"/>
      <c r="J4" s="3237"/>
      <c r="K4" s="3237"/>
      <c r="L4" s="3237"/>
      <c r="M4" s="3237"/>
      <c r="N4" s="3237"/>
    </row>
    <row r="5" spans="1:14" ht="14.25">
      <c r="A5" s="3243"/>
      <c r="B5" s="3239"/>
      <c r="C5" s="3239"/>
      <c r="D5" s="3239"/>
      <c r="E5" s="3239"/>
      <c r="F5" s="3239"/>
      <c r="G5" s="3237"/>
      <c r="H5" s="3237"/>
      <c r="I5" s="3237"/>
      <c r="J5" s="3237"/>
      <c r="K5" s="3237"/>
      <c r="L5" s="3237"/>
      <c r="M5" s="3237"/>
      <c r="N5" s="3237"/>
    </row>
    <row r="6" spans="1:14" ht="28.5">
      <c r="A6" s="3244" t="s">
        <v>2864</v>
      </c>
      <c r="B6" s="3242" t="s">
        <v>2861</v>
      </c>
      <c r="C6" s="2784"/>
      <c r="D6" s="3239"/>
      <c r="E6" s="3242" t="s">
        <v>2862</v>
      </c>
      <c r="F6" s="3242" t="s">
        <v>2865</v>
      </c>
      <c r="G6" s="3237"/>
      <c r="H6" s="3237"/>
      <c r="I6" s="3237"/>
      <c r="J6" s="3237"/>
      <c r="K6" s="3237"/>
      <c r="L6" s="3237"/>
      <c r="M6" s="3237"/>
      <c r="N6" s="3237"/>
    </row>
    <row r="7" spans="1:14" ht="14.25">
      <c r="A7" s="3245"/>
      <c r="B7" s="3247" t="e">
        <f ca="1">SUMIF(INDIRECT("'"&amp;A7&amp;"'"&amp;"!A:A"),"总价",INDIRECT("'"&amp;A7&amp;"'"&amp;"!B:B"))</f>
        <v>#REF!</v>
      </c>
      <c r="C7" s="3242" t="s">
        <v>2859</v>
      </c>
      <c r="D7" s="3239"/>
      <c r="E7" s="3240" t="e">
        <f ca="1">SUMIF(INDIRECT("'"&amp;A7&amp;"'"&amp;"!C:C"),"建筑面积",INDIRECT("'"&amp;A7&amp;"'"&amp;"!D:D"))</f>
        <v>#REF!</v>
      </c>
      <c r="F7" s="3240" t="e">
        <f ca="1">SUMIF(INDIRECT("'"&amp;A7&amp;"'"&amp;"!E:E"),"土地面积",INDIRECT("'"&amp;A7&amp;"'"&amp;"!F:F"))</f>
        <v>#REF!</v>
      </c>
      <c r="G7" s="3237"/>
      <c r="H7" s="3237"/>
      <c r="I7" s="3237"/>
      <c r="J7" s="3237"/>
      <c r="K7" s="3237"/>
      <c r="L7" s="3237"/>
      <c r="M7" s="3237"/>
      <c r="N7" s="3237"/>
    </row>
    <row r="8" spans="1:14" ht="14.25">
      <c r="A8" s="3245"/>
      <c r="B8" s="3247" t="e">
        <f t="shared" ref="B8:B14" ca="1" si="0">SUMIF(INDIRECT("'"&amp;A8&amp;"'"&amp;"!A:A"),"总价",INDIRECT("'"&amp;A8&amp;"'"&amp;"!B:B"))</f>
        <v>#REF!</v>
      </c>
      <c r="C8" s="3242" t="s">
        <v>2859</v>
      </c>
      <c r="D8" s="3239"/>
      <c r="E8" s="3240" t="e">
        <f t="shared" ref="E8:E14" ca="1" si="1">SUMIF(INDIRECT("'"&amp;A8&amp;"'"&amp;"!C:C"),"建筑面积",INDIRECT("'"&amp;A8&amp;"'"&amp;"!D:D"))</f>
        <v>#REF!</v>
      </c>
      <c r="F8" s="3240" t="e">
        <f t="shared" ref="F8:F14" ca="1" si="2">SUMIF(INDIRECT("'"&amp;A8&amp;"'"&amp;"!E:E"),"土地面积",INDIRECT("'"&amp;A8&amp;"'"&amp;"!F:F"))</f>
        <v>#REF!</v>
      </c>
      <c r="G8" s="3237"/>
      <c r="H8" s="3237"/>
      <c r="I8" s="3237"/>
      <c r="J8" s="3237"/>
      <c r="K8" s="3237"/>
      <c r="L8" s="3237"/>
      <c r="M8" s="3237"/>
      <c r="N8" s="3237"/>
    </row>
    <row r="9" spans="1:14" ht="14.25">
      <c r="A9" s="3245"/>
      <c r="B9" s="3247" t="e">
        <f t="shared" ca="1" si="0"/>
        <v>#REF!</v>
      </c>
      <c r="C9" s="3242" t="s">
        <v>2859</v>
      </c>
      <c r="D9" s="3239"/>
      <c r="E9" s="3240" t="e">
        <f t="shared" ca="1" si="1"/>
        <v>#REF!</v>
      </c>
      <c r="F9" s="3240" t="e">
        <f t="shared" ca="1" si="2"/>
        <v>#REF!</v>
      </c>
      <c r="G9" s="3237"/>
      <c r="H9" s="3237"/>
      <c r="I9" s="3237"/>
      <c r="J9" s="3237"/>
      <c r="K9" s="3237"/>
      <c r="L9" s="3237"/>
      <c r="M9" s="3237"/>
      <c r="N9" s="3237"/>
    </row>
    <row r="10" spans="1:14" ht="14.25">
      <c r="A10" s="3245"/>
      <c r="B10" s="3247" t="e">
        <f t="shared" ca="1" si="0"/>
        <v>#REF!</v>
      </c>
      <c r="C10" s="3242" t="s">
        <v>2859</v>
      </c>
      <c r="D10" s="3239"/>
      <c r="E10" s="3240" t="e">
        <f t="shared" ca="1" si="1"/>
        <v>#REF!</v>
      </c>
      <c r="F10" s="3240" t="e">
        <f t="shared" ca="1" si="2"/>
        <v>#REF!</v>
      </c>
      <c r="G10" s="3237"/>
      <c r="H10" s="3237"/>
      <c r="I10" s="3237"/>
      <c r="J10" s="3237"/>
      <c r="K10" s="3237"/>
      <c r="L10" s="3237"/>
      <c r="M10" s="3237"/>
      <c r="N10" s="3237"/>
    </row>
    <row r="11" spans="1:14" ht="14.25">
      <c r="A11" s="3245"/>
      <c r="B11" s="3247" t="e">
        <f t="shared" ca="1" si="0"/>
        <v>#REF!</v>
      </c>
      <c r="C11" s="3242" t="s">
        <v>2859</v>
      </c>
      <c r="D11" s="3239"/>
      <c r="E11" s="3240" t="e">
        <f t="shared" ca="1" si="1"/>
        <v>#REF!</v>
      </c>
      <c r="F11" s="3240" t="e">
        <f t="shared" ca="1" si="2"/>
        <v>#REF!</v>
      </c>
      <c r="G11" s="3237"/>
      <c r="H11" s="3237"/>
      <c r="I11" s="3237"/>
      <c r="J11" s="3237"/>
      <c r="K11" s="3237"/>
      <c r="L11" s="3237"/>
      <c r="M11" s="3237"/>
      <c r="N11" s="3237"/>
    </row>
    <row r="12" spans="1:14" ht="14.25">
      <c r="A12" s="3245"/>
      <c r="B12" s="3247" t="e">
        <f t="shared" ca="1" si="0"/>
        <v>#REF!</v>
      </c>
      <c r="C12" s="3242" t="s">
        <v>2859</v>
      </c>
      <c r="D12" s="3239"/>
      <c r="E12" s="3240" t="e">
        <f t="shared" ca="1" si="1"/>
        <v>#REF!</v>
      </c>
      <c r="F12" s="3240" t="e">
        <f t="shared" ca="1" si="2"/>
        <v>#REF!</v>
      </c>
      <c r="G12" s="3237"/>
      <c r="H12" s="3237"/>
      <c r="I12" s="3237"/>
      <c r="J12" s="3237"/>
      <c r="K12" s="3237"/>
      <c r="L12" s="3237"/>
      <c r="M12" s="3237"/>
      <c r="N12" s="3237"/>
    </row>
    <row r="13" spans="1:14" ht="14.25">
      <c r="A13" s="3245"/>
      <c r="B13" s="3247" t="e">
        <f t="shared" ca="1" si="0"/>
        <v>#REF!</v>
      </c>
      <c r="C13" s="3242" t="s">
        <v>2859</v>
      </c>
      <c r="D13" s="3239"/>
      <c r="E13" s="3240" t="e">
        <f t="shared" ca="1" si="1"/>
        <v>#REF!</v>
      </c>
      <c r="F13" s="3240" t="e">
        <f t="shared" ca="1" si="2"/>
        <v>#REF!</v>
      </c>
      <c r="G13" s="3237"/>
      <c r="H13" s="3237"/>
      <c r="I13" s="3237"/>
      <c r="J13" s="3237"/>
      <c r="K13" s="3237"/>
      <c r="L13" s="3237"/>
      <c r="M13" s="3237"/>
      <c r="N13" s="3237"/>
    </row>
    <row r="14" spans="1:14" ht="14.25">
      <c r="A14" s="3246"/>
      <c r="B14" s="3247" t="e">
        <f t="shared" ca="1" si="0"/>
        <v>#REF!</v>
      </c>
      <c r="C14" s="3242" t="s">
        <v>2859</v>
      </c>
      <c r="D14" s="3239"/>
      <c r="E14" s="3240" t="e">
        <f t="shared" ca="1" si="1"/>
        <v>#REF!</v>
      </c>
      <c r="F14" s="3240" t="e">
        <f t="shared" ca="1" si="2"/>
        <v>#REF!</v>
      </c>
      <c r="G14" s="3237"/>
      <c r="H14" s="3237"/>
      <c r="I14" s="3237"/>
      <c r="J14" s="3237"/>
      <c r="K14" s="3237"/>
      <c r="L14" s="3237"/>
      <c r="M14" s="3237"/>
      <c r="N14" s="3237"/>
    </row>
    <row r="15" spans="1:14">
      <c r="A15" s="3237"/>
      <c r="B15" s="3237"/>
      <c r="C15" s="3237"/>
      <c r="D15" s="3237"/>
      <c r="E15" s="3237"/>
      <c r="F15" s="3237"/>
      <c r="G15" s="3237"/>
      <c r="H15" s="3237"/>
      <c r="I15" s="3237"/>
      <c r="J15" s="3237"/>
      <c r="K15" s="3237"/>
      <c r="L15" s="3237"/>
      <c r="M15" s="3237"/>
      <c r="N15" s="3237"/>
    </row>
    <row r="16" spans="1:14">
      <c r="A16" s="3237"/>
      <c r="B16" s="3237"/>
      <c r="C16" s="3237"/>
      <c r="D16" s="3237"/>
      <c r="E16" s="3237"/>
      <c r="F16" s="3237"/>
      <c r="G16" s="3237"/>
      <c r="H16" s="3237"/>
      <c r="I16" s="3237"/>
      <c r="J16" s="3237"/>
      <c r="K16" s="3237"/>
      <c r="L16" s="3237"/>
      <c r="M16" s="3237"/>
      <c r="N16" s="3237"/>
    </row>
    <row r="17" spans="1:14">
      <c r="A17" s="3237"/>
      <c r="B17" s="3237"/>
      <c r="C17" s="3237"/>
      <c r="D17" s="3237"/>
      <c r="E17" s="3237"/>
      <c r="F17" s="3237"/>
      <c r="G17" s="3237"/>
      <c r="H17" s="3237"/>
      <c r="I17" s="3237"/>
      <c r="J17" s="3237"/>
      <c r="K17" s="3237"/>
      <c r="L17" s="3237"/>
      <c r="M17" s="3237"/>
      <c r="N17" s="3237"/>
    </row>
    <row r="18" spans="1:14">
      <c r="A18" s="3237"/>
      <c r="B18" s="3237"/>
      <c r="C18" s="3237"/>
      <c r="D18" s="3237"/>
      <c r="E18" s="3237"/>
      <c r="F18" s="3237"/>
      <c r="G18" s="3237"/>
      <c r="H18" s="3237"/>
      <c r="I18" s="3237"/>
      <c r="J18" s="3237"/>
      <c r="K18" s="3237"/>
      <c r="L18" s="3237"/>
      <c r="M18" s="3237"/>
      <c r="N18" s="3237"/>
    </row>
    <row r="19" spans="1:14">
      <c r="A19" s="3237"/>
      <c r="B19" s="3237"/>
      <c r="C19" s="3237"/>
      <c r="D19" s="3237"/>
      <c r="E19" s="3237"/>
      <c r="F19" s="3237"/>
      <c r="G19" s="3237"/>
      <c r="H19" s="3237"/>
      <c r="I19" s="3237"/>
      <c r="J19" s="3237"/>
      <c r="K19" s="3237"/>
      <c r="L19" s="3237"/>
      <c r="M19" s="3237"/>
      <c r="N19" s="3237"/>
    </row>
    <row r="20" spans="1:14">
      <c r="A20" s="3237"/>
      <c r="B20" s="3237"/>
      <c r="C20" s="3237"/>
      <c r="D20" s="3237"/>
      <c r="E20" s="3237"/>
      <c r="F20" s="3237"/>
      <c r="G20" s="3237"/>
      <c r="H20" s="3237"/>
      <c r="I20" s="3237"/>
      <c r="J20" s="3237"/>
      <c r="K20" s="3237"/>
      <c r="L20" s="3237"/>
      <c r="M20" s="3237"/>
      <c r="N20" s="3237"/>
    </row>
    <row r="21" spans="1:14">
      <c r="A21" s="3237"/>
      <c r="B21" s="3237"/>
      <c r="C21" s="3237"/>
      <c r="D21" s="3237"/>
      <c r="E21" s="3237"/>
      <c r="F21" s="3237"/>
      <c r="G21" s="3237"/>
      <c r="H21" s="3237"/>
      <c r="I21" s="3237"/>
      <c r="J21" s="3237"/>
      <c r="K21" s="3237"/>
      <c r="L21" s="3237"/>
      <c r="M21" s="3237"/>
      <c r="N21" s="3237"/>
    </row>
    <row r="22" spans="1:14">
      <c r="A22" s="3237"/>
      <c r="B22" s="3237"/>
      <c r="C22" s="3237"/>
      <c r="D22" s="3237"/>
      <c r="E22" s="3237"/>
      <c r="F22" s="3237"/>
      <c r="G22" s="3237"/>
      <c r="H22" s="3237"/>
      <c r="I22" s="3237"/>
      <c r="J22" s="3237"/>
      <c r="K22" s="3237"/>
      <c r="L22" s="3237"/>
      <c r="M22" s="3237"/>
      <c r="N22" s="3237"/>
    </row>
    <row r="23" spans="1:14">
      <c r="A23" s="3237"/>
      <c r="B23" s="3237"/>
      <c r="C23" s="3237"/>
      <c r="D23" s="3237"/>
      <c r="E23" s="3237"/>
      <c r="F23" s="3237"/>
      <c r="G23" s="3237"/>
      <c r="H23" s="3237"/>
      <c r="I23" s="3237"/>
      <c r="J23" s="3237"/>
      <c r="K23" s="3237"/>
      <c r="L23" s="3237"/>
      <c r="M23" s="3237"/>
      <c r="N23" s="3237"/>
    </row>
    <row r="24" spans="1:14">
      <c r="A24" s="3237"/>
      <c r="B24" s="3237"/>
      <c r="C24" s="3237"/>
      <c r="D24" s="3237"/>
      <c r="E24" s="3237"/>
      <c r="F24" s="3237"/>
      <c r="G24" s="3237"/>
      <c r="H24" s="3237"/>
      <c r="I24" s="3237"/>
      <c r="J24" s="3237"/>
      <c r="K24" s="3237"/>
      <c r="L24" s="3237"/>
      <c r="M24" s="3237"/>
      <c r="N24" s="3237"/>
    </row>
    <row r="25" spans="1:14">
      <c r="A25" s="3237"/>
      <c r="B25" s="3237"/>
      <c r="C25" s="3237"/>
      <c r="D25" s="3237"/>
      <c r="E25" s="3237"/>
      <c r="F25" s="3237"/>
      <c r="G25" s="3237"/>
      <c r="H25" s="3237"/>
      <c r="I25" s="3237"/>
      <c r="J25" s="3237"/>
      <c r="K25" s="3237"/>
      <c r="L25" s="3237"/>
      <c r="M25" s="3237"/>
      <c r="N25" s="3237"/>
    </row>
    <row r="26" spans="1:14">
      <c r="A26" s="3237"/>
      <c r="B26" s="3237"/>
      <c r="C26" s="3237"/>
      <c r="D26" s="3237"/>
      <c r="E26" s="3237"/>
      <c r="F26" s="3237"/>
      <c r="G26" s="3237"/>
      <c r="H26" s="3237"/>
      <c r="I26" s="3237"/>
      <c r="J26" s="3237"/>
      <c r="K26" s="3237"/>
      <c r="L26" s="3237"/>
      <c r="M26" s="3237"/>
      <c r="N26" s="3237"/>
    </row>
    <row r="27" spans="1:14">
      <c r="A27" s="3237"/>
      <c r="B27" s="3237"/>
      <c r="C27" s="3237"/>
      <c r="D27" s="3237"/>
      <c r="E27" s="3237"/>
      <c r="F27" s="3237"/>
      <c r="G27" s="3237"/>
      <c r="H27" s="3237"/>
      <c r="I27" s="3237"/>
      <c r="J27" s="3237"/>
      <c r="K27" s="3237"/>
      <c r="L27" s="3237"/>
      <c r="M27" s="3237"/>
      <c r="N27" s="3237"/>
    </row>
    <row r="28" spans="1:14">
      <c r="A28" s="3237"/>
      <c r="B28" s="3237"/>
      <c r="C28" s="3237"/>
      <c r="D28" s="3237"/>
      <c r="E28" s="3237"/>
      <c r="F28" s="3237"/>
      <c r="G28" s="3237"/>
      <c r="H28" s="3237"/>
      <c r="I28" s="3237"/>
      <c r="J28" s="3237"/>
      <c r="K28" s="3237"/>
      <c r="L28" s="3237"/>
      <c r="M28" s="3237"/>
      <c r="N28" s="3237"/>
    </row>
    <row r="29" spans="1:14">
      <c r="A29" s="3237"/>
      <c r="B29" s="3237"/>
      <c r="C29" s="3237"/>
      <c r="D29" s="3237"/>
      <c r="E29" s="3237"/>
      <c r="F29" s="3237"/>
      <c r="G29" s="3237"/>
      <c r="H29" s="3237"/>
      <c r="I29" s="3237"/>
      <c r="J29" s="3237"/>
      <c r="K29" s="3237"/>
      <c r="L29" s="3237"/>
      <c r="M29" s="3237"/>
      <c r="N29" s="3237"/>
    </row>
  </sheetData>
  <sheetProtection password="CEE9" sheet="1" objects="1" scenarios="1" formatCells="0" formatColumns="0" formatRows="0"/>
  <phoneticPr fontId="161"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1853</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受贵公司委托，我公司对北京市划拨国有建设用地使用权市场价格进行了预评估。</v>
      </c>
    </row>
    <row r="5" spans="1:4" ht="18.75">
      <c r="A5" s="1709" t="s">
        <v>1854</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22121.8平方米。根据《建设工程规划许可证》[]、《出让合同》[]，估价对象规划建筑面积为6546.1平方米。</v>
      </c>
    </row>
    <row r="7" spans="1:4" ht="56.25">
      <c r="A7" s="1710" t="s">
        <v>2680</v>
      </c>
    </row>
    <row r="8" spans="1:4" ht="18.75">
      <c r="A8" s="1709" t="s">
        <v>1855</v>
      </c>
    </row>
    <row r="9" spans="1:4" ht="37.5">
      <c r="A9" s="1711"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12" t="s">
        <v>1973</v>
      </c>
    </row>
    <row r="11" spans="1:4" ht="18.75">
      <c r="A11" s="1695" t="str">
        <f>TEXT(项目基本情况!D3,"yyyy年m月d日;;")&amp;IF(项目基本情况!B3=项目基本情况!D3,"（评估专业人员勘察现场之日）","")</f>
        <v>2020年9月23日（评估专业人员勘察现场之日）</v>
      </c>
    </row>
    <row r="12" spans="1:4" ht="18.75">
      <c r="A12" s="1712" t="s">
        <v>1972</v>
      </c>
    </row>
    <row r="13" spans="1:4" ht="18.75">
      <c r="A13" s="1706" t="s">
        <v>2856</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2019</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2020</v>
      </c>
    </row>
    <row r="20" spans="1:1" ht="56.25">
      <c r="A20" s="2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根据《国有土地使用证》[]，估价对象（分摊）出让国有建设用地使用权面积为22121.8平方米。根据《建设工程规划许可证》[]、《出让合同》[]，估价对象规划建筑面积为6546.1平方米。</v>
      </c>
    </row>
    <row r="21" spans="1:1" ht="18.75">
      <c r="A21" s="1706" t="s">
        <v>2021</v>
      </c>
    </row>
    <row r="22" spans="1:1" ht="18.7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06" t="str">
        <f>IF(项目基本情况!B16="出让","本次评估设定估价对象剩余土地使用年限为"&amp;项目基本情况!D20&amp;"。","")</f>
        <v/>
      </c>
    </row>
    <row r="24" spans="1:1" ht="18.75">
      <c r="A24" s="1706" t="s">
        <v>2022</v>
      </c>
    </row>
    <row r="25" spans="1:1" ht="75">
      <c r="A25" s="1706" t="str">
        <f>定义!C53</f>
        <v>本次估价的“划拨国有建设用地使用权价格”是指在估价对象土地所有权为国家所有，使用权性质为划拨，在公开市场条件下，于估价期日2020年9月23日在规划利用条件下、设定土地开发程度为红线外“七通”、宗地内场地，设定用途为的划拨国有建设用地使用权价格。</v>
      </c>
    </row>
    <row r="26" spans="1:1" ht="18.75">
      <c r="A26" s="1706" t="str">
        <f>IF(项目基本情况!B9="市场价格","——",IF(项目基本情况!E8="抵押价格",定义!C54,IF(项目基本情况!E8="已注销",定义!C55,定义!C56)))</f>
        <v>——</v>
      </c>
    </row>
    <row r="27" spans="1:1" ht="18.7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6" t="str">
        <f>IF(项目基本情况!B9="市场价格","——",IF(项目基本情况!E9="——","",定义!C57))</f>
        <v>——</v>
      </c>
    </row>
    <row r="29" spans="1:1" ht="18.75">
      <c r="A29" s="1712" t="s">
        <v>1974</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713"/>
    </row>
    <row r="32" spans="1:1" ht="18.75">
      <c r="A32" s="1714" t="s">
        <v>1975</v>
      </c>
    </row>
  </sheetData>
  <sheetProtection sheet="1" objects="1" scenarios="1" formatCells="0" formatRows="0" insertRows="0" deleteRows="0"/>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K37" sqref="K37"/>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625" style="1943" customWidth="1"/>
    <col min="6" max="6" width="10.625" style="1943" customWidth="1"/>
    <col min="7" max="7" width="4.875" style="1943" customWidth="1"/>
    <col min="8" max="8" width="8.5" style="1943" customWidth="1"/>
    <col min="9" max="9" width="21.125" style="1943" customWidth="1"/>
    <col min="10" max="10" width="12.1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125" style="1942" customWidth="1"/>
    <col min="17" max="17" width="13.625" style="1942" customWidth="1"/>
    <col min="18" max="18" width="22.125" style="1942" customWidth="1"/>
    <col min="19" max="19" width="1.5" style="1942" customWidth="1"/>
    <col min="20" max="25" width="9" style="1942"/>
    <col min="26" max="16384" width="9" style="1943"/>
  </cols>
  <sheetData>
    <row r="1" spans="1:25" s="1937" customFormat="1" ht="21">
      <c r="A1" s="762" t="s">
        <v>622</v>
      </c>
      <c r="B1" s="730"/>
      <c r="C1" s="763"/>
      <c r="D1" s="1933"/>
      <c r="E1" s="2242" t="s">
        <v>2313</v>
      </c>
      <c r="F1" s="2243">
        <f ca="1">J54</f>
        <v>-1</v>
      </c>
      <c r="G1" s="764">
        <f>MATCH(C1,'数据-取费表'!A6:A16,0)+5</f>
        <v>7</v>
      </c>
      <c r="H1" s="1303"/>
      <c r="I1" s="1934"/>
      <c r="J1" s="1934"/>
      <c r="K1" s="1935"/>
      <c r="L1" s="1934"/>
      <c r="M1" s="1934"/>
      <c r="N1" s="1936"/>
      <c r="O1" s="1936"/>
      <c r="P1" s="1936"/>
      <c r="Q1" s="1936"/>
      <c r="R1" s="1936"/>
      <c r="S1" s="1936"/>
      <c r="T1" s="1936"/>
      <c r="U1" s="1936"/>
      <c r="V1" s="1936"/>
      <c r="W1" s="1936"/>
      <c r="X1" s="1936"/>
      <c r="Y1" s="1936"/>
    </row>
    <row r="2" spans="1:25" ht="18" customHeight="1">
      <c r="A2" s="1573" t="s">
        <v>623</v>
      </c>
      <c r="B2" s="765">
        <f ca="1">IF(ISERROR(C45+J31),0,C45+J31)</f>
        <v>0</v>
      </c>
      <c r="C2" s="1304"/>
      <c r="D2" s="1938"/>
      <c r="E2" s="1939"/>
      <c r="F2" s="1939"/>
      <c r="G2" s="1525"/>
      <c r="H2" s="1316"/>
      <c r="I2" s="1940"/>
      <c r="J2" s="1940"/>
      <c r="K2" s="1941"/>
      <c r="L2" s="1940"/>
      <c r="M2" s="1940"/>
    </row>
    <row r="3" spans="1:25" ht="18" customHeight="1">
      <c r="A3" s="1574" t="s">
        <v>1677</v>
      </c>
      <c r="B3" s="1340">
        <f ca="1">ROUND(B2*10000/'数据-汇总表'!E3,0)</f>
        <v>0</v>
      </c>
      <c r="C3" s="1304"/>
      <c r="D3" s="1938"/>
      <c r="E3" s="1939"/>
      <c r="F3" s="1939"/>
      <c r="G3" s="1525"/>
      <c r="H3" s="766" t="s">
        <v>689</v>
      </c>
      <c r="I3" s="1940"/>
      <c r="J3" s="1940"/>
      <c r="K3" s="1941"/>
      <c r="L3" s="1940"/>
      <c r="M3" s="1940"/>
    </row>
    <row r="4" spans="1:25" ht="18" customHeight="1">
      <c r="A4" s="1575" t="s">
        <v>690</v>
      </c>
      <c r="B4" s="1305">
        <f ca="1">ROUND(B2*10000/'数据-汇总表'!D3,0)</f>
        <v>0</v>
      </c>
      <c r="C4" s="422"/>
      <c r="D4" s="1938"/>
      <c r="E4" s="1939"/>
      <c r="F4" s="1939"/>
      <c r="G4" s="1525"/>
      <c r="H4" s="766"/>
      <c r="I4" s="1940"/>
      <c r="J4" s="1940"/>
      <c r="K4" s="1941"/>
      <c r="L4" s="1940"/>
      <c r="M4" s="1940"/>
    </row>
    <row r="5" spans="1:25" ht="18" customHeight="1" thickBot="1">
      <c r="A5" s="1576"/>
      <c r="B5" s="424">
        <f ca="1">ROUND(B2/('数据-汇总表'!D3/666.67),0)</f>
        <v>0</v>
      </c>
      <c r="C5" s="425" t="s">
        <v>691</v>
      </c>
      <c r="D5" s="1938"/>
      <c r="E5" s="1939"/>
      <c r="F5" s="1939"/>
      <c r="G5" s="1525"/>
      <c r="H5" s="766"/>
      <c r="I5" s="1940"/>
      <c r="J5" s="1940"/>
      <c r="K5" s="1941"/>
      <c r="L5" s="1940"/>
      <c r="M5" s="1940"/>
    </row>
    <row r="6" spans="1:25" ht="18" customHeight="1">
      <c r="A6" s="1743" t="s">
        <v>692</v>
      </c>
      <c r="B6" s="1735" t="s">
        <v>693</v>
      </c>
      <c r="C6" s="1735" t="s">
        <v>626</v>
      </c>
      <c r="D6" s="1735" t="s">
        <v>627</v>
      </c>
      <c r="E6" s="769" t="s">
        <v>628</v>
      </c>
      <c r="F6" s="770"/>
      <c r="G6" s="1527"/>
      <c r="H6" s="1743" t="s">
        <v>624</v>
      </c>
      <c r="I6" s="1735" t="s">
        <v>625</v>
      </c>
      <c r="J6" s="1735" t="s">
        <v>626</v>
      </c>
      <c r="K6" s="1735" t="s">
        <v>627</v>
      </c>
      <c r="L6" s="769" t="s">
        <v>628</v>
      </c>
      <c r="M6" s="770"/>
    </row>
    <row r="7" spans="1:25" ht="18" customHeight="1">
      <c r="A7" s="771">
        <v>1</v>
      </c>
      <c r="B7" s="772" t="s">
        <v>2394</v>
      </c>
      <c r="C7" s="53">
        <f ca="1">C8+C12+C14</f>
        <v>0</v>
      </c>
      <c r="D7" s="2349" t="s">
        <v>2397</v>
      </c>
      <c r="E7" s="2343"/>
      <c r="F7" s="2344"/>
      <c r="G7" s="1527"/>
      <c r="H7" s="771">
        <v>1</v>
      </c>
      <c r="I7" s="772" t="s">
        <v>2394</v>
      </c>
      <c r="J7" s="53">
        <f ca="1">J8+J12+J14</f>
        <v>0</v>
      </c>
      <c r="K7" s="2349" t="s">
        <v>2397</v>
      </c>
      <c r="L7" s="2343"/>
      <c r="M7" s="2344"/>
    </row>
    <row r="8" spans="1:25" ht="18" customHeight="1">
      <c r="A8" s="1745" t="s">
        <v>1776</v>
      </c>
      <c r="B8" s="3575" t="s">
        <v>2399</v>
      </c>
      <c r="C8" s="1740">
        <f ca="1">ROUND(F8*F10*F9*(1-F11)/10000,0)</f>
        <v>0</v>
      </c>
      <c r="D8" s="1737" t="s">
        <v>2469</v>
      </c>
      <c r="E8" s="61" t="s">
        <v>631</v>
      </c>
      <c r="F8" s="775">
        <f ca="1">INDIRECT("'数据-取费表'!u"&amp;$G$1)</f>
        <v>0</v>
      </c>
      <c r="G8" s="1527"/>
      <c r="H8" s="2356" t="s">
        <v>1776</v>
      </c>
      <c r="I8" s="3575" t="s">
        <v>2399</v>
      </c>
      <c r="J8" s="773">
        <f ca="1">ROUND(M8*M10*M9*(1-M11)/10000,0)</f>
        <v>0</v>
      </c>
      <c r="K8" s="339" t="s">
        <v>2469</v>
      </c>
      <c r="L8" s="774" t="s">
        <v>1725</v>
      </c>
      <c r="M8" s="775">
        <f ca="1">INDIRECT("'数据-取费表'!z"&amp;$G$1)</f>
        <v>0</v>
      </c>
    </row>
    <row r="9" spans="1:25" ht="18" customHeight="1">
      <c r="A9" s="2352"/>
      <c r="B9" s="3576"/>
      <c r="C9" s="1741"/>
      <c r="D9" s="1738"/>
      <c r="E9" s="61" t="s">
        <v>632</v>
      </c>
      <c r="F9" s="775">
        <f ca="1">IF(INDIRECT("'数据-取费表'!ah"&amp;$G$1)="",INDIRECT("'数据-取费表'!k"&amp;$G$1),INDIRECT("'数据-取费表'!ah"&amp;$G$1))</f>
        <v>0</v>
      </c>
      <c r="G9" s="1527"/>
      <c r="H9" s="2342"/>
      <c r="I9" s="3576"/>
      <c r="J9" s="778"/>
      <c r="K9" s="779"/>
      <c r="L9" s="774" t="s">
        <v>1726</v>
      </c>
      <c r="M9" s="775">
        <f ca="1">F9</f>
        <v>0</v>
      </c>
    </row>
    <row r="10" spans="1:25" ht="18" customHeight="1">
      <c r="A10" s="2346"/>
      <c r="B10" s="3577"/>
      <c r="C10" s="1741"/>
      <c r="D10" s="1738"/>
      <c r="E10" s="61" t="s">
        <v>633</v>
      </c>
      <c r="F10" s="775">
        <f ca="1">INDIRECT("'数据-取费表'!ai"&amp;$G$1)</f>
        <v>0</v>
      </c>
      <c r="G10" s="1527"/>
      <c r="H10" s="2342"/>
      <c r="I10" s="3577"/>
      <c r="J10" s="778"/>
      <c r="K10" s="779"/>
      <c r="L10" s="774" t="s">
        <v>1727</v>
      </c>
      <c r="M10" s="775">
        <f ca="1">INDIRECT("'数据-取费表'!ai"&amp;$G$1)</f>
        <v>0</v>
      </c>
    </row>
    <row r="11" spans="1:25" ht="18" customHeight="1">
      <c r="A11" s="776"/>
      <c r="B11" s="3578"/>
      <c r="C11" s="1741"/>
      <c r="D11" s="1738"/>
      <c r="E11" s="61" t="s">
        <v>634</v>
      </c>
      <c r="F11" s="784">
        <f ca="1">INDIRECT("'数据-取费表'!w"&amp;$G$1)</f>
        <v>0</v>
      </c>
      <c r="G11" s="1527"/>
      <c r="H11" s="2357"/>
      <c r="I11" s="3577"/>
      <c r="J11" s="778"/>
      <c r="K11" s="779"/>
      <c r="L11" s="785" t="s">
        <v>1728</v>
      </c>
      <c r="M11" s="786">
        <f ca="1">INDIRECT("'数据-取费表'!ab"&amp;$G$1)</f>
        <v>0</v>
      </c>
    </row>
    <row r="12" spans="1:25" ht="18" customHeight="1">
      <c r="A12" s="1745" t="s">
        <v>1777</v>
      </c>
      <c r="B12" s="2347" t="s">
        <v>2395</v>
      </c>
      <c r="C12" s="789">
        <f ca="1">ROUND(IF(F12="押一",C8/12*F13,IF(F12="押二",C8/12*2*F13,IF(F12="押三",C8/12*3*F13,C13*F13))),0)</f>
        <v>0</v>
      </c>
      <c r="D12" s="2353" t="s">
        <v>2884</v>
      </c>
      <c r="E12" s="2350" t="s">
        <v>2400</v>
      </c>
      <c r="F12" s="2462"/>
      <c r="G12" s="1527"/>
      <c r="H12" s="2411" t="s">
        <v>1777</v>
      </c>
      <c r="I12" s="2416" t="s">
        <v>2395</v>
      </c>
      <c r="J12" s="773">
        <f ca="1">ROUND(IF(M12="押一",J8/12*M13,IF(M12="押二",J8/12*2*M13,IF(M12="押三",J8/12*3*M13,J13*M13))),0)</f>
        <v>0</v>
      </c>
      <c r="K12" s="2353" t="s">
        <v>2884</v>
      </c>
      <c r="L12" s="2350" t="s">
        <v>2400</v>
      </c>
      <c r="M12" s="2462"/>
    </row>
    <row r="13" spans="1:25" ht="18" customHeight="1">
      <c r="A13" s="780"/>
      <c r="B13" s="2348" t="s">
        <v>2507</v>
      </c>
      <c r="C13" s="2351"/>
      <c r="D13" s="779"/>
      <c r="E13" s="2350" t="s">
        <v>2392</v>
      </c>
      <c r="F13" s="786">
        <f ca="1">'数据-取费表'!B39</f>
        <v>1.4999999999999999E-2</v>
      </c>
      <c r="G13" s="1527"/>
      <c r="H13" s="2412"/>
      <c r="I13" s="2348" t="s">
        <v>2507</v>
      </c>
      <c r="J13" s="2351"/>
      <c r="K13" s="2413"/>
      <c r="L13" s="2350" t="s">
        <v>2392</v>
      </c>
      <c r="M13" s="2345">
        <f ca="1">'数据-取费表'!B39</f>
        <v>1.4999999999999999E-2</v>
      </c>
    </row>
    <row r="14" spans="1:25" ht="18" customHeight="1" thickBot="1">
      <c r="A14" s="2388" t="s">
        <v>2402</v>
      </c>
      <c r="B14" s="2389" t="s">
        <v>2396</v>
      </c>
      <c r="C14" s="2390"/>
      <c r="D14" s="2391"/>
      <c r="E14" s="2392"/>
      <c r="F14" s="2393"/>
      <c r="G14" s="1527"/>
      <c r="H14" s="2401" t="s">
        <v>2402</v>
      </c>
      <c r="I14" s="2414" t="s">
        <v>2396</v>
      </c>
      <c r="J14" s="2415"/>
      <c r="K14" s="2391"/>
      <c r="L14" s="2392"/>
      <c r="M14" s="2404"/>
    </row>
    <row r="15" spans="1:25" ht="18" customHeight="1" thickTop="1">
      <c r="A15" s="1744" t="s">
        <v>1826</v>
      </c>
      <c r="B15" s="1742" t="s">
        <v>635</v>
      </c>
      <c r="C15" s="782">
        <f ca="1">ROUND(C31*F15,0)</f>
        <v>0</v>
      </c>
      <c r="D15" s="1749" t="s">
        <v>636</v>
      </c>
      <c r="E15" s="785" t="s">
        <v>637</v>
      </c>
      <c r="F15" s="790">
        <f ca="1">INDIRECT("'数据-取费表'!y"&amp;$G$1)</f>
        <v>0</v>
      </c>
      <c r="G15" s="1527"/>
      <c r="H15" s="1744" t="s">
        <v>1778</v>
      </c>
      <c r="I15" s="1742" t="s">
        <v>638</v>
      </c>
      <c r="J15" s="1734">
        <f ca="1">ROUND(J16*J17,0)</f>
        <v>0</v>
      </c>
      <c r="K15" s="1736" t="s">
        <v>636</v>
      </c>
      <c r="L15" s="791"/>
      <c r="M15" s="792"/>
    </row>
    <row r="16" spans="1:25" ht="18" customHeight="1">
      <c r="A16" s="793" t="s">
        <v>1827</v>
      </c>
      <c r="B16" s="774" t="s">
        <v>639</v>
      </c>
      <c r="C16" s="794">
        <f ca="1">INDIRECT("'数据-取费表'!m"&amp;$G$1)+INDIRECT("'数据-取费表'!t"&amp;$G$1)</f>
        <v>0</v>
      </c>
      <c r="D16" s="1893" t="s">
        <v>640</v>
      </c>
      <c r="E16" s="1894"/>
      <c r="F16" s="795"/>
      <c r="G16" s="1527"/>
      <c r="H16" s="793" t="s">
        <v>2016</v>
      </c>
      <c r="I16" s="2111" t="s">
        <v>2757</v>
      </c>
      <c r="J16" s="53">
        <f ca="1">C31</f>
        <v>0</v>
      </c>
      <c r="K16" s="26"/>
      <c r="L16" s="791"/>
      <c r="M16" s="792"/>
    </row>
    <row r="17" spans="1:25" s="1947" customFormat="1" ht="18" customHeight="1">
      <c r="A17" s="793" t="s">
        <v>1801</v>
      </c>
      <c r="B17" s="774" t="s">
        <v>641</v>
      </c>
      <c r="C17" s="53">
        <f ca="1">ROUND(C16*F17,0)</f>
        <v>0</v>
      </c>
      <c r="D17" s="796" t="s">
        <v>642</v>
      </c>
      <c r="E17" s="796" t="s">
        <v>643</v>
      </c>
      <c r="F17" s="797">
        <f>'数据-取费表'!B33</f>
        <v>0.03</v>
      </c>
      <c r="G17" s="1528"/>
      <c r="H17" s="793" t="s">
        <v>2017</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1802</v>
      </c>
      <c r="B18" s="774" t="s">
        <v>644</v>
      </c>
      <c r="C18" s="53">
        <f ca="1">ROUND(INDIRECT("'数据-取费表'!m"&amp;$G$1)*F18,0)</f>
        <v>0</v>
      </c>
      <c r="D18" s="774" t="s">
        <v>642</v>
      </c>
      <c r="E18" s="774" t="s">
        <v>643</v>
      </c>
      <c r="F18" s="799">
        <f ca="1">IF(INDIRECT("'数据-取费表'!c"&amp;$G$1)="住宅",'数据-取费表'!B34,0)</f>
        <v>0</v>
      </c>
      <c r="G18" s="1527"/>
      <c r="H18" s="787" t="s">
        <v>1779</v>
      </c>
      <c r="I18" s="788" t="s">
        <v>645</v>
      </c>
      <c r="J18" s="789">
        <f ca="1">ROUND(J19+J24+J25+J26,0)</f>
        <v>0</v>
      </c>
      <c r="K18" s="26" t="s">
        <v>646</v>
      </c>
      <c r="L18" s="1896"/>
      <c r="M18" s="56"/>
    </row>
    <row r="19" spans="1:25" s="1947" customFormat="1" ht="18" customHeight="1">
      <c r="A19" s="793" t="s">
        <v>1803</v>
      </c>
      <c r="B19" s="774" t="s">
        <v>647</v>
      </c>
      <c r="C19" s="53">
        <f ca="1">ROUND(F19*(INDIRECT("'数据-取费表'!k"&amp;$G$1)+INDIRECT("'数据-取费表'!S"&amp;$G$1))/10000,0)</f>
        <v>0</v>
      </c>
      <c r="D19" s="774" t="s">
        <v>648</v>
      </c>
      <c r="E19" s="774" t="s">
        <v>649</v>
      </c>
      <c r="F19" s="56">
        <f>'数据-取费表'!B35</f>
        <v>180</v>
      </c>
      <c r="G19" s="1528"/>
      <c r="H19" s="793" t="s">
        <v>2016</v>
      </c>
      <c r="I19" s="774" t="s">
        <v>650</v>
      </c>
      <c r="J19" s="3013">
        <f ca="1">ROUND(IF(AND(项目基本情况!B11="自然人",项目基本情况!B10="北京市"),J8*M19/(1+'数据-取费表'!C42),J20+J21+J22),0)</f>
        <v>0</v>
      </c>
      <c r="K19" s="1893" t="s">
        <v>651</v>
      </c>
      <c r="L19" s="1891" t="s">
        <v>652</v>
      </c>
      <c r="M19" s="3012"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1804</v>
      </c>
      <c r="B20" s="774" t="s">
        <v>653</v>
      </c>
      <c r="C20" s="53">
        <f ca="1">ROUND(C16*F20,0)</f>
        <v>0</v>
      </c>
      <c r="D20" s="774" t="s">
        <v>642</v>
      </c>
      <c r="E20" s="774" t="s">
        <v>643</v>
      </c>
      <c r="F20" s="799">
        <f>'数据-取费表'!B36</f>
        <v>1.4999999999999999E-2</v>
      </c>
      <c r="G20" s="1528"/>
      <c r="H20" s="793" t="s">
        <v>1783</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1828</v>
      </c>
      <c r="B21" s="774" t="s">
        <v>656</v>
      </c>
      <c r="C21" s="53">
        <f ca="1">SUM(C16:C20)</f>
        <v>0</v>
      </c>
      <c r="D21" s="259" t="s">
        <v>657</v>
      </c>
      <c r="E21" s="1896"/>
      <c r="F21" s="56"/>
      <c r="G21" s="1527"/>
      <c r="H21" s="1745" t="s">
        <v>1801</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1829</v>
      </c>
      <c r="B22" s="774" t="s">
        <v>660</v>
      </c>
      <c r="C22" s="53">
        <f ca="1">ROUND(C21*F22,0)</f>
        <v>0</v>
      </c>
      <c r="D22" s="801" t="s">
        <v>661</v>
      </c>
      <c r="E22" s="774" t="s">
        <v>643</v>
      </c>
      <c r="F22" s="799">
        <f>'数据-取费表'!B37</f>
        <v>0.02</v>
      </c>
      <c r="G22" s="1528"/>
      <c r="H22" s="1747" t="s">
        <v>1802</v>
      </c>
      <c r="I22" s="1737" t="s">
        <v>662</v>
      </c>
      <c r="J22" s="54">
        <f ca="1">ROUND(M22*M23/10000,0)</f>
        <v>0</v>
      </c>
      <c r="K22" s="803" t="s">
        <v>663</v>
      </c>
      <c r="L22" s="774" t="s">
        <v>664</v>
      </c>
      <c r="M22" s="632">
        <f>'数据-取费表'!B52</f>
        <v>1.5</v>
      </c>
      <c r="N22" s="1946"/>
      <c r="O22" s="1946"/>
      <c r="P22" s="1946"/>
      <c r="Q22" s="1946"/>
      <c r="R22" s="1946"/>
      <c r="S22" s="1946"/>
      <c r="T22" s="1946"/>
      <c r="U22" s="1946"/>
      <c r="V22" s="1946"/>
      <c r="W22" s="1946"/>
      <c r="X22" s="1946"/>
      <c r="Y22" s="1946"/>
    </row>
    <row r="23" spans="1:25" s="1947" customFormat="1" ht="18" customHeight="1">
      <c r="A23" s="793" t="s">
        <v>1830</v>
      </c>
      <c r="B23" s="774" t="s">
        <v>665</v>
      </c>
      <c r="C23" s="53" t="s">
        <v>1</v>
      </c>
      <c r="D23" s="801" t="s">
        <v>666</v>
      </c>
      <c r="E23" s="774" t="s">
        <v>667</v>
      </c>
      <c r="F23" s="799">
        <f>'数据-取费表'!B38</f>
        <v>0.02</v>
      </c>
      <c r="G23" s="1528"/>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1831</v>
      </c>
      <c r="B24" s="774" t="s">
        <v>669</v>
      </c>
      <c r="C24" s="53"/>
      <c r="D24" s="2421" t="str">
        <f>IF(F25&lt;=1,"单利计息。","复利计息。")&amp;"建造成本、管理费用、销售费用产生的利息。"</f>
        <v>单利计息。建造成本、管理费用、销售费用产生的利息。</v>
      </c>
      <c r="E24" s="1896"/>
      <c r="F24" s="56"/>
      <c r="G24" s="1527"/>
      <c r="H24" s="1746" t="s">
        <v>2017</v>
      </c>
      <c r="I24" s="774" t="s">
        <v>670</v>
      </c>
      <c r="J24" s="53">
        <f ca="1">ROUND(J16*M24,0)</f>
        <v>0</v>
      </c>
      <c r="K24" s="1891" t="s">
        <v>671</v>
      </c>
      <c r="L24" s="774" t="s">
        <v>643</v>
      </c>
      <c r="M24" s="806">
        <f ca="1">INDIRECT("'数据-取费表'!Ak"&amp;$G$1)</f>
        <v>0</v>
      </c>
    </row>
    <row r="25" spans="1:25" s="1947" customFormat="1" ht="18" customHeight="1">
      <c r="A25" s="793" t="s">
        <v>1827</v>
      </c>
      <c r="B25" s="774" t="s">
        <v>2375</v>
      </c>
      <c r="C25" s="53">
        <f ca="1">ROUND(IF('数据-取费表'!B22&lt;=1,(C21+C22)*F26*F25/2,(C21+C22)*(POWER((1+F26),F25/2)-1)),0)</f>
        <v>0</v>
      </c>
      <c r="D25" s="2420" t="str">
        <f>IF(F25&lt;=1,"(建造成本+管理费用)×利率×(建设周期÷2)","(建造成本+管理费用)×((1+利率)^(建设周期÷2)-1)")</f>
        <v>(建造成本+管理费用)×利率×(建设周期÷2)</v>
      </c>
      <c r="E25" s="774" t="s">
        <v>672</v>
      </c>
      <c r="F25" s="632">
        <f>'数据-取费表'!B20</f>
        <v>1</v>
      </c>
      <c r="G25" s="1528"/>
      <c r="H25" s="793" t="s">
        <v>1830</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1801</v>
      </c>
      <c r="B26" s="774" t="s">
        <v>675</v>
      </c>
      <c r="C26" s="53">
        <f ca="1">ROUND(IF('数据-取费表'!B22&lt;=1,F23*F26*F25/2,F23*(POWER((1+F26),F25/2)-1)),4)</f>
        <v>5.0000000000000001E-4</v>
      </c>
      <c r="D26" s="2420" t="str">
        <f>IF(F25&lt;=1,"销售费用×利率×(建设周期÷2)","销售费用×((1+利率)^(建设周期÷2)-1)")</f>
        <v>销售费用×利率×(建设周期÷2)</v>
      </c>
      <c r="E26" s="774" t="s">
        <v>676</v>
      </c>
      <c r="F26" s="808">
        <f ca="1">'数据-取费表'!B40</f>
        <v>4.7500000000000001E-2</v>
      </c>
      <c r="G26" s="1528"/>
      <c r="H26" s="793" t="s">
        <v>1831</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1833</v>
      </c>
      <c r="B27" s="774" t="s">
        <v>678</v>
      </c>
      <c r="C27" s="53"/>
      <c r="D27" s="259" t="s">
        <v>679</v>
      </c>
      <c r="E27" s="1896"/>
      <c r="F27" s="56"/>
      <c r="G27" s="1527"/>
      <c r="H27" s="787" t="s">
        <v>1780</v>
      </c>
      <c r="I27" s="2718" t="s">
        <v>2754</v>
      </c>
      <c r="J27" s="789">
        <f ca="1">J7-J18</f>
        <v>0</v>
      </c>
      <c r="K27" s="1893" t="s">
        <v>694</v>
      </c>
      <c r="L27" s="1895"/>
      <c r="M27" s="809"/>
    </row>
    <row r="28" spans="1:25" ht="18" customHeight="1">
      <c r="A28" s="793" t="s">
        <v>1827</v>
      </c>
      <c r="B28" s="774" t="s">
        <v>2376</v>
      </c>
      <c r="C28" s="53">
        <f ca="1">ROUND((C21+C22)*F28,0)</f>
        <v>0</v>
      </c>
      <c r="D28" s="801" t="s">
        <v>695</v>
      </c>
      <c r="E28" s="785" t="s">
        <v>696</v>
      </c>
      <c r="F28" s="784">
        <f ca="1">INDIRECT("'数据-取费表'!q"&amp;$G$1)</f>
        <v>0</v>
      </c>
      <c r="G28" s="1527"/>
      <c r="H28" s="771" t="s">
        <v>1789</v>
      </c>
      <c r="I28" s="772" t="s">
        <v>697</v>
      </c>
      <c r="J28" s="773">
        <f ca="1">IF(J7&lt;&gt;0,ROUND(J27*(1-((1+M30)/(1+M28))^M29)/(M28-M30),0),0)</f>
        <v>0</v>
      </c>
      <c r="K28" s="803" t="s">
        <v>698</v>
      </c>
      <c r="L28" s="774" t="s">
        <v>699</v>
      </c>
      <c r="M28" s="784">
        <f ca="1">INDIRECT("'数据-取费表'!I"&amp;$G$1)</f>
        <v>0</v>
      </c>
    </row>
    <row r="29" spans="1:25" ht="18" customHeight="1">
      <c r="A29" s="793" t="s">
        <v>1801</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7" customFormat="1" ht="18" customHeight="1">
      <c r="A30" s="793" t="s">
        <v>1834</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0" t="s">
        <v>1835</v>
      </c>
      <c r="B31" s="2392" t="s">
        <v>2755</v>
      </c>
      <c r="C31" s="2394">
        <f ca="1">ROUND((C21+C22+C25+C28)/(1-F23-C26-C29-C30),0)</f>
        <v>0</v>
      </c>
      <c r="D31" s="2395"/>
      <c r="E31" s="2396"/>
      <c r="F31" s="2397"/>
      <c r="G31" s="1528"/>
      <c r="H31" s="812" t="s">
        <v>1824</v>
      </c>
      <c r="I31" s="2719" t="s">
        <v>2756</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1828</v>
      </c>
      <c r="B33" s="774" t="s">
        <v>650</v>
      </c>
      <c r="C33" s="3013">
        <f ca="1">ROUND(IF(AND(项目基本情况!B11="自然人",项目基本情况!B10="北京市"),C8*F33/(1+'数据-取费表'!C42),C34+C35+C36),0)</f>
        <v>0</v>
      </c>
      <c r="D33" s="1893" t="s">
        <v>651</v>
      </c>
      <c r="E33" s="1891" t="s">
        <v>684</v>
      </c>
      <c r="F33" s="3012" t="str">
        <f>IF(项目基本情况!B11="企业","——",IF('数据-取费表'!B10="住宅",IF(F8*F9*F10/12/(1+'数据-取费表'!F30)&gt;100000,4%,2.5%),IF(F8*F9*F10/12/(1+'数据-取费表'!F30)&gt;100000,12%,7%)))</f>
        <v>——</v>
      </c>
      <c r="G33" s="1945"/>
      <c r="H33" s="3248" t="s">
        <v>2939</v>
      </c>
      <c r="I33" s="1949"/>
      <c r="J33" s="1950"/>
      <c r="K33" s="1951"/>
      <c r="L33" s="1952"/>
      <c r="M33" s="1953"/>
    </row>
    <row r="34" spans="1:18" ht="18" customHeight="1">
      <c r="A34" s="793" t="s">
        <v>1827</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1801</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1832</v>
      </c>
      <c r="B36" s="339" t="s">
        <v>662</v>
      </c>
      <c r="C36" s="54">
        <f ca="1">ROUND(F36*F37/10000,1)</f>
        <v>0</v>
      </c>
      <c r="D36" s="803" t="s">
        <v>663</v>
      </c>
      <c r="E36" s="774" t="s">
        <v>664</v>
      </c>
      <c r="F36" s="632">
        <f>'数据-取费表'!B52</f>
        <v>1.5</v>
      </c>
      <c r="G36" s="1945"/>
      <c r="H36" s="1948"/>
      <c r="I36" s="3616"/>
      <c r="J36" s="1962"/>
      <c r="K36" s="1963"/>
      <c r="L36" s="1962"/>
      <c r="M36" s="1962"/>
    </row>
    <row r="37" spans="1:18" ht="18" customHeight="1">
      <c r="A37" s="804"/>
      <c r="B37" s="783"/>
      <c r="C37" s="69"/>
      <c r="D37" s="805"/>
      <c r="E37" s="774" t="s">
        <v>668</v>
      </c>
      <c r="F37" s="775">
        <f ca="1">INDIRECT("'数据-取费表'!r"&amp;$G$1)</f>
        <v>0</v>
      </c>
      <c r="G37" s="1945"/>
      <c r="H37" s="1948"/>
      <c r="I37" s="3616"/>
      <c r="J37" s="1960"/>
      <c r="K37" s="1961"/>
      <c r="L37" s="1960"/>
      <c r="M37" s="1960"/>
    </row>
    <row r="38" spans="1:18" ht="18" customHeight="1">
      <c r="A38" s="793" t="s">
        <v>1829</v>
      </c>
      <c r="B38" s="774" t="s">
        <v>670</v>
      </c>
      <c r="C38" s="53">
        <f ca="1">ROUND(C31*F38,1)</f>
        <v>0</v>
      </c>
      <c r="D38" s="1891" t="s">
        <v>685</v>
      </c>
      <c r="E38" s="774" t="s">
        <v>643</v>
      </c>
      <c r="F38" s="806">
        <f ca="1">INDIRECT("'数据-取费表'!Ak"&amp;$G$1)</f>
        <v>0</v>
      </c>
      <c r="G38" s="1945"/>
      <c r="H38" s="1960"/>
      <c r="I38" s="3015"/>
      <c r="J38" s="1900"/>
      <c r="K38" s="1964"/>
      <c r="L38" s="1960"/>
      <c r="M38" s="1960"/>
    </row>
    <row r="39" spans="1:18" ht="18" customHeight="1">
      <c r="A39" s="793" t="s">
        <v>1830</v>
      </c>
      <c r="B39" s="774" t="s">
        <v>673</v>
      </c>
      <c r="C39" s="53">
        <f ca="1">ROUND(C15*F39,1)</f>
        <v>0</v>
      </c>
      <c r="D39" s="1891" t="s">
        <v>674</v>
      </c>
      <c r="E39" s="774" t="s">
        <v>643</v>
      </c>
      <c r="F39" s="807">
        <f ca="1">INDIRECT("'数据-取费表'!Al"&amp;$G$1)</f>
        <v>0</v>
      </c>
      <c r="G39" s="1945"/>
      <c r="H39" s="1960"/>
      <c r="I39" s="3015"/>
      <c r="J39" s="1900"/>
      <c r="K39" s="1964"/>
      <c r="L39" s="1960"/>
      <c r="M39" s="1960"/>
    </row>
    <row r="40" spans="1:18" ht="18" customHeight="1" thickBot="1">
      <c r="A40" s="2410" t="s">
        <v>1831</v>
      </c>
      <c r="B40" s="2396" t="s">
        <v>660</v>
      </c>
      <c r="C40" s="2394">
        <f ca="1">ROUND(C7*F40,1)</f>
        <v>0</v>
      </c>
      <c r="D40" s="2395" t="s">
        <v>677</v>
      </c>
      <c r="E40" s="2396" t="s">
        <v>643</v>
      </c>
      <c r="F40" s="2393">
        <f ca="1">INDIRECT("'数据-取费表'!Am"&amp;$G$1)</f>
        <v>0</v>
      </c>
      <c r="G40" s="1945"/>
      <c r="H40" s="1960"/>
      <c r="I40" s="3015"/>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1828</v>
      </c>
      <c r="B42" s="824" t="s">
        <v>687</v>
      </c>
      <c r="C42" s="818">
        <f ca="1">C7-C32</f>
        <v>0</v>
      </c>
      <c r="D42" s="1893" t="s">
        <v>688</v>
      </c>
      <c r="E42" s="1895"/>
      <c r="F42" s="809"/>
      <c r="G42" s="1945"/>
      <c r="H42" s="1945"/>
      <c r="I42" s="1945"/>
      <c r="J42" s="1945"/>
      <c r="K42" s="1965"/>
      <c r="L42" s="1945"/>
      <c r="M42" s="1945"/>
    </row>
    <row r="43" spans="1:18" ht="18" customHeight="1">
      <c r="A43" s="793" t="s">
        <v>1829</v>
      </c>
      <c r="B43" s="824" t="s">
        <v>705</v>
      </c>
      <c r="C43" s="825">
        <f ca="1">ROUND(C15*F43,0)</f>
        <v>0</v>
      </c>
      <c r="D43" s="1309" t="s">
        <v>706</v>
      </c>
      <c r="E43" s="2789" t="s">
        <v>2874</v>
      </c>
      <c r="F43" s="2790">
        <f ca="1">INDIRECT("'数据-取费表'!j"&amp;$G$1)</f>
        <v>0</v>
      </c>
      <c r="G43" s="1945"/>
      <c r="H43" s="1945"/>
      <c r="I43" s="1945"/>
      <c r="J43" s="1945"/>
      <c r="K43" s="1965"/>
      <c r="L43" s="1945"/>
      <c r="M43" s="1945"/>
    </row>
    <row r="44" spans="1:18" ht="18" customHeight="1">
      <c r="A44" s="793" t="s">
        <v>1830</v>
      </c>
      <c r="B44" s="824" t="s">
        <v>707</v>
      </c>
      <c r="C44" s="1310">
        <f ca="1">C42-C43</f>
        <v>0</v>
      </c>
      <c r="D44" s="457" t="s">
        <v>708</v>
      </c>
      <c r="E44" s="458"/>
      <c r="F44" s="459"/>
      <c r="G44" s="1945"/>
      <c r="H44" s="1945"/>
      <c r="I44" s="1945"/>
      <c r="J44" s="1945"/>
      <c r="K44" s="1965"/>
      <c r="L44" s="1945"/>
      <c r="M44" s="1945"/>
    </row>
    <row r="45" spans="1:18" ht="18" customHeight="1">
      <c r="A45" s="793" t="s">
        <v>1831</v>
      </c>
      <c r="B45" s="1309" t="s">
        <v>709</v>
      </c>
      <c r="C45" s="2745">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1" t="s">
        <v>2876</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2282</v>
      </c>
      <c r="J47" s="2234"/>
      <c r="K47" s="2235"/>
      <c r="L47" s="2805" t="str">
        <f ca="1">IF(M48="住宅",0,IF(L49&gt;J52,L61,J61))</f>
        <v>0</v>
      </c>
      <c r="O47" s="2249" t="s">
        <v>2349</v>
      </c>
      <c r="P47" s="1527"/>
      <c r="Q47" s="1535"/>
      <c r="R47" s="1527"/>
    </row>
    <row r="48" spans="1:18" s="1942" customFormat="1" ht="18" customHeight="1" thickBot="1">
      <c r="A48" s="1966"/>
      <c r="C48" s="1969"/>
      <c r="D48" s="1970"/>
      <c r="E48" s="1970"/>
      <c r="F48" s="1971"/>
      <c r="G48" s="1972"/>
      <c r="I48" s="2796" t="s">
        <v>2283</v>
      </c>
      <c r="J48" s="2236"/>
      <c r="K48" s="2802" t="s">
        <v>2288</v>
      </c>
      <c r="L48" s="2806">
        <f ca="1">INDIRECT("'数据-取费表'!d"&amp;$G$1)</f>
        <v>0</v>
      </c>
      <c r="M48" s="2788" t="str">
        <f>IF(ISNUMBER(FIND("住宅",C1)),"住宅","非住宅")</f>
        <v>非住宅</v>
      </c>
      <c r="O48" s="2250" t="s">
        <v>2314</v>
      </c>
      <c r="P48" s="2251" t="s">
        <v>2315</v>
      </c>
      <c r="Q48" s="2252" t="s">
        <v>2316</v>
      </c>
      <c r="R48" s="2251" t="s">
        <v>2317</v>
      </c>
    </row>
    <row r="49" spans="1:18" s="1942" customFormat="1" ht="18" customHeight="1" thickBot="1">
      <c r="A49" s="1966"/>
      <c r="D49" s="1973"/>
      <c r="E49" s="1974"/>
      <c r="F49" s="1971"/>
      <c r="G49" s="1972"/>
      <c r="H49" s="1975"/>
      <c r="I49" s="2793" t="s">
        <v>2284</v>
      </c>
      <c r="J49" s="2237"/>
      <c r="K49" s="2803" t="s">
        <v>2290</v>
      </c>
      <c r="L49" s="1822">
        <f ca="1">INDIRECT("'数据-取费表'!f"&amp;$G$1)</f>
        <v>0</v>
      </c>
      <c r="O49" s="2253" t="s">
        <v>2318</v>
      </c>
      <c r="P49" s="2254" t="s">
        <v>2344</v>
      </c>
      <c r="Q49" s="2255">
        <f ca="1">C41+J31</f>
        <v>0</v>
      </c>
      <c r="R49" s="2254" t="s">
        <v>2319</v>
      </c>
    </row>
    <row r="50" spans="1:18" s="1942" customFormat="1" ht="18" customHeight="1" thickBot="1">
      <c r="A50" s="1966"/>
      <c r="D50" s="1976"/>
      <c r="E50" s="1976"/>
      <c r="F50" s="1970"/>
      <c r="G50" s="1977"/>
      <c r="H50" s="1975"/>
      <c r="I50" s="2793" t="s">
        <v>2285</v>
      </c>
      <c r="J50" s="2238"/>
      <c r="K50" s="2804" t="s">
        <v>2291</v>
      </c>
      <c r="L50" s="2239"/>
      <c r="O50" s="2253" t="s">
        <v>2320</v>
      </c>
      <c r="P50" s="2254" t="s">
        <v>2345</v>
      </c>
      <c r="Q50" s="2255" t="str">
        <f ca="1">J61</f>
        <v>0</v>
      </c>
      <c r="R50" s="2254" t="s">
        <v>2321</v>
      </c>
    </row>
    <row r="51" spans="1:18" s="1942" customFormat="1" ht="18" customHeight="1" thickBot="1">
      <c r="A51" s="1978"/>
      <c r="D51" s="1976"/>
      <c r="E51" s="1976"/>
      <c r="F51" s="1967"/>
      <c r="H51" s="1975"/>
      <c r="I51" s="2793" t="s">
        <v>2286</v>
      </c>
      <c r="J51" s="2800">
        <f>SUMPRODUCT((I64:I66=J48)*(J63:L63=J49)*(J64:L66))</f>
        <v>0</v>
      </c>
      <c r="K51" s="2804" t="s">
        <v>2292</v>
      </c>
      <c r="L51" s="2239"/>
      <c r="O51" s="2256" t="s">
        <v>2322</v>
      </c>
      <c r="P51" s="2254" t="s">
        <v>2346</v>
      </c>
      <c r="Q51" s="2255">
        <f ca="1">C31</f>
        <v>0</v>
      </c>
      <c r="R51" s="2254" t="s">
        <v>2319</v>
      </c>
    </row>
    <row r="52" spans="1:18" s="1942" customFormat="1" ht="18" customHeight="1" thickBot="1">
      <c r="A52" s="1978"/>
      <c r="F52" s="1967"/>
      <c r="I52" s="2797" t="s">
        <v>2287</v>
      </c>
      <c r="J52" s="2801">
        <f>IF(J50="",J51,J50+J51-YEAR('数据-取费表'!B3))</f>
        <v>0</v>
      </c>
      <c r="K52" s="2793" t="s">
        <v>2293</v>
      </c>
      <c r="L52" s="2807">
        <f ca="1">C45</f>
        <v>0</v>
      </c>
      <c r="O52" s="2256" t="s">
        <v>2323</v>
      </c>
      <c r="P52" s="2254" t="s">
        <v>2324</v>
      </c>
      <c r="Q52" s="2257" t="e">
        <f ca="1">J59</f>
        <v>#VALUE!</v>
      </c>
      <c r="R52" s="2258"/>
    </row>
    <row r="53" spans="1:18" s="1942" customFormat="1" ht="18" customHeight="1" thickBot="1">
      <c r="A53" s="1978"/>
      <c r="F53" s="1967"/>
      <c r="I53" s="2798" t="s">
        <v>2360</v>
      </c>
      <c r="J53" s="2240"/>
      <c r="K53" s="2798" t="s">
        <v>2359</v>
      </c>
      <c r="L53" s="2240"/>
      <c r="O53" s="2256" t="s">
        <v>2325</v>
      </c>
      <c r="P53" s="2254" t="s">
        <v>2326</v>
      </c>
      <c r="Q53" s="2257">
        <f>J53</f>
        <v>0</v>
      </c>
      <c r="R53" s="2258"/>
    </row>
    <row r="54" spans="1:18" s="1942" customFormat="1" ht="29.25" thickBot="1">
      <c r="A54" s="1978"/>
      <c r="I54" s="2799" t="s">
        <v>2888</v>
      </c>
      <c r="J54" s="2852">
        <f ca="1">IF(M48="住宅",MAX(J52,L49-'数据-取费表'!B20),MIN(J52,L49-'数据-取费表'!B20))</f>
        <v>-1</v>
      </c>
      <c r="K54" s="3617"/>
      <c r="L54" s="3618"/>
      <c r="O54" s="2256" t="s">
        <v>2327</v>
      </c>
      <c r="P54" s="2254" t="s">
        <v>2328</v>
      </c>
      <c r="Q54" s="2255">
        <f ca="1">J54</f>
        <v>-1</v>
      </c>
      <c r="R54" s="2254" t="s">
        <v>2329</v>
      </c>
    </row>
    <row r="55" spans="1:18" s="1942" customFormat="1" ht="18" customHeight="1" thickBot="1">
      <c r="A55" s="1978"/>
      <c r="I55" s="28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08"/>
      <c r="K55" s="2809"/>
      <c r="O55" s="2253" t="s">
        <v>2330</v>
      </c>
      <c r="P55" s="2254" t="s">
        <v>2347</v>
      </c>
      <c r="Q55" s="2255">
        <f ca="1">Q49+Q50</f>
        <v>0</v>
      </c>
      <c r="R55" s="2258" t="s">
        <v>2331</v>
      </c>
    </row>
    <row r="56" spans="1:18" s="1942" customFormat="1" ht="16.5" thickBot="1">
      <c r="A56" s="1978"/>
      <c r="B56" s="1979"/>
      <c r="C56" s="1979"/>
      <c r="I56" s="2810" t="s">
        <v>2294</v>
      </c>
      <c r="J56" s="2782" t="e">
        <f ca="1">ROUND(IF(J48="钢混",J58/J51,1-(1-2%)*(J51-J58)/J51),3)</f>
        <v>#VALUE!</v>
      </c>
      <c r="K56" s="2811" t="s">
        <v>2295</v>
      </c>
      <c r="L56" s="2241"/>
      <c r="O56" s="2259" t="s">
        <v>2350</v>
      </c>
      <c r="P56" s="1527"/>
      <c r="Q56" s="1535"/>
      <c r="R56" s="1527"/>
    </row>
    <row r="57" spans="1:18" s="1942" customFormat="1" ht="43.5" thickBot="1">
      <c r="A57" s="1978"/>
      <c r="B57" s="1979"/>
      <c r="C57" s="1979"/>
      <c r="I57" s="2812" t="s">
        <v>2296</v>
      </c>
      <c r="J57" s="2822" t="s">
        <v>1669</v>
      </c>
      <c r="K57" s="2793" t="s">
        <v>2301</v>
      </c>
      <c r="L57" s="1822">
        <f ca="1">IF(L49&lt;J52,"——",L49-J52)</f>
        <v>0</v>
      </c>
      <c r="O57" s="2250" t="s">
        <v>2314</v>
      </c>
      <c r="P57" s="2251" t="s">
        <v>2315</v>
      </c>
      <c r="Q57" s="2252" t="s">
        <v>2316</v>
      </c>
      <c r="R57" s="2251" t="s">
        <v>2317</v>
      </c>
    </row>
    <row r="58" spans="1:18" s="1942" customFormat="1" ht="29.25" thickBot="1">
      <c r="A58" s="1978"/>
      <c r="B58" s="1979"/>
      <c r="C58" s="1979"/>
      <c r="I58" s="2813" t="s">
        <v>2297</v>
      </c>
      <c r="J58" s="2814" t="str">
        <f ca="1">IF(OR(M48="住宅",J52&lt;L49,J57="是"),"——",J52-L49)</f>
        <v>——</v>
      </c>
      <c r="K58" s="2793" t="s">
        <v>2302</v>
      </c>
      <c r="L58" s="1822">
        <f ca="1">IF(L49&lt;J52,"——",IF(L56="比较法",L50,IF(L56="基准地价",L51,L52)))</f>
        <v>0</v>
      </c>
      <c r="O58" s="2253" t="s">
        <v>2318</v>
      </c>
      <c r="P58" s="2254" t="s">
        <v>2344</v>
      </c>
      <c r="Q58" s="2255">
        <f ca="1">C41+J31</f>
        <v>0</v>
      </c>
      <c r="R58" s="2254" t="s">
        <v>2319</v>
      </c>
    </row>
    <row r="59" spans="1:18" s="1942" customFormat="1" ht="29.25" thickBot="1">
      <c r="A59" s="1978"/>
      <c r="B59" s="1979"/>
      <c r="C59" s="1979"/>
      <c r="I59" s="2813" t="s">
        <v>2298</v>
      </c>
      <c r="J59" s="2783" t="e">
        <f ca="1">IF(J56&lt;0.4,0.4,J56)</f>
        <v>#VALUE!</v>
      </c>
      <c r="K59" s="2793" t="s">
        <v>2303</v>
      </c>
      <c r="L59" s="1822">
        <f ca="1">IF(ISERROR(POWER(1+L53,L48-L49)*(POWER(1+L53,L49)-1)/(POWER(1+L53,L48)-1)),0,POWER(1+L53,L48-L49)*(POWER(1+L53,L49)-1)/(POWER(1+L53,L48)-1))</f>
        <v>0</v>
      </c>
      <c r="O59" s="2253" t="s">
        <v>2320</v>
      </c>
      <c r="P59" s="2254" t="s">
        <v>2351</v>
      </c>
      <c r="Q59" s="2255" t="e">
        <f ca="1">L61</f>
        <v>#DIV/0!</v>
      </c>
      <c r="R59" s="2258" t="s">
        <v>2353</v>
      </c>
    </row>
    <row r="60" spans="1:18" s="1942" customFormat="1" ht="29.25" thickBot="1">
      <c r="A60" s="1978"/>
      <c r="B60" s="1979"/>
      <c r="C60" s="1979"/>
      <c r="I60" s="2813" t="s">
        <v>2299</v>
      </c>
      <c r="J60" s="2814" t="str">
        <f ca="1">IF(OR(M48="住宅",J52&lt;L49,J57="是"),"——",ROUND(C30*J59,0))</f>
        <v>——</v>
      </c>
      <c r="K60" s="2793" t="s">
        <v>2304</v>
      </c>
      <c r="L60" s="1822">
        <f ca="1">IF(ISERROR(POWER(1+L53,L48-J52)*(POWER(1+L53,J52)-1)/(POWER(1+L53,L48)-1)),0,POWER(1+L53,L48-J52)*(POWER(1+L53,J52)-1)/(POWER(1+L53,L48)-1))</f>
        <v>0</v>
      </c>
      <c r="O60" s="2256" t="s">
        <v>2322</v>
      </c>
      <c r="P60" s="2254" t="s">
        <v>2352</v>
      </c>
      <c r="Q60" s="2255">
        <f>IF(L56="比较法",L50,IF(L56="基准地价",L51,0))</f>
        <v>0</v>
      </c>
      <c r="R60" s="2254" t="s">
        <v>2319</v>
      </c>
    </row>
    <row r="61" spans="1:18" s="1942" customFormat="1" ht="15.75" thickBot="1">
      <c r="A61" s="1978"/>
      <c r="B61" s="1979"/>
      <c r="C61" s="1979"/>
      <c r="I61" s="2815" t="s">
        <v>2300</v>
      </c>
      <c r="J61" s="2816" t="str">
        <f ca="1">IF(OR(M48="住宅",J52&lt;L49,J57="是"),"0",ROUND(J60/(1+J53)^J54,0))</f>
        <v>0</v>
      </c>
      <c r="K61" s="2817" t="s">
        <v>2305</v>
      </c>
      <c r="L61" s="2816" t="e">
        <f ca="1">IF(OR(M48="住宅",L49&lt;J52),0,ROUND(L58*(L59/L60-1),0))</f>
        <v>#DIV/0!</v>
      </c>
      <c r="O61" s="2256" t="s">
        <v>2323</v>
      </c>
      <c r="P61" s="2254" t="s">
        <v>2332</v>
      </c>
      <c r="Q61" s="2257">
        <f>L53</f>
        <v>0</v>
      </c>
      <c r="R61" s="2258"/>
    </row>
    <row r="62" spans="1:18" s="1942" customFormat="1" ht="20.25" thickBot="1">
      <c r="A62" s="1978"/>
      <c r="B62" s="1979"/>
      <c r="C62" s="1979"/>
      <c r="K62" s="1968"/>
      <c r="O62" s="2256" t="s">
        <v>2325</v>
      </c>
      <c r="P62" s="2254" t="s">
        <v>2333</v>
      </c>
      <c r="Q62" s="2255">
        <f ca="1">L59</f>
        <v>0</v>
      </c>
      <c r="R62" s="2258" t="s">
        <v>2334</v>
      </c>
    </row>
    <row r="63" spans="1:18" s="1942" customFormat="1" ht="20.25" thickBot="1">
      <c r="A63" s="1978"/>
      <c r="B63" s="1979"/>
      <c r="C63" s="1979"/>
      <c r="I63" s="2818" t="s">
        <v>2306</v>
      </c>
      <c r="J63" s="2819" t="s">
        <v>2307</v>
      </c>
      <c r="K63" s="2819" t="s">
        <v>2308</v>
      </c>
      <c r="L63" s="2819" t="s">
        <v>2289</v>
      </c>
      <c r="M63" s="2820" t="s">
        <v>2857</v>
      </c>
      <c r="O63" s="2256" t="s">
        <v>2327</v>
      </c>
      <c r="P63" s="2254" t="s">
        <v>2335</v>
      </c>
      <c r="Q63" s="2255">
        <f ca="1">L60</f>
        <v>0</v>
      </c>
      <c r="R63" s="2258" t="s">
        <v>2336</v>
      </c>
    </row>
    <row r="64" spans="1:18" s="1942" customFormat="1" ht="15.75" thickBot="1">
      <c r="A64" s="1978"/>
      <c r="B64" s="1979"/>
      <c r="C64" s="1979"/>
      <c r="I64" s="2818" t="s">
        <v>2309</v>
      </c>
      <c r="J64" s="2819">
        <v>70</v>
      </c>
      <c r="K64" s="2819">
        <v>50</v>
      </c>
      <c r="L64" s="2819">
        <v>80</v>
      </c>
      <c r="M64" s="2821">
        <v>0.02</v>
      </c>
      <c r="O64" s="2253" t="s">
        <v>2330</v>
      </c>
      <c r="P64" s="2254" t="s">
        <v>2347</v>
      </c>
      <c r="Q64" s="2255" t="e">
        <f ca="1">Q58+Q59</f>
        <v>#DIV/0!</v>
      </c>
      <c r="R64" s="2258" t="s">
        <v>2331</v>
      </c>
    </row>
    <row r="65" spans="1:18" s="1942" customFormat="1" ht="16.5" thickBot="1">
      <c r="A65" s="1978"/>
      <c r="B65" s="1979"/>
      <c r="C65" s="1979"/>
      <c r="I65" s="2818" t="s">
        <v>2310</v>
      </c>
      <c r="J65" s="2819">
        <v>50</v>
      </c>
      <c r="K65" s="2819">
        <v>35</v>
      </c>
      <c r="L65" s="2819">
        <v>60</v>
      </c>
      <c r="M65" s="835">
        <v>0</v>
      </c>
      <c r="O65" s="2259" t="s">
        <v>2354</v>
      </c>
      <c r="P65" s="1527"/>
      <c r="Q65" s="1535"/>
      <c r="R65" s="1527"/>
    </row>
    <row r="66" spans="1:18" s="1942" customFormat="1" ht="15.75" thickBot="1">
      <c r="A66" s="1978"/>
      <c r="B66" s="1979"/>
      <c r="C66" s="1979"/>
      <c r="I66" s="2818" t="s">
        <v>2311</v>
      </c>
      <c r="J66" s="2819">
        <v>40</v>
      </c>
      <c r="K66" s="2819">
        <v>30</v>
      </c>
      <c r="L66" s="2819">
        <v>50</v>
      </c>
      <c r="M66" s="2821">
        <v>0.02</v>
      </c>
      <c r="O66" s="2250" t="s">
        <v>2314</v>
      </c>
      <c r="P66" s="2251" t="s">
        <v>2315</v>
      </c>
      <c r="Q66" s="2252" t="s">
        <v>2316</v>
      </c>
      <c r="R66" s="2251" t="s">
        <v>2317</v>
      </c>
    </row>
    <row r="67" spans="1:18" s="1942" customFormat="1" ht="15.75" thickBot="1">
      <c r="A67" s="1978"/>
      <c r="B67" s="1979"/>
      <c r="C67" s="1979"/>
      <c r="K67" s="1968"/>
      <c r="O67" s="2253" t="s">
        <v>2318</v>
      </c>
      <c r="P67" s="2254" t="s">
        <v>2344</v>
      </c>
      <c r="Q67" s="2255">
        <f ca="1">C41+J31</f>
        <v>0</v>
      </c>
      <c r="R67" s="2254" t="s">
        <v>2319</v>
      </c>
    </row>
    <row r="68" spans="1:18" s="1942" customFormat="1" ht="20.25" thickBot="1">
      <c r="A68" s="1978"/>
      <c r="B68" s="1979"/>
      <c r="C68" s="1979"/>
      <c r="K68" s="1968"/>
      <c r="O68" s="2253" t="s">
        <v>2320</v>
      </c>
      <c r="P68" s="2254" t="s">
        <v>2351</v>
      </c>
      <c r="Q68" s="2255" t="e">
        <f ca="1">L61</f>
        <v>#DIV/0!</v>
      </c>
      <c r="R68" s="2258" t="s">
        <v>2353</v>
      </c>
    </row>
    <row r="69" spans="1:18" s="1942" customFormat="1" ht="21.75" thickBot="1">
      <c r="A69" s="1978"/>
      <c r="B69" s="1979"/>
      <c r="C69" s="1979"/>
      <c r="K69" s="1968"/>
      <c r="O69" s="2256" t="s">
        <v>2322</v>
      </c>
      <c r="P69" s="2254" t="s">
        <v>2352</v>
      </c>
      <c r="Q69" s="2260">
        <f ca="1">L52</f>
        <v>0</v>
      </c>
      <c r="R69" s="2261" t="s">
        <v>2355</v>
      </c>
    </row>
    <row r="70" spans="1:18" s="1942" customFormat="1" ht="20.25" thickBot="1">
      <c r="A70" s="1978"/>
      <c r="B70" s="1979"/>
      <c r="C70" s="1979"/>
      <c r="K70" s="1968"/>
      <c r="O70" s="2256" t="s">
        <v>2323</v>
      </c>
      <c r="P70" s="2262" t="s">
        <v>2337</v>
      </c>
      <c r="Q70" s="2255">
        <f ca="1">ROUND(Q71-Q72*Q73,0)</f>
        <v>0</v>
      </c>
      <c r="R70" s="2258"/>
    </row>
    <row r="71" spans="1:18" s="1942" customFormat="1" ht="15.75" thickBot="1">
      <c r="A71" s="1978"/>
      <c r="B71" s="1979"/>
      <c r="C71" s="1979"/>
      <c r="K71" s="1968"/>
      <c r="O71" s="2256" t="s">
        <v>2338</v>
      </c>
      <c r="P71" s="2262" t="s">
        <v>2339</v>
      </c>
      <c r="Q71" s="2255">
        <f ca="1">C42</f>
        <v>0</v>
      </c>
      <c r="R71" s="2254" t="s">
        <v>2319</v>
      </c>
    </row>
    <row r="72" spans="1:18" s="1942" customFormat="1" ht="15.75" thickBot="1">
      <c r="A72" s="1978"/>
      <c r="B72" s="1979"/>
      <c r="C72" s="1979"/>
      <c r="K72" s="1968"/>
      <c r="O72" s="2256" t="s">
        <v>2340</v>
      </c>
      <c r="P72" s="2262" t="s">
        <v>2341</v>
      </c>
      <c r="Q72" s="2255">
        <f ca="1">C15</f>
        <v>0</v>
      </c>
      <c r="R72" s="2254" t="s">
        <v>2319</v>
      </c>
    </row>
    <row r="73" spans="1:18" s="1942" customFormat="1" ht="15.75" thickBot="1">
      <c r="A73" s="1978"/>
      <c r="B73" s="1979"/>
      <c r="C73" s="1979"/>
      <c r="K73" s="1968"/>
      <c r="O73" s="2256" t="s">
        <v>2342</v>
      </c>
      <c r="P73" s="2262" t="s">
        <v>2343</v>
      </c>
      <c r="Q73" s="2257">
        <f ca="1">F43</f>
        <v>0</v>
      </c>
      <c r="R73" s="2258"/>
    </row>
    <row r="74" spans="1:18" s="1942" customFormat="1" ht="15.75" thickBot="1">
      <c r="A74" s="1978"/>
      <c r="B74" s="1979"/>
      <c r="C74" s="1979"/>
      <c r="K74" s="1968"/>
      <c r="O74" s="2256" t="s">
        <v>2325</v>
      </c>
      <c r="P74" s="2254" t="s">
        <v>2332</v>
      </c>
      <c r="Q74" s="2257">
        <f>L53</f>
        <v>0</v>
      </c>
      <c r="R74" s="2258"/>
    </row>
    <row r="75" spans="1:18" s="1942" customFormat="1" ht="20.25" thickBot="1">
      <c r="A75" s="1978"/>
      <c r="B75" s="1979"/>
      <c r="C75" s="1979"/>
      <c r="K75" s="1968"/>
      <c r="O75" s="2256" t="s">
        <v>2327</v>
      </c>
      <c r="P75" s="2254" t="s">
        <v>2333</v>
      </c>
      <c r="Q75" s="2255">
        <f ca="1">L59</f>
        <v>0</v>
      </c>
      <c r="R75" s="2258" t="s">
        <v>2334</v>
      </c>
    </row>
    <row r="76" spans="1:18" s="1942" customFormat="1" ht="20.25" thickBot="1">
      <c r="A76" s="1978"/>
      <c r="B76" s="1979"/>
      <c r="C76" s="1979"/>
      <c r="K76" s="1968"/>
      <c r="O76" s="2256" t="s">
        <v>2356</v>
      </c>
      <c r="P76" s="2254" t="s">
        <v>2335</v>
      </c>
      <c r="Q76" s="2255">
        <f ca="1">L60</f>
        <v>0</v>
      </c>
      <c r="R76" s="2258" t="s">
        <v>2336</v>
      </c>
    </row>
    <row r="77" spans="1:18" s="1942" customFormat="1" ht="15.75" thickBot="1">
      <c r="A77" s="1978"/>
      <c r="B77" s="1979"/>
      <c r="C77" s="1979"/>
      <c r="K77" s="1968"/>
      <c r="O77" s="2253" t="s">
        <v>2330</v>
      </c>
      <c r="P77" s="2254" t="s">
        <v>2347</v>
      </c>
      <c r="Q77" s="2255" t="e">
        <f ca="1">Q67+Q68</f>
        <v>#DIV/0!</v>
      </c>
      <c r="R77" s="2258" t="s">
        <v>2331</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1" type="noConversion"/>
  <conditionalFormatting sqref="C13">
    <cfRule type="expression" dxfId="119" priority="6">
      <formula>$F$12="自定义"</formula>
    </cfRule>
  </conditionalFormatting>
  <conditionalFormatting sqref="J13">
    <cfRule type="expression" dxfId="118" priority="5">
      <formula>$M$10="自定义"</formula>
    </cfRule>
  </conditionalFormatting>
  <conditionalFormatting sqref="K56">
    <cfRule type="expression" dxfId="117" priority="3">
      <formula>$L$48&gt;$J$51</formula>
    </cfRule>
  </conditionalFormatting>
  <conditionalFormatting sqref="I56">
    <cfRule type="expression" dxfId="116" priority="4">
      <formula>$J$51&gt;$L$48</formula>
    </cfRule>
  </conditionalFormatting>
  <conditionalFormatting sqref="I61">
    <cfRule type="expression" dxfId="115" priority="2">
      <formula>$J$51&gt;$L$48</formula>
    </cfRule>
  </conditionalFormatting>
  <conditionalFormatting sqref="K61">
    <cfRule type="expression" dxfId="1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ColWidth="8.875" defaultRowHeight="13.5"/>
  <cols>
    <col min="1" max="1" width="10.5" customWidth="1"/>
    <col min="2" max="2" width="12.875" customWidth="1"/>
    <col min="3" max="3" width="8.625" customWidth="1"/>
  </cols>
  <sheetData>
    <row r="1" spans="1:9" ht="14.25">
      <c r="A1" s="3623" t="s">
        <v>2406</v>
      </c>
      <c r="B1" s="3624"/>
      <c r="C1" s="3625"/>
      <c r="D1" s="3619">
        <f>SUM(I10,I15,I20,I21,I23)</f>
        <v>0</v>
      </c>
      <c r="E1" s="3619"/>
      <c r="F1" s="3619"/>
      <c r="G1" s="3619"/>
      <c r="H1" s="3619"/>
      <c r="I1" s="3620"/>
    </row>
    <row r="2" spans="1:9">
      <c r="A2" s="3621" t="s">
        <v>2407</v>
      </c>
      <c r="B2" s="3622" t="s">
        <v>2408</v>
      </c>
      <c r="C2" s="3622"/>
      <c r="D2" s="2359" t="s">
        <v>2409</v>
      </c>
      <c r="E2" s="2359" t="s">
        <v>2410</v>
      </c>
      <c r="F2" s="2359" t="s">
        <v>2411</v>
      </c>
      <c r="G2" s="2359" t="s">
        <v>2412</v>
      </c>
      <c r="H2" s="2359" t="s">
        <v>2413</v>
      </c>
      <c r="I2" s="2360" t="s">
        <v>2414</v>
      </c>
    </row>
    <row r="3" spans="1:9">
      <c r="A3" s="3621"/>
      <c r="B3" s="3622" t="s">
        <v>2415</v>
      </c>
      <c r="C3" s="3622"/>
      <c r="D3" s="2361"/>
      <c r="E3" s="2359"/>
      <c r="F3" s="2362"/>
      <c r="G3" s="2362"/>
      <c r="H3" s="2363"/>
      <c r="I3" s="2364">
        <f>ROUND(D3*E3*F3*G3*H3/10000,0)</f>
        <v>0</v>
      </c>
    </row>
    <row r="4" spans="1:9">
      <c r="A4" s="3621"/>
      <c r="B4" s="3622" t="s">
        <v>2416</v>
      </c>
      <c r="C4" s="3622"/>
      <c r="D4" s="2361"/>
      <c r="E4" s="2359"/>
      <c r="F4" s="2362"/>
      <c r="G4" s="2362"/>
      <c r="H4" s="2363"/>
      <c r="I4" s="2364">
        <f t="shared" ref="I4:I9" si="0">ROUND(D4*E4*F4*G4*H4/10000,0)</f>
        <v>0</v>
      </c>
    </row>
    <row r="5" spans="1:9">
      <c r="A5" s="3621"/>
      <c r="B5" s="3622" t="s">
        <v>2417</v>
      </c>
      <c r="C5" s="3622"/>
      <c r="D5" s="2361"/>
      <c r="E5" s="2359"/>
      <c r="F5" s="2362"/>
      <c r="G5" s="2362"/>
      <c r="H5" s="2363"/>
      <c r="I5" s="2364">
        <f t="shared" si="0"/>
        <v>0</v>
      </c>
    </row>
    <row r="6" spans="1:9">
      <c r="A6" s="3621"/>
      <c r="B6" s="3622" t="s">
        <v>2418</v>
      </c>
      <c r="C6" s="3622"/>
      <c r="D6" s="2361"/>
      <c r="E6" s="2359"/>
      <c r="F6" s="2362"/>
      <c r="G6" s="2362"/>
      <c r="H6" s="2363"/>
      <c r="I6" s="2364">
        <f t="shared" si="0"/>
        <v>0</v>
      </c>
    </row>
    <row r="7" spans="1:9">
      <c r="A7" s="3621"/>
      <c r="B7" s="3622" t="s">
        <v>2419</v>
      </c>
      <c r="C7" s="3622"/>
      <c r="D7" s="2361"/>
      <c r="E7" s="2359"/>
      <c r="F7" s="2362"/>
      <c r="G7" s="2362"/>
      <c r="H7" s="2363"/>
      <c r="I7" s="2364">
        <f t="shared" si="0"/>
        <v>0</v>
      </c>
    </row>
    <row r="8" spans="1:9">
      <c r="A8" s="3621"/>
      <c r="B8" s="3622" t="s">
        <v>2420</v>
      </c>
      <c r="C8" s="3622"/>
      <c r="D8" s="2361"/>
      <c r="E8" s="2359"/>
      <c r="F8" s="2362"/>
      <c r="G8" s="2362"/>
      <c r="H8" s="2363"/>
      <c r="I8" s="2364">
        <f t="shared" si="0"/>
        <v>0</v>
      </c>
    </row>
    <row r="9" spans="1:9">
      <c r="A9" s="3621"/>
      <c r="B9" s="3622" t="s">
        <v>2421</v>
      </c>
      <c r="C9" s="3622"/>
      <c r="D9" s="2361"/>
      <c r="E9" s="2359"/>
      <c r="F9" s="2362"/>
      <c r="G9" s="2362"/>
      <c r="H9" s="2363"/>
      <c r="I9" s="2364">
        <f t="shared" si="0"/>
        <v>0</v>
      </c>
    </row>
    <row r="10" spans="1:9">
      <c r="A10" s="3621"/>
      <c r="B10" s="3626" t="s">
        <v>2422</v>
      </c>
      <c r="C10" s="3626"/>
      <c r="D10" s="2365">
        <v>527</v>
      </c>
      <c r="E10" s="2365" t="e">
        <f>ROUND(D1*10000/D10/H9,0)</f>
        <v>#DIV/0!</v>
      </c>
      <c r="F10" s="2366"/>
      <c r="G10" s="2366"/>
      <c r="H10" s="2367"/>
      <c r="I10" s="2368">
        <f>SUM(I3:I9)</f>
        <v>0</v>
      </c>
    </row>
    <row r="11" spans="1:9" ht="14.25">
      <c r="A11" s="3621" t="s">
        <v>2423</v>
      </c>
      <c r="B11" s="3622" t="s">
        <v>2424</v>
      </c>
      <c r="C11" s="3622"/>
      <c r="D11" s="2361" t="s">
        <v>2425</v>
      </c>
      <c r="E11" s="2361" t="s">
        <v>2426</v>
      </c>
      <c r="F11" s="2362" t="s">
        <v>2427</v>
      </c>
      <c r="G11" s="2362" t="s">
        <v>2428</v>
      </c>
      <c r="H11" s="2369" t="s">
        <v>2429</v>
      </c>
      <c r="I11" s="2360" t="s">
        <v>2430</v>
      </c>
    </row>
    <row r="12" spans="1:9">
      <c r="A12" s="3621"/>
      <c r="B12" s="3622" t="s">
        <v>2431</v>
      </c>
      <c r="C12" s="3622"/>
      <c r="D12" s="2361"/>
      <c r="E12" s="2361"/>
      <c r="F12" s="2362"/>
      <c r="G12" s="2363"/>
      <c r="H12" s="2370"/>
      <c r="I12" s="2360">
        <f>ROUND(D12*E12*F12*G12/10000,0)</f>
        <v>0</v>
      </c>
    </row>
    <row r="13" spans="1:9">
      <c r="A13" s="3621"/>
      <c r="B13" s="3622" t="s">
        <v>2432</v>
      </c>
      <c r="C13" s="3622"/>
      <c r="D13" s="2361"/>
      <c r="E13" s="2361"/>
      <c r="F13" s="2362"/>
      <c r="G13" s="2363"/>
      <c r="H13" s="2370"/>
      <c r="I13" s="2360">
        <f>ROUND(D13*E13*F13*G13/10000,0)</f>
        <v>0</v>
      </c>
    </row>
    <row r="14" spans="1:9">
      <c r="A14" s="3621"/>
      <c r="B14" s="3622" t="s">
        <v>2433</v>
      </c>
      <c r="C14" s="3622"/>
      <c r="D14" s="2361"/>
      <c r="E14" s="2361"/>
      <c r="F14" s="2362"/>
      <c r="G14" s="2363"/>
      <c r="H14" s="2370"/>
      <c r="I14" s="2360">
        <f>ROUND(D14*E14*F14*G14/10000,0)</f>
        <v>0</v>
      </c>
    </row>
    <row r="15" spans="1:9">
      <c r="A15" s="3621"/>
      <c r="B15" s="3626" t="s">
        <v>2422</v>
      </c>
      <c r="C15" s="3626"/>
      <c r="D15" s="2365"/>
      <c r="E15" s="2365">
        <f>SUM(E12:E14)</f>
        <v>0</v>
      </c>
      <c r="F15" s="2366"/>
      <c r="G15" s="2363"/>
      <c r="H15" s="2370"/>
      <c r="I15" s="2371">
        <f>SUM(I12:I14)</f>
        <v>0</v>
      </c>
    </row>
    <row r="16" spans="1:9" ht="24">
      <c r="A16" s="3621" t="s">
        <v>2434</v>
      </c>
      <c r="B16" s="3622" t="s">
        <v>2435</v>
      </c>
      <c r="C16" s="3622"/>
      <c r="D16" s="2361" t="s">
        <v>2436</v>
      </c>
      <c r="E16" s="2372" t="s">
        <v>2437</v>
      </c>
      <c r="F16" s="2362" t="s">
        <v>2438</v>
      </c>
      <c r="G16" s="2363" t="s">
        <v>2428</v>
      </c>
      <c r="H16" s="2369" t="s">
        <v>2429</v>
      </c>
      <c r="I16" s="2360" t="s">
        <v>2430</v>
      </c>
    </row>
    <row r="17" spans="1:9" ht="14.25">
      <c r="A17" s="3621"/>
      <c r="B17" s="3622" t="s">
        <v>2439</v>
      </c>
      <c r="C17" s="3622"/>
      <c r="D17" s="2361"/>
      <c r="E17" s="2361"/>
      <c r="F17" s="2362"/>
      <c r="G17" s="2363"/>
      <c r="H17" s="2373"/>
      <c r="I17" s="2374">
        <f>ROUND(D17*E17*F17*G17/10000,0)</f>
        <v>0</v>
      </c>
    </row>
    <row r="18" spans="1:9" ht="14.25">
      <c r="A18" s="3621"/>
      <c r="B18" s="3622" t="s">
        <v>2440</v>
      </c>
      <c r="C18" s="3622"/>
      <c r="D18" s="2361"/>
      <c r="E18" s="2361"/>
      <c r="F18" s="2362"/>
      <c r="G18" s="2363"/>
      <c r="H18" s="2373"/>
      <c r="I18" s="2374">
        <f>ROUND(D18*E18*F18*G18/10000,0)</f>
        <v>0</v>
      </c>
    </row>
    <row r="19" spans="1:9" ht="14.25">
      <c r="A19" s="3621"/>
      <c r="B19" s="3622" t="s">
        <v>2441</v>
      </c>
      <c r="C19" s="3622"/>
      <c r="D19" s="2361"/>
      <c r="E19" s="2361"/>
      <c r="F19" s="2362"/>
      <c r="G19" s="2363"/>
      <c r="H19" s="2373"/>
      <c r="I19" s="2374">
        <f>ROUND(D19*E19*F19*G19/10000,0)</f>
        <v>0</v>
      </c>
    </row>
    <row r="20" spans="1:9">
      <c r="A20" s="3621"/>
      <c r="B20" s="3626" t="s">
        <v>2422</v>
      </c>
      <c r="C20" s="3626"/>
      <c r="D20" s="2365">
        <f>SUM(D17:D19)</f>
        <v>0</v>
      </c>
      <c r="E20" s="2365"/>
      <c r="F20" s="2366"/>
      <c r="G20" s="2363"/>
      <c r="H20" s="2370"/>
      <c r="I20" s="2371">
        <f>SUM(I17:I19)</f>
        <v>0</v>
      </c>
    </row>
    <row r="21" spans="1:9">
      <c r="A21" s="3621" t="s">
        <v>2442</v>
      </c>
      <c r="B21" s="3633"/>
      <c r="C21" s="3633"/>
      <c r="D21" s="3633"/>
      <c r="E21" s="3633"/>
      <c r="F21" s="3633"/>
      <c r="G21" s="3633"/>
      <c r="H21" s="2375">
        <v>0.1</v>
      </c>
      <c r="I21" s="2368">
        <f>ROUND(I10*H21,0)</f>
        <v>0</v>
      </c>
    </row>
    <row r="22" spans="1:9" ht="14.25">
      <c r="A22" s="3634" t="s">
        <v>2443</v>
      </c>
      <c r="B22" s="3635"/>
      <c r="C22" s="3636"/>
      <c r="D22" s="2376" t="s">
        <v>2444</v>
      </c>
      <c r="E22" s="2376" t="s">
        <v>2445</v>
      </c>
      <c r="F22" s="2377" t="s">
        <v>2446</v>
      </c>
      <c r="G22" s="2377" t="s">
        <v>2447</v>
      </c>
      <c r="H22" s="2369" t="s">
        <v>2448</v>
      </c>
      <c r="I22" s="2360" t="s">
        <v>2449</v>
      </c>
    </row>
    <row r="23" spans="1:9" ht="14.25" thickBot="1">
      <c r="A23" s="3637"/>
      <c r="B23" s="3638"/>
      <c r="C23" s="3639"/>
      <c r="D23" s="2378"/>
      <c r="E23" s="2378"/>
      <c r="F23" s="2378"/>
      <c r="G23" s="2379"/>
      <c r="H23" s="2380"/>
      <c r="I23" s="2381">
        <f>ROUND(E23*D23*F23*(1-G23)/10000,0)</f>
        <v>0</v>
      </c>
    </row>
    <row r="26" spans="1:9">
      <c r="A26" s="2382" t="s">
        <v>2450</v>
      </c>
      <c r="B26" s="2382"/>
      <c r="C26" s="2382"/>
      <c r="D26" s="2382"/>
      <c r="E26" s="3631">
        <f>C27-C30-C31-C32</f>
        <v>0</v>
      </c>
      <c r="F26" s="3631"/>
      <c r="G26" s="3631"/>
      <c r="H26" s="2750" t="s">
        <v>2774</v>
      </c>
    </row>
    <row r="27" spans="1:9">
      <c r="A27" s="2383">
        <v>1</v>
      </c>
      <c r="B27" s="2384" t="s">
        <v>2451</v>
      </c>
      <c r="C27" s="2384"/>
      <c r="D27" s="2384"/>
      <c r="E27" s="3627"/>
      <c r="F27" s="3627"/>
      <c r="G27" s="3627"/>
    </row>
    <row r="28" spans="1:9">
      <c r="A28" s="2385" t="s">
        <v>2452</v>
      </c>
      <c r="B28" s="2384" t="s">
        <v>2453</v>
      </c>
      <c r="C28" s="2384"/>
      <c r="D28" s="2384"/>
      <c r="E28" s="3627"/>
      <c r="F28" s="3627"/>
      <c r="G28" s="3627"/>
    </row>
    <row r="29" spans="1:9">
      <c r="A29" s="2385" t="s">
        <v>2454</v>
      </c>
      <c r="B29" s="2384" t="s">
        <v>2396</v>
      </c>
      <c r="C29" s="2384"/>
      <c r="D29" s="2384"/>
      <c r="E29" s="2384" t="s">
        <v>2455</v>
      </c>
      <c r="F29" s="2384"/>
      <c r="G29" s="2384"/>
    </row>
    <row r="30" spans="1:9">
      <c r="A30" s="2383">
        <v>2</v>
      </c>
      <c r="B30" s="2384" t="s">
        <v>2456</v>
      </c>
      <c r="C30" s="2384">
        <f>C27*D30</f>
        <v>0</v>
      </c>
      <c r="D30" s="2386">
        <v>0.2</v>
      </c>
      <c r="E30" s="2384" t="s">
        <v>2457</v>
      </c>
      <c r="F30" s="2384"/>
      <c r="G30" s="2384"/>
    </row>
    <row r="31" spans="1:9">
      <c r="A31" s="2383">
        <v>3</v>
      </c>
      <c r="B31" s="2384" t="s">
        <v>2458</v>
      </c>
      <c r="C31" s="2384">
        <f>C25*D31</f>
        <v>0</v>
      </c>
      <c r="D31" s="2386">
        <v>0.15</v>
      </c>
      <c r="E31" s="2384" t="s">
        <v>2459</v>
      </c>
      <c r="F31" s="2384"/>
      <c r="G31" s="2384"/>
    </row>
    <row r="32" spans="1:9">
      <c r="A32" s="2383">
        <v>4</v>
      </c>
      <c r="B32" s="2384" t="s">
        <v>2460</v>
      </c>
      <c r="C32" s="2384">
        <f>C27*D32</f>
        <v>0</v>
      </c>
      <c r="D32" s="2386">
        <v>0.05</v>
      </c>
      <c r="E32" s="3632"/>
      <c r="F32" s="3632"/>
      <c r="G32" s="3632"/>
    </row>
    <row r="33" spans="1:7" hidden="1">
      <c r="A33" s="3628" t="s">
        <v>2461</v>
      </c>
      <c r="B33" s="3629"/>
      <c r="C33" s="3629"/>
      <c r="D33" s="3630"/>
      <c r="E33" s="3631"/>
      <c r="F33" s="3631"/>
      <c r="G33" s="3631"/>
    </row>
    <row r="34" spans="1:7" hidden="1">
      <c r="A34" s="2387">
        <v>1</v>
      </c>
      <c r="B34" s="2384" t="s">
        <v>2462</v>
      </c>
      <c r="C34" s="2384"/>
      <c r="D34" s="2384"/>
      <c r="E34" s="3627"/>
      <c r="F34" s="3627"/>
      <c r="G34" s="3627"/>
    </row>
    <row r="35" spans="1:7" hidden="1">
      <c r="A35" s="2387">
        <v>2</v>
      </c>
      <c r="B35" s="2384" t="s">
        <v>2463</v>
      </c>
      <c r="C35" s="2384"/>
      <c r="D35" s="2384"/>
      <c r="E35" s="3627"/>
      <c r="F35" s="3627"/>
      <c r="G35" s="3627"/>
    </row>
    <row r="36" spans="1:7" hidden="1">
      <c r="A36" s="2387">
        <v>3</v>
      </c>
      <c r="B36" s="2384" t="s">
        <v>2464</v>
      </c>
      <c r="C36" s="2384"/>
      <c r="D36" s="2384"/>
      <c r="E36" s="3627"/>
      <c r="F36" s="3627"/>
      <c r="G36" s="3627"/>
    </row>
    <row r="37" spans="1:7" hidden="1">
      <c r="A37" s="2387">
        <v>4</v>
      </c>
      <c r="B37" s="2384" t="s">
        <v>2465</v>
      </c>
      <c r="C37" s="2384"/>
      <c r="D37" s="2384"/>
      <c r="E37" s="3627"/>
      <c r="F37" s="3627"/>
      <c r="G37" s="3627"/>
    </row>
    <row r="38" spans="1:7" hidden="1">
      <c r="A38" s="3628" t="s">
        <v>2466</v>
      </c>
      <c r="B38" s="3629"/>
      <c r="C38" s="3629"/>
      <c r="D38" s="3630"/>
      <c r="E38" s="3631"/>
      <c r="F38" s="3631"/>
      <c r="G38" s="3631"/>
    </row>
  </sheetData>
  <mergeCells count="38">
    <mergeCell ref="B20:C20"/>
    <mergeCell ref="E27:G27"/>
    <mergeCell ref="E28:G28"/>
    <mergeCell ref="A38:D38"/>
    <mergeCell ref="E38:G38"/>
    <mergeCell ref="A33:D33"/>
    <mergeCell ref="E33:G33"/>
    <mergeCell ref="E34:G34"/>
    <mergeCell ref="E35:G35"/>
    <mergeCell ref="E36:G36"/>
    <mergeCell ref="E37:G37"/>
    <mergeCell ref="E32:G32"/>
    <mergeCell ref="A21:G21"/>
    <mergeCell ref="A22:C23"/>
    <mergeCell ref="E26:G26"/>
    <mergeCell ref="A16:A20"/>
    <mergeCell ref="B16:C16"/>
    <mergeCell ref="B17:C17"/>
    <mergeCell ref="B18:C18"/>
    <mergeCell ref="B19:C19"/>
    <mergeCell ref="A1:C1"/>
    <mergeCell ref="B9:C9"/>
    <mergeCell ref="B10:C10"/>
    <mergeCell ref="A11:A15"/>
    <mergeCell ref="B11:C11"/>
    <mergeCell ref="B12:C12"/>
    <mergeCell ref="B13:C13"/>
    <mergeCell ref="B14:C14"/>
    <mergeCell ref="B15:C15"/>
    <mergeCell ref="D1:I1"/>
    <mergeCell ref="A2:A10"/>
    <mergeCell ref="B2:C2"/>
    <mergeCell ref="B3:C3"/>
    <mergeCell ref="B4:C4"/>
    <mergeCell ref="B5:C5"/>
    <mergeCell ref="B6:C6"/>
    <mergeCell ref="B7:C7"/>
    <mergeCell ref="B8:C8"/>
  </mergeCells>
  <phoneticPr fontId="161"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91" customWidth="1"/>
    <col min="2" max="2" width="15.625" style="1291" customWidth="1"/>
    <col min="3" max="3" width="14.375" style="1291" customWidth="1"/>
    <col min="4" max="4" width="12.125" style="1291" customWidth="1"/>
    <col min="5" max="5" width="14.375" style="1291" customWidth="1"/>
    <col min="6" max="6" width="12.125" style="1291" customWidth="1"/>
    <col min="7" max="7" width="14.5" style="1291" customWidth="1"/>
    <col min="8" max="8" width="12.125" style="1291" customWidth="1"/>
    <col min="9" max="9" width="14.5" style="1291" customWidth="1"/>
    <col min="10" max="10" width="12.125" style="1291" customWidth="1"/>
    <col min="11" max="11" width="12.125" style="1296" customWidth="1"/>
    <col min="12" max="12" width="12.125" style="1297" customWidth="1"/>
    <col min="13" max="15" width="12.125" style="1291" customWidth="1"/>
    <col min="16" max="16" width="4.625" style="1291" customWidth="1"/>
    <col min="17" max="17" width="19.5" style="1291" customWidth="1"/>
    <col min="18" max="22" width="6.125" style="1291" customWidth="1"/>
    <col min="23" max="23" width="5.625" style="1291" customWidth="1"/>
    <col min="24" max="24" width="4.125" style="1291" customWidth="1"/>
    <col min="25" max="25" width="3.5" style="1291" customWidth="1"/>
    <col min="26" max="26" width="19.625" style="1291" customWidth="1"/>
    <col min="27" max="28" width="9.375" style="1291" customWidth="1"/>
    <col min="29" max="16384" width="9" style="1291"/>
  </cols>
  <sheetData>
    <row r="1" spans="1:29" s="1290" customFormat="1" ht="28.5" customHeight="1">
      <c r="A1" s="496" t="s">
        <v>712</v>
      </c>
      <c r="B1" s="497" t="s">
        <v>782</v>
      </c>
      <c r="C1" s="498" t="s">
        <v>714</v>
      </c>
      <c r="D1" s="838"/>
      <c r="E1" s="500"/>
      <c r="F1" s="2521"/>
      <c r="G1" s="1532" t="s">
        <v>715</v>
      </c>
      <c r="H1" s="500"/>
      <c r="I1" s="500"/>
      <c r="J1" s="500"/>
      <c r="K1" s="501"/>
      <c r="L1" s="3200"/>
      <c r="M1" s="3201"/>
      <c r="N1" s="3201"/>
      <c r="O1" s="3201"/>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03"/>
      <c r="AC3" s="1944"/>
    </row>
    <row r="4" spans="1:29" ht="15">
      <c r="A4" s="506" t="s">
        <v>515</v>
      </c>
      <c r="B4" s="507"/>
      <c r="C4" s="3523" t="s">
        <v>516</v>
      </c>
      <c r="D4" s="3524"/>
      <c r="E4" s="3525" t="s">
        <v>517</v>
      </c>
      <c r="F4" s="3526"/>
      <c r="G4" s="3523" t="s">
        <v>518</v>
      </c>
      <c r="H4" s="3524"/>
      <c r="I4" s="3523" t="s">
        <v>519</v>
      </c>
      <c r="J4" s="3524"/>
      <c r="K4" s="508" t="s">
        <v>520</v>
      </c>
      <c r="L4" s="2015"/>
      <c r="M4" s="2016"/>
      <c r="N4" s="2016"/>
      <c r="O4" s="2016"/>
      <c r="P4" s="3527" t="s">
        <v>521</v>
      </c>
      <c r="Q4" s="3528"/>
      <c r="R4" s="3533" t="s">
        <v>517</v>
      </c>
      <c r="S4" s="3534"/>
      <c r="T4" s="3533" t="s">
        <v>518</v>
      </c>
      <c r="U4" s="3534"/>
      <c r="V4" s="3539" t="s">
        <v>519</v>
      </c>
      <c r="W4" s="3539"/>
      <c r="X4" s="1502"/>
      <c r="Y4" s="3533" t="s">
        <v>521</v>
      </c>
      <c r="Z4" s="3534"/>
      <c r="AA4" s="3520" t="s">
        <v>517</v>
      </c>
      <c r="AB4" s="3521" t="s">
        <v>518</v>
      </c>
      <c r="AC4" s="3520" t="s">
        <v>519</v>
      </c>
    </row>
    <row r="5" spans="1:29" ht="15">
      <c r="A5" s="509"/>
      <c r="B5" s="510"/>
      <c r="C5" s="3542" t="s">
        <v>2844</v>
      </c>
      <c r="D5" s="3543"/>
      <c r="E5" s="3540" t="s">
        <v>2845</v>
      </c>
      <c r="F5" s="3541"/>
      <c r="G5" s="3542" t="s">
        <v>2846</v>
      </c>
      <c r="H5" s="3543"/>
      <c r="I5" s="3542" t="s">
        <v>2847</v>
      </c>
      <c r="J5" s="3543"/>
      <c r="K5" s="508"/>
      <c r="L5" s="2015"/>
      <c r="M5" s="2016"/>
      <c r="N5" s="2016"/>
      <c r="O5" s="2016"/>
      <c r="P5" s="3529"/>
      <c r="Q5" s="3530"/>
      <c r="R5" s="3535"/>
      <c r="S5" s="3536"/>
      <c r="T5" s="3535"/>
      <c r="U5" s="3536"/>
      <c r="V5" s="3539"/>
      <c r="W5" s="3539"/>
      <c r="X5" s="1502"/>
      <c r="Y5" s="3535"/>
      <c r="Z5" s="3536"/>
      <c r="AA5" s="3521"/>
      <c r="AB5" s="3521"/>
      <c r="AC5" s="3521"/>
    </row>
    <row r="6" spans="1:29" ht="15.75" thickBot="1">
      <c r="A6" s="511"/>
      <c r="B6" s="512"/>
      <c r="C6" s="3544" t="s">
        <v>2848</v>
      </c>
      <c r="D6" s="3545"/>
      <c r="E6" s="3546" t="s">
        <v>2848</v>
      </c>
      <c r="F6" s="3547"/>
      <c r="G6" s="3544" t="s">
        <v>2848</v>
      </c>
      <c r="H6" s="3545"/>
      <c r="I6" s="3544" t="s">
        <v>2848</v>
      </c>
      <c r="J6" s="3545"/>
      <c r="K6" s="508" t="s">
        <v>522</v>
      </c>
      <c r="L6" s="2015"/>
      <c r="M6" s="2016"/>
      <c r="N6" s="2016"/>
      <c r="O6" s="2016"/>
      <c r="P6" s="3531"/>
      <c r="Q6" s="3532"/>
      <c r="R6" s="3535"/>
      <c r="S6" s="3536"/>
      <c r="T6" s="3537"/>
      <c r="U6" s="3538"/>
      <c r="V6" s="3539"/>
      <c r="W6" s="3539"/>
      <c r="X6" s="1502"/>
      <c r="Y6" s="3537"/>
      <c r="Z6" s="3538"/>
      <c r="AA6" s="3522"/>
      <c r="AB6" s="3522"/>
      <c r="AC6" s="3522"/>
    </row>
    <row r="7" spans="1:29" s="1203" customFormat="1" ht="15.75" thickBot="1">
      <c r="A7" s="2626"/>
      <c r="B7" s="2633" t="s">
        <v>523</v>
      </c>
      <c r="C7" s="513">
        <f>'数据-取费表'!B2</f>
        <v>44097</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50" t="s">
        <v>524</v>
      </c>
      <c r="Q7" s="3552"/>
      <c r="R7" s="1503" t="s">
        <v>8</v>
      </c>
      <c r="S7" s="1504">
        <f t="shared" ref="S7:S15" si="0">F7</f>
        <v>0</v>
      </c>
      <c r="T7" s="1503" t="s">
        <v>8</v>
      </c>
      <c r="U7" s="1504">
        <f t="shared" ref="U7:U15" si="1">H7</f>
        <v>0</v>
      </c>
      <c r="V7" s="1503" t="s">
        <v>8</v>
      </c>
      <c r="W7" s="1504">
        <f t="shared" ref="W7:W15" si="2">J7</f>
        <v>0</v>
      </c>
      <c r="X7" s="1505"/>
      <c r="Y7" s="3550" t="s">
        <v>524</v>
      </c>
      <c r="Z7" s="3551"/>
      <c r="AA7" s="1506" t="e">
        <f>D7/F7</f>
        <v>#DIV/0!</v>
      </c>
      <c r="AB7" s="1506" t="e">
        <f>D7/H7</f>
        <v>#DIV/0!</v>
      </c>
      <c r="AC7" s="1506" t="e">
        <f>D7/J7</f>
        <v>#DIV/0!</v>
      </c>
    </row>
    <row r="8" spans="1:29" s="1203" customFormat="1" ht="15.75" thickBot="1">
      <c r="A8" s="2627"/>
      <c r="B8" s="2634"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50" t="s">
        <v>527</v>
      </c>
      <c r="Q8" s="3551"/>
      <c r="R8" s="1503" t="s">
        <v>8</v>
      </c>
      <c r="S8" s="1504">
        <f t="shared" si="0"/>
        <v>0</v>
      </c>
      <c r="T8" s="1503" t="s">
        <v>8</v>
      </c>
      <c r="U8" s="1504">
        <f t="shared" si="1"/>
        <v>0</v>
      </c>
      <c r="V8" s="1503" t="s">
        <v>8</v>
      </c>
      <c r="W8" s="1504">
        <f t="shared" si="2"/>
        <v>0</v>
      </c>
      <c r="X8" s="1505"/>
      <c r="Y8" s="3550" t="s">
        <v>527</v>
      </c>
      <c r="Z8" s="3551"/>
      <c r="AA8" s="1506" t="e">
        <f t="shared" ref="AA8:AA40" si="3">D8/F8</f>
        <v>#DIV/0!</v>
      </c>
      <c r="AB8" s="1506" t="e">
        <f t="shared" ref="AB8:AB40" si="4">D8/H8</f>
        <v>#DIV/0!</v>
      </c>
      <c r="AC8" s="1506" t="e">
        <f t="shared" ref="AC8:AC40" si="5">D8/J8</f>
        <v>#DIV/0!</v>
      </c>
    </row>
    <row r="9" spans="1:29" s="1203" customFormat="1" ht="15">
      <c r="A9" s="2628"/>
      <c r="B9" s="2635" t="s">
        <v>2689</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554" t="s">
        <v>529</v>
      </c>
      <c r="Q9" s="1134" t="str">
        <f t="shared" ref="Q9:Q15" si="6">B9</f>
        <v>用途</v>
      </c>
      <c r="R9" s="1503" t="s">
        <v>8</v>
      </c>
      <c r="S9" s="1504">
        <f t="shared" si="0"/>
        <v>100</v>
      </c>
      <c r="T9" s="1503" t="s">
        <v>8</v>
      </c>
      <c r="U9" s="1504">
        <f t="shared" si="1"/>
        <v>100</v>
      </c>
      <c r="V9" s="1503" t="s">
        <v>8</v>
      </c>
      <c r="W9" s="1504">
        <f t="shared" si="2"/>
        <v>100</v>
      </c>
      <c r="X9" s="1505"/>
      <c r="Y9" s="3443" t="s">
        <v>530</v>
      </c>
      <c r="Z9" s="1133" t="str">
        <f t="shared" ref="Z9:Z15" si="7">Q9</f>
        <v>用途</v>
      </c>
      <c r="AA9" s="1506">
        <f t="shared" si="3"/>
        <v>1</v>
      </c>
      <c r="AB9" s="1506">
        <f t="shared" si="4"/>
        <v>1</v>
      </c>
      <c r="AC9" s="1506">
        <f t="shared" si="5"/>
        <v>1</v>
      </c>
    </row>
    <row r="10" spans="1:29" s="1292" customFormat="1" ht="27">
      <c r="A10" s="2629"/>
      <c r="B10" s="2634" t="s">
        <v>2690</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554"/>
      <c r="Q10" s="1134" t="str">
        <f t="shared" si="6"/>
        <v>土地使用年限（年）</v>
      </c>
      <c r="R10" s="1503" t="s">
        <v>8</v>
      </c>
      <c r="S10" s="1504">
        <f t="shared" si="0"/>
        <v>100</v>
      </c>
      <c r="T10" s="1503" t="s">
        <v>8</v>
      </c>
      <c r="U10" s="1504">
        <f t="shared" si="1"/>
        <v>100</v>
      </c>
      <c r="V10" s="1503" t="s">
        <v>8</v>
      </c>
      <c r="W10" s="1504">
        <f t="shared" si="2"/>
        <v>100</v>
      </c>
      <c r="X10" s="1505"/>
      <c r="Y10" s="3443"/>
      <c r="Z10" s="1133" t="str">
        <f t="shared" si="7"/>
        <v>土地使用年限（年）</v>
      </c>
      <c r="AA10" s="1506">
        <f t="shared" si="3"/>
        <v>1</v>
      </c>
      <c r="AB10" s="1506">
        <f t="shared" si="4"/>
        <v>1</v>
      </c>
      <c r="AC10" s="1506">
        <f t="shared" si="5"/>
        <v>1</v>
      </c>
    </row>
    <row r="11" spans="1:29" ht="15">
      <c r="A11" s="2630"/>
      <c r="B11" s="2634" t="s">
        <v>2691</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554"/>
      <c r="Q11" s="1134" t="str">
        <f t="shared" si="6"/>
        <v>容积率</v>
      </c>
      <c r="R11" s="1503" t="s">
        <v>8</v>
      </c>
      <c r="S11" s="1504" t="e">
        <f t="shared" si="0"/>
        <v>#N/A</v>
      </c>
      <c r="T11" s="1503" t="s">
        <v>8</v>
      </c>
      <c r="U11" s="1504" t="e">
        <f t="shared" si="1"/>
        <v>#N/A</v>
      </c>
      <c r="V11" s="1503" t="s">
        <v>8</v>
      </c>
      <c r="W11" s="1504" t="e">
        <f t="shared" si="2"/>
        <v>#N/A</v>
      </c>
      <c r="X11" s="1505"/>
      <c r="Y11" s="3443"/>
      <c r="Z11" s="1133" t="str">
        <f t="shared" si="7"/>
        <v>容积率</v>
      </c>
      <c r="AA11" s="1506" t="e">
        <f t="shared" si="3"/>
        <v>#N/A</v>
      </c>
      <c r="AB11" s="1506" t="e">
        <f t="shared" si="4"/>
        <v>#N/A</v>
      </c>
      <c r="AC11" s="1506" t="e">
        <f t="shared" si="5"/>
        <v>#N/A</v>
      </c>
    </row>
    <row r="12" spans="1:29" s="1203" customFormat="1" ht="15">
      <c r="A12" s="2631"/>
      <c r="B12" s="2637">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554"/>
      <c r="Q12" s="1134">
        <f t="shared" si="6"/>
        <v>111</v>
      </c>
      <c r="R12" s="1503" t="s">
        <v>8</v>
      </c>
      <c r="S12" s="1504">
        <f t="shared" si="0"/>
        <v>100</v>
      </c>
      <c r="T12" s="1503" t="s">
        <v>8</v>
      </c>
      <c r="U12" s="1504">
        <f t="shared" si="1"/>
        <v>100</v>
      </c>
      <c r="V12" s="1503" t="s">
        <v>8</v>
      </c>
      <c r="W12" s="1504">
        <f t="shared" si="2"/>
        <v>100</v>
      </c>
      <c r="X12" s="1505"/>
      <c r="Y12" s="3443"/>
      <c r="Z12" s="1133">
        <f t="shared" si="7"/>
        <v>111</v>
      </c>
      <c r="AA12" s="1506">
        <f>D12/F12</f>
        <v>1</v>
      </c>
      <c r="AB12" s="1506">
        <f>D12/H12</f>
        <v>1</v>
      </c>
      <c r="AC12" s="1506">
        <f>D12/J12</f>
        <v>1</v>
      </c>
    </row>
    <row r="13" spans="1:29" ht="15">
      <c r="A13" s="2631"/>
      <c r="B13" s="2637">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554"/>
      <c r="Q13" s="1134">
        <f t="shared" si="6"/>
        <v>111</v>
      </c>
      <c r="R13" s="1503" t="s">
        <v>8</v>
      </c>
      <c r="S13" s="1504">
        <f t="shared" si="0"/>
        <v>100</v>
      </c>
      <c r="T13" s="1503" t="s">
        <v>8</v>
      </c>
      <c r="U13" s="1504">
        <f t="shared" si="1"/>
        <v>100</v>
      </c>
      <c r="V13" s="1503" t="s">
        <v>8</v>
      </c>
      <c r="W13" s="1504">
        <f t="shared" si="2"/>
        <v>100</v>
      </c>
      <c r="X13" s="1505"/>
      <c r="Y13" s="3443"/>
      <c r="Z13" s="1133">
        <f t="shared" si="7"/>
        <v>111</v>
      </c>
      <c r="AA13" s="1506">
        <f t="shared" si="3"/>
        <v>1</v>
      </c>
      <c r="AB13" s="1506">
        <f t="shared" si="4"/>
        <v>1</v>
      </c>
      <c r="AC13" s="1506">
        <f t="shared" si="5"/>
        <v>1</v>
      </c>
    </row>
    <row r="14" spans="1:29" ht="15.75" thickBot="1">
      <c r="A14" s="2632"/>
      <c r="B14" s="2638">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554"/>
      <c r="Q14" s="1134">
        <f t="shared" si="6"/>
        <v>111</v>
      </c>
      <c r="R14" s="1503" t="s">
        <v>8</v>
      </c>
      <c r="S14" s="1504">
        <f t="shared" si="0"/>
        <v>100</v>
      </c>
      <c r="T14" s="1503" t="s">
        <v>8</v>
      </c>
      <c r="U14" s="1504">
        <f t="shared" si="1"/>
        <v>100</v>
      </c>
      <c r="V14" s="1503" t="s">
        <v>8</v>
      </c>
      <c r="W14" s="1504">
        <f t="shared" si="2"/>
        <v>100</v>
      </c>
      <c r="X14" s="1505"/>
      <c r="Y14" s="3443"/>
      <c r="Z14" s="1133">
        <f t="shared" si="7"/>
        <v>111</v>
      </c>
      <c r="AA14" s="1506">
        <f t="shared" si="3"/>
        <v>1</v>
      </c>
      <c r="AB14" s="1506">
        <f t="shared" si="4"/>
        <v>1</v>
      </c>
      <c r="AC14" s="1506">
        <f t="shared" si="5"/>
        <v>1</v>
      </c>
    </row>
    <row r="15" spans="1:29" ht="171">
      <c r="A15" s="2624" t="s">
        <v>2687</v>
      </c>
      <c r="B15" s="164" t="s">
        <v>783</v>
      </c>
      <c r="C15" s="910" t="str">
        <f>估价对象房地状况!G3</f>
        <v>估价对象现状周边以产业用地为主，邻近周边有乐铁设备(北京)有限公司、综合信兴物流(南法信卫生院东北)、安博北京首都机场第二物流中心等，物流企业较多，产业集聚程度较好。</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548" t="s">
        <v>534</v>
      </c>
      <c r="Q15" s="1507" t="str">
        <f t="shared" si="6"/>
        <v>产业集聚程度</v>
      </c>
      <c r="R15" s="1508" t="s">
        <v>8</v>
      </c>
      <c r="S15" s="1509">
        <f t="shared" si="0"/>
        <v>100</v>
      </c>
      <c r="T15" s="1508" t="s">
        <v>8</v>
      </c>
      <c r="U15" s="1509">
        <f t="shared" si="1"/>
        <v>100</v>
      </c>
      <c r="V15" s="1508" t="s">
        <v>8</v>
      </c>
      <c r="W15" s="1509">
        <f t="shared" si="2"/>
        <v>100</v>
      </c>
      <c r="X15" s="1502"/>
      <c r="Y15" s="3548"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549"/>
      <c r="Q16" s="1507"/>
      <c r="R16" s="1508"/>
      <c r="S16" s="1509"/>
      <c r="T16" s="1508"/>
      <c r="U16" s="1509"/>
      <c r="V16" s="1508"/>
      <c r="W16" s="1509"/>
      <c r="X16" s="1502"/>
      <c r="Y16" s="3549"/>
      <c r="Z16" s="1510"/>
      <c r="AA16" s="1511">
        <v>1</v>
      </c>
      <c r="AB16" s="1511">
        <v>1</v>
      </c>
      <c r="AC16" s="1511">
        <v>1</v>
      </c>
    </row>
    <row r="17" spans="1:29" ht="85.5">
      <c r="A17" s="526"/>
      <c r="B17" s="860" t="s">
        <v>296</v>
      </c>
      <c r="C17" s="861" t="str">
        <f>估价对象房地状况!G4</f>
        <v>估价对象周边有顺2路、顺27路、顺28路、顺38路、顺43路、顺59路、顺60路等多条公交线路，距地铁15号线（南法信站）约500米，综合评价交通便捷度较好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549"/>
      <c r="Q17" s="1507" t="str">
        <f>B17</f>
        <v>交通便捷度</v>
      </c>
      <c r="R17" s="1508" t="s">
        <v>8</v>
      </c>
      <c r="S17" s="1509">
        <f>F17</f>
        <v>100</v>
      </c>
      <c r="T17" s="1508" t="s">
        <v>8</v>
      </c>
      <c r="U17" s="1509">
        <f>H17</f>
        <v>100</v>
      </c>
      <c r="V17" s="1508" t="s">
        <v>8</v>
      </c>
      <c r="W17" s="1509">
        <f>J17</f>
        <v>100</v>
      </c>
      <c r="X17" s="1502"/>
      <c r="Y17" s="3549"/>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549"/>
      <c r="Q18" s="1507"/>
      <c r="R18" s="1508"/>
      <c r="S18" s="1509"/>
      <c r="T18" s="1508"/>
      <c r="U18" s="1509"/>
      <c r="V18" s="1508"/>
      <c r="W18" s="1509"/>
      <c r="X18" s="1502"/>
      <c r="Y18" s="3549"/>
      <c r="Z18" s="1510"/>
      <c r="AA18" s="1511">
        <v>1</v>
      </c>
      <c r="AB18" s="1511">
        <v>1</v>
      </c>
      <c r="AC18" s="1511">
        <v>1</v>
      </c>
    </row>
    <row r="19" spans="1:29" ht="42.75">
      <c r="A19" s="526"/>
      <c r="B19" s="2444" t="s">
        <v>2480</v>
      </c>
      <c r="C19" s="861" t="str">
        <f>估价对象房地状况!G5</f>
        <v>估价对象所在区域公共配套设施齐备情况一般</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549"/>
      <c r="Q19" s="1507" t="str">
        <f>B19</f>
        <v>公共配套设施</v>
      </c>
      <c r="R19" s="1508" t="s">
        <v>8</v>
      </c>
      <c r="S19" s="1509">
        <f>F19</f>
        <v>100</v>
      </c>
      <c r="T19" s="1508" t="s">
        <v>8</v>
      </c>
      <c r="U19" s="1509">
        <f>H19</f>
        <v>100</v>
      </c>
      <c r="V19" s="1508" t="s">
        <v>8</v>
      </c>
      <c r="W19" s="1509">
        <f>J19</f>
        <v>100</v>
      </c>
      <c r="X19" s="1502"/>
      <c r="Y19" s="3549"/>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4"/>
      <c r="M20" s="2016"/>
      <c r="N20" s="2016"/>
      <c r="O20" s="2023"/>
      <c r="P20" s="3549"/>
      <c r="Q20" s="1507"/>
      <c r="R20" s="1508"/>
      <c r="S20" s="1509"/>
      <c r="T20" s="1508"/>
      <c r="U20" s="1509"/>
      <c r="V20" s="1508"/>
      <c r="W20" s="1509"/>
      <c r="X20" s="1502"/>
      <c r="Y20" s="3549"/>
      <c r="Z20" s="1510"/>
      <c r="AA20" s="1511">
        <v>1</v>
      </c>
      <c r="AB20" s="1511">
        <v>1</v>
      </c>
      <c r="AC20" s="1511">
        <v>1</v>
      </c>
    </row>
    <row r="21" spans="1:29" ht="28.5">
      <c r="A21" s="526"/>
      <c r="B21" s="2432" t="s">
        <v>2492</v>
      </c>
      <c r="C21" s="861" t="str">
        <f>估价对象房地状况!G6</f>
        <v>估价对象所在区域内基础设施配套条件达到“五通”（包括通路、通电、通讯、通上水、通下水），基本能够保证工作、生产需要，基础设施配套完善度一般。</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549"/>
      <c r="Q21" s="2426" t="str">
        <f>B21</f>
        <v>基础设施水平</v>
      </c>
      <c r="R21" s="1508" t="s">
        <v>8</v>
      </c>
      <c r="S21" s="1509">
        <f>F21</f>
        <v>100</v>
      </c>
      <c r="T21" s="1508" t="s">
        <v>8</v>
      </c>
      <c r="U21" s="1509">
        <f>H21</f>
        <v>100</v>
      </c>
      <c r="V21" s="1508" t="s">
        <v>8</v>
      </c>
      <c r="W21" s="1509">
        <f>J21</f>
        <v>100</v>
      </c>
      <c r="X21" s="2428"/>
      <c r="Y21" s="3549"/>
      <c r="Z21" s="2427" t="str">
        <f>Q21</f>
        <v>基础设施水平</v>
      </c>
      <c r="AA21" s="1511">
        <f>D21/F21</f>
        <v>1</v>
      </c>
      <c r="AB21" s="1511">
        <f>D21/H21</f>
        <v>1</v>
      </c>
      <c r="AC21" s="1511">
        <f>D21/J21</f>
        <v>1</v>
      </c>
    </row>
    <row r="22" spans="1:29" ht="15">
      <c r="A22" s="526"/>
      <c r="B22" s="572"/>
      <c r="C22" s="862"/>
      <c r="D22" s="549"/>
      <c r="E22" s="570"/>
      <c r="F22" s="551"/>
      <c r="G22" s="570"/>
      <c r="H22" s="549"/>
      <c r="I22" s="570"/>
      <c r="J22" s="549"/>
      <c r="K22" s="2443"/>
      <c r="L22" s="2024"/>
      <c r="M22" s="2016"/>
      <c r="N22" s="2016"/>
      <c r="O22" s="2023"/>
      <c r="P22" s="3549"/>
      <c r="Q22" s="2426"/>
      <c r="R22" s="1508"/>
      <c r="S22" s="1509"/>
      <c r="T22" s="1508"/>
      <c r="U22" s="1509"/>
      <c r="V22" s="1508"/>
      <c r="W22" s="1509"/>
      <c r="X22" s="2428"/>
      <c r="Y22" s="3549"/>
      <c r="Z22" s="2427"/>
      <c r="AA22" s="1511">
        <v>1</v>
      </c>
      <c r="AB22" s="1511">
        <v>1</v>
      </c>
      <c r="AC22" s="1511">
        <v>1</v>
      </c>
    </row>
    <row r="23" spans="1:29" ht="71.25">
      <c r="A23" s="526"/>
      <c r="B23" s="860" t="s">
        <v>772</v>
      </c>
      <c r="C23" s="861" t="str">
        <f>估价对象房地状况!G7</f>
        <v>区域自然环境：小众河；人文环境：国家新闻出版广电总局研修学院；综合评价环境状况一般</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549"/>
      <c r="Q23" s="1507" t="str">
        <f>B23</f>
        <v>环境质量</v>
      </c>
      <c r="R23" s="1508" t="s">
        <v>8</v>
      </c>
      <c r="S23" s="1509">
        <f>F23</f>
        <v>100</v>
      </c>
      <c r="T23" s="1508" t="s">
        <v>8</v>
      </c>
      <c r="U23" s="1509">
        <f>H23</f>
        <v>100</v>
      </c>
      <c r="V23" s="1508" t="s">
        <v>8</v>
      </c>
      <c r="W23" s="1509">
        <f>J23</f>
        <v>100</v>
      </c>
      <c r="X23" s="1502"/>
      <c r="Y23" s="3549"/>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4"/>
      <c r="M24" s="2016"/>
      <c r="N24" s="2016"/>
      <c r="O24" s="2023"/>
      <c r="P24" s="3549"/>
      <c r="Q24" s="1507"/>
      <c r="R24" s="1508"/>
      <c r="S24" s="1509"/>
      <c r="T24" s="1508"/>
      <c r="U24" s="1509"/>
      <c r="V24" s="1508"/>
      <c r="W24" s="1509"/>
      <c r="X24" s="1502"/>
      <c r="Y24" s="3549"/>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49"/>
      <c r="Q25" s="1507">
        <f>B25</f>
        <v>111</v>
      </c>
      <c r="R25" s="1508" t="s">
        <v>8</v>
      </c>
      <c r="S25" s="1509">
        <f>F25</f>
        <v>100</v>
      </c>
      <c r="T25" s="1508" t="s">
        <v>8</v>
      </c>
      <c r="U25" s="1509">
        <f>H25</f>
        <v>100</v>
      </c>
      <c r="V25" s="1508" t="s">
        <v>8</v>
      </c>
      <c r="W25" s="1509">
        <f>J25</f>
        <v>100</v>
      </c>
      <c r="X25" s="1502"/>
      <c r="Y25" s="3549"/>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49"/>
      <c r="Q26" s="1507">
        <f t="shared" ref="Q26:Q40" si="8">B26</f>
        <v>111</v>
      </c>
      <c r="R26" s="1508" t="s">
        <v>8</v>
      </c>
      <c r="S26" s="1509">
        <f>F26</f>
        <v>100</v>
      </c>
      <c r="T26" s="1508" t="s">
        <v>8</v>
      </c>
      <c r="U26" s="1509">
        <f>H26</f>
        <v>100</v>
      </c>
      <c r="V26" s="1508" t="s">
        <v>8</v>
      </c>
      <c r="W26" s="1509">
        <f>J26</f>
        <v>100</v>
      </c>
      <c r="X26" s="1502"/>
      <c r="Y26" s="3549"/>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49"/>
      <c r="Q27" s="1134">
        <f t="shared" si="8"/>
        <v>111</v>
      </c>
      <c r="R27" s="1503" t="s">
        <v>8</v>
      </c>
      <c r="S27" s="1504">
        <f>F27</f>
        <v>100</v>
      </c>
      <c r="T27" s="1503" t="s">
        <v>8</v>
      </c>
      <c r="U27" s="1504">
        <f>H27</f>
        <v>100</v>
      </c>
      <c r="V27" s="1503" t="s">
        <v>8</v>
      </c>
      <c r="W27" s="1504">
        <f>J27</f>
        <v>100</v>
      </c>
      <c r="X27" s="1505"/>
      <c r="Y27" s="3549"/>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549"/>
      <c r="Q28" s="1507">
        <f t="shared" si="8"/>
        <v>111</v>
      </c>
      <c r="R28" s="1508" t="s">
        <v>8</v>
      </c>
      <c r="S28" s="1509">
        <f t="shared" ref="S28:S40" si="9">F28</f>
        <v>100</v>
      </c>
      <c r="T28" s="1508" t="s">
        <v>8</v>
      </c>
      <c r="U28" s="1509">
        <f t="shared" ref="U28:U40" si="10">H28</f>
        <v>100</v>
      </c>
      <c r="V28" s="1508" t="s">
        <v>8</v>
      </c>
      <c r="W28" s="1509">
        <f t="shared" ref="W28:W40" si="11">J28</f>
        <v>100</v>
      </c>
      <c r="X28" s="1502"/>
      <c r="Y28" s="3549"/>
      <c r="Z28" s="1510">
        <f t="shared" ref="Z28:Z40" si="12">Q28</f>
        <v>111</v>
      </c>
      <c r="AA28" s="1511">
        <f t="shared" si="3"/>
        <v>1</v>
      </c>
      <c r="AB28" s="1511">
        <f t="shared" si="4"/>
        <v>1</v>
      </c>
      <c r="AC28" s="1511">
        <f t="shared" si="5"/>
        <v>1</v>
      </c>
    </row>
    <row r="29" spans="1:29" ht="15">
      <c r="A29" s="2621" t="s">
        <v>2688</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555" t="s">
        <v>544</v>
      </c>
      <c r="Q29" s="1507" t="str">
        <f t="shared" si="8"/>
        <v>建筑类型</v>
      </c>
      <c r="R29" s="1508" t="s">
        <v>8</v>
      </c>
      <c r="S29" s="1509">
        <f t="shared" si="9"/>
        <v>100</v>
      </c>
      <c r="T29" s="1508" t="s">
        <v>8</v>
      </c>
      <c r="U29" s="1509">
        <f t="shared" si="10"/>
        <v>100</v>
      </c>
      <c r="V29" s="1508" t="s">
        <v>8</v>
      </c>
      <c r="W29" s="1509">
        <f t="shared" si="11"/>
        <v>100</v>
      </c>
      <c r="X29" s="1502"/>
      <c r="Y29" s="3553" t="s">
        <v>544</v>
      </c>
      <c r="Z29" s="1510" t="str">
        <f t="shared" si="12"/>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53"/>
      <c r="Q30" s="1536" t="str">
        <f t="shared" si="8"/>
        <v>项目建筑规模</v>
      </c>
      <c r="R30" s="1512" t="s">
        <v>8</v>
      </c>
      <c r="S30" s="1513" t="e">
        <f t="shared" si="9"/>
        <v>#N/A</v>
      </c>
      <c r="T30" s="1512" t="s">
        <v>8</v>
      </c>
      <c r="U30" s="1513" t="e">
        <f t="shared" si="10"/>
        <v>#N/A</v>
      </c>
      <c r="V30" s="1512" t="s">
        <v>8</v>
      </c>
      <c r="W30" s="1513" t="e">
        <f t="shared" si="11"/>
        <v>#N/A</v>
      </c>
      <c r="X30" s="1514"/>
      <c r="Y30" s="3553"/>
      <c r="Z30" s="1515" t="str">
        <f t="shared" si="12"/>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53"/>
      <c r="Q31" s="1507" t="str">
        <f t="shared" si="8"/>
        <v>建筑结构</v>
      </c>
      <c r="R31" s="1508" t="s">
        <v>8</v>
      </c>
      <c r="S31" s="1509">
        <f t="shared" si="9"/>
        <v>100</v>
      </c>
      <c r="T31" s="1508" t="s">
        <v>8</v>
      </c>
      <c r="U31" s="1509">
        <f t="shared" si="10"/>
        <v>100</v>
      </c>
      <c r="V31" s="1508" t="s">
        <v>8</v>
      </c>
      <c r="W31" s="1509">
        <f t="shared" si="11"/>
        <v>100</v>
      </c>
      <c r="X31" s="1502"/>
      <c r="Y31" s="3553"/>
      <c r="Z31" s="1510" t="str">
        <f t="shared" si="12"/>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53"/>
      <c r="Q32" s="1507" t="str">
        <f t="shared" si="8"/>
        <v>公共部分装修</v>
      </c>
      <c r="R32" s="1508" t="s">
        <v>8</v>
      </c>
      <c r="S32" s="1509">
        <f t="shared" si="9"/>
        <v>100</v>
      </c>
      <c r="T32" s="1508" t="s">
        <v>8</v>
      </c>
      <c r="U32" s="1509">
        <f t="shared" si="10"/>
        <v>100</v>
      </c>
      <c r="V32" s="1508" t="s">
        <v>8</v>
      </c>
      <c r="W32" s="1509">
        <f t="shared" si="11"/>
        <v>100</v>
      </c>
      <c r="X32" s="1502"/>
      <c r="Y32" s="3553"/>
      <c r="Z32" s="1510" t="str">
        <f t="shared" si="12"/>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553"/>
      <c r="Q33" s="1507" t="str">
        <f t="shared" si="8"/>
        <v>成新度</v>
      </c>
      <c r="R33" s="1508" t="s">
        <v>8</v>
      </c>
      <c r="S33" s="1509" t="e">
        <f t="shared" si="9"/>
        <v>#N/A</v>
      </c>
      <c r="T33" s="1508" t="s">
        <v>8</v>
      </c>
      <c r="U33" s="1509" t="e">
        <f t="shared" si="10"/>
        <v>#N/A</v>
      </c>
      <c r="V33" s="1508" t="s">
        <v>8</v>
      </c>
      <c r="W33" s="1509" t="e">
        <f t="shared" si="11"/>
        <v>#N/A</v>
      </c>
      <c r="X33" s="1502"/>
      <c r="Y33" s="3553"/>
      <c r="Z33" s="1510" t="str">
        <f t="shared" si="12"/>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53"/>
      <c r="Q34" s="1134" t="str">
        <f t="shared" si="8"/>
        <v>物业管理</v>
      </c>
      <c r="R34" s="1503" t="s">
        <v>8</v>
      </c>
      <c r="S34" s="1504">
        <f t="shared" si="9"/>
        <v>100</v>
      </c>
      <c r="T34" s="1503" t="s">
        <v>8</v>
      </c>
      <c r="U34" s="1504">
        <f t="shared" si="10"/>
        <v>100</v>
      </c>
      <c r="V34" s="1503" t="s">
        <v>8</v>
      </c>
      <c r="W34" s="1504">
        <f t="shared" si="11"/>
        <v>100</v>
      </c>
      <c r="X34" s="1505"/>
      <c r="Y34" s="3553"/>
      <c r="Z34" s="1133" t="str">
        <f t="shared" si="12"/>
        <v>物业管理</v>
      </c>
      <c r="AA34" s="1506">
        <f t="shared" si="3"/>
        <v>1</v>
      </c>
      <c r="AB34" s="1506">
        <f t="shared" si="4"/>
        <v>1</v>
      </c>
      <c r="AC34" s="1506">
        <f t="shared" si="5"/>
        <v>1</v>
      </c>
    </row>
    <row r="35" spans="1:29" ht="15">
      <c r="A35" s="588"/>
      <c r="B35" s="1809" t="s">
        <v>2499</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53" t="s">
        <v>544</v>
      </c>
      <c r="Q35" s="1507" t="str">
        <f t="shared" si="8"/>
        <v>市政基础设施</v>
      </c>
      <c r="R35" s="1508" t="s">
        <v>8</v>
      </c>
      <c r="S35" s="1509">
        <f t="shared" si="9"/>
        <v>100</v>
      </c>
      <c r="T35" s="1508" t="s">
        <v>8</v>
      </c>
      <c r="U35" s="1509">
        <f t="shared" si="10"/>
        <v>100</v>
      </c>
      <c r="V35" s="1508" t="s">
        <v>8</v>
      </c>
      <c r="W35" s="1509">
        <f t="shared" si="11"/>
        <v>100</v>
      </c>
      <c r="X35" s="1502"/>
      <c r="Y35" s="3553" t="s">
        <v>544</v>
      </c>
      <c r="Z35" s="1510" t="str">
        <f t="shared" si="12"/>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53"/>
      <c r="Q36" s="1507" t="str">
        <f t="shared" si="8"/>
        <v>内部装修</v>
      </c>
      <c r="R36" s="1508" t="s">
        <v>8</v>
      </c>
      <c r="S36" s="1509">
        <f t="shared" si="9"/>
        <v>100</v>
      </c>
      <c r="T36" s="1508" t="s">
        <v>8</v>
      </c>
      <c r="U36" s="1509">
        <f t="shared" si="10"/>
        <v>100</v>
      </c>
      <c r="V36" s="1508" t="s">
        <v>8</v>
      </c>
      <c r="W36" s="1509">
        <f t="shared" si="11"/>
        <v>100</v>
      </c>
      <c r="X36" s="1502"/>
      <c r="Y36" s="3553"/>
      <c r="Z36" s="1510" t="str">
        <f t="shared" si="12"/>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53"/>
      <c r="Q37" s="1507" t="str">
        <f t="shared" si="8"/>
        <v>内部装修状况</v>
      </c>
      <c r="R37" s="1508" t="s">
        <v>8</v>
      </c>
      <c r="S37" s="1509">
        <f t="shared" si="9"/>
        <v>100</v>
      </c>
      <c r="T37" s="1508" t="s">
        <v>8</v>
      </c>
      <c r="U37" s="1509">
        <f t="shared" si="10"/>
        <v>100</v>
      </c>
      <c r="V37" s="1508" t="s">
        <v>8</v>
      </c>
      <c r="W37" s="1509">
        <f t="shared" si="11"/>
        <v>100</v>
      </c>
      <c r="X37" s="1502"/>
      <c r="Y37" s="3553"/>
      <c r="Z37" s="1510" t="str">
        <f t="shared" si="12"/>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553"/>
      <c r="Q38" s="1536">
        <f t="shared" si="8"/>
        <v>111</v>
      </c>
      <c r="R38" s="1512" t="s">
        <v>8</v>
      </c>
      <c r="S38" s="1513">
        <f t="shared" si="9"/>
        <v>100</v>
      </c>
      <c r="T38" s="1512" t="s">
        <v>8</v>
      </c>
      <c r="U38" s="1513">
        <f t="shared" si="10"/>
        <v>100</v>
      </c>
      <c r="V38" s="1512" t="s">
        <v>8</v>
      </c>
      <c r="W38" s="1513">
        <f t="shared" si="11"/>
        <v>100</v>
      </c>
      <c r="X38" s="1514"/>
      <c r="Y38" s="3553"/>
      <c r="Z38" s="1515">
        <f t="shared" si="12"/>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553"/>
      <c r="Q39" s="1507">
        <f t="shared" si="8"/>
        <v>111</v>
      </c>
      <c r="R39" s="1508" t="s">
        <v>8</v>
      </c>
      <c r="S39" s="1509">
        <f t="shared" si="9"/>
        <v>100</v>
      </c>
      <c r="T39" s="1508" t="s">
        <v>8</v>
      </c>
      <c r="U39" s="1509">
        <f t="shared" si="10"/>
        <v>100</v>
      </c>
      <c r="V39" s="1508" t="s">
        <v>8</v>
      </c>
      <c r="W39" s="1509">
        <f t="shared" si="11"/>
        <v>100</v>
      </c>
      <c r="X39" s="1502"/>
      <c r="Y39" s="3553"/>
      <c r="Z39" s="1510">
        <f t="shared" si="12"/>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642"/>
      <c r="Q40" s="1507">
        <f t="shared" si="8"/>
        <v>111</v>
      </c>
      <c r="R40" s="1508" t="s">
        <v>8</v>
      </c>
      <c r="S40" s="1509">
        <f t="shared" si="9"/>
        <v>100</v>
      </c>
      <c r="T40" s="1508" t="s">
        <v>8</v>
      </c>
      <c r="U40" s="1509">
        <f t="shared" si="10"/>
        <v>100</v>
      </c>
      <c r="V40" s="1508" t="s">
        <v>8</v>
      </c>
      <c r="W40" s="1509">
        <f t="shared" si="11"/>
        <v>100</v>
      </c>
      <c r="X40" s="1502"/>
      <c r="Y40" s="3642"/>
      <c r="Z40" s="1510">
        <f t="shared" si="12"/>
        <v>111</v>
      </c>
      <c r="AA40" s="1511">
        <f t="shared" si="3"/>
        <v>1</v>
      </c>
      <c r="AB40" s="1511">
        <f t="shared" si="4"/>
        <v>1</v>
      </c>
      <c r="AC40" s="1511">
        <f t="shared" si="5"/>
        <v>1</v>
      </c>
    </row>
    <row r="41" spans="1:29" ht="15">
      <c r="A41" s="601" t="s">
        <v>730</v>
      </c>
      <c r="B41" s="876"/>
      <c r="C41" s="2467" t="s">
        <v>1</v>
      </c>
      <c r="D41" s="2468"/>
      <c r="E41" s="2469"/>
      <c r="F41" s="2470"/>
      <c r="G41" s="2471"/>
      <c r="H41" s="2472"/>
      <c r="I41" s="2469"/>
      <c r="J41" s="2472"/>
      <c r="K41" s="1541"/>
      <c r="L41" s="2026"/>
      <c r="M41" s="2027"/>
      <c r="N41" s="2016"/>
      <c r="O41" s="2027"/>
      <c r="P41" s="3554" t="str">
        <f>A41</f>
        <v>成交单价（元/平方米）</v>
      </c>
      <c r="Q41" s="3554"/>
      <c r="R41" s="3640">
        <f>E41</f>
        <v>0</v>
      </c>
      <c r="S41" s="3640"/>
      <c r="T41" s="3640">
        <f>G41</f>
        <v>0</v>
      </c>
      <c r="U41" s="3640"/>
      <c r="V41" s="3640">
        <f>I41</f>
        <v>0</v>
      </c>
      <c r="W41" s="3640"/>
      <c r="X41" s="1497"/>
      <c r="Y41" s="1516"/>
      <c r="Z41" s="1497"/>
      <c r="AA41" s="1497"/>
      <c r="AB41" s="1497"/>
      <c r="AC41" s="1497"/>
    </row>
    <row r="42" spans="1:29" ht="15.75" thickBot="1">
      <c r="A42" s="609" t="s">
        <v>2693</v>
      </c>
      <c r="B42" s="877"/>
      <c r="C42" s="2473" t="e">
        <f>R43</f>
        <v>#DIV/0!</v>
      </c>
      <c r="D42" s="3008" t="s">
        <v>2915</v>
      </c>
      <c r="E42" s="2474" t="e">
        <f>R42</f>
        <v>#DIV/0!</v>
      </c>
      <c r="F42" s="3009"/>
      <c r="G42" s="2473" t="e">
        <f>T42</f>
        <v>#DIV/0!</v>
      </c>
      <c r="H42" s="3009"/>
      <c r="I42" s="2474" t="e">
        <f>V42</f>
        <v>#DIV/0!</v>
      </c>
      <c r="J42" s="3009"/>
      <c r="K42" s="3016">
        <f>F42+H42+J42</f>
        <v>0</v>
      </c>
      <c r="L42" s="2026"/>
      <c r="M42" s="2027"/>
      <c r="N42" s="2016"/>
      <c r="O42" s="2027"/>
      <c r="P42" s="3554" t="str">
        <f>A42</f>
        <v>比较价格（元/平方米）</v>
      </c>
      <c r="Q42" s="3554"/>
      <c r="R42" s="3640" t="e">
        <f>IF(F1="售价",ROUND(PRODUCT(R41,AA7:AA40),0),ROUND(PRODUCT(R41,AA7:AA40),1))</f>
        <v>#DIV/0!</v>
      </c>
      <c r="S42" s="3640"/>
      <c r="T42" s="3640" t="e">
        <f>IF(F1="售价",ROUND(PRODUCT(T41,AB7:AB40),0),ROUND(PRODUCT(T41,AB7:AB40),1))</f>
        <v>#DIV/0!</v>
      </c>
      <c r="U42" s="3640"/>
      <c r="V42" s="3640" t="e">
        <f>IF(F1="售价",ROUND(PRODUCT(V41,AC7:AC40),0),ROUND(PRODUCT(V41,AC7:AC40),1))</f>
        <v>#DIV/0!</v>
      </c>
      <c r="W42" s="3640"/>
      <c r="X42" s="1497"/>
      <c r="Y42" s="1497"/>
      <c r="Z42" s="1497"/>
      <c r="AA42" s="1497"/>
      <c r="AB42" s="1497"/>
      <c r="AC42" s="1497"/>
    </row>
    <row r="43" spans="1:29" ht="15.75" thickBot="1">
      <c r="A43" s="613" t="s">
        <v>2850</v>
      </c>
      <c r="B43" s="614"/>
      <c r="C43" s="2475" t="e">
        <f>R43</f>
        <v>#DIV/0!</v>
      </c>
      <c r="D43" s="2475"/>
      <c r="E43" s="2475"/>
      <c r="F43" s="2475"/>
      <c r="G43" s="2475"/>
      <c r="H43" s="2475"/>
      <c r="I43" s="2475"/>
      <c r="J43" s="2475"/>
      <c r="K43" s="1542"/>
      <c r="L43" s="2026"/>
      <c r="M43" s="2027"/>
      <c r="N43" s="2027"/>
      <c r="O43" s="2027"/>
      <c r="P43" s="3557" t="str">
        <f>A43</f>
        <v>估价对象XX用房的比较价格（楼面单价，元/平方米）</v>
      </c>
      <c r="Q43" s="3558"/>
      <c r="R43" s="3641" t="e">
        <f>IF(F1="售价",ROUND(IF(D42="简单平均",AVERAGE(R42:V42),R42*F42+T42*H42+V42*J42),0),ROUND(IF(D42="简单平均",AVERAGE(R42:V42),R42*F42+T42*H42+V42*J42),1))</f>
        <v>#DIV/0!</v>
      </c>
      <c r="S43" s="3641"/>
      <c r="T43" s="3641"/>
      <c r="U43" s="3641"/>
      <c r="V43" s="3641"/>
      <c r="W43" s="3641"/>
      <c r="X43" s="1497"/>
      <c r="Y43" s="1497"/>
      <c r="Z43" s="1497"/>
      <c r="AA43" s="1497"/>
      <c r="AB43" s="1497"/>
      <c r="AC43" s="1497"/>
    </row>
    <row r="44" spans="1:29">
      <c r="A44" s="3204"/>
      <c r="B44" s="3204"/>
      <c r="C44" s="3204"/>
      <c r="D44" s="3204"/>
      <c r="E44" s="3204"/>
      <c r="F44" s="3204"/>
      <c r="G44" s="3206"/>
      <c r="H44" s="3204"/>
      <c r="I44" s="3204"/>
      <c r="J44" s="3204"/>
      <c r="K44" s="3207"/>
      <c r="L44" s="2031"/>
      <c r="M44" s="2027"/>
      <c r="N44" s="2027"/>
      <c r="O44" s="2027"/>
      <c r="P44" s="2027"/>
      <c r="Q44" s="2027"/>
      <c r="R44" s="2027"/>
      <c r="S44" s="2027"/>
      <c r="T44" s="2027"/>
      <c r="U44" s="2027"/>
      <c r="V44" s="2027"/>
      <c r="W44" s="2027"/>
      <c r="X44" s="2027"/>
      <c r="Y44" s="2027"/>
      <c r="Z44" s="2027"/>
      <c r="AA44" s="2027"/>
      <c r="AB44" s="2027"/>
      <c r="AC44" s="2027"/>
    </row>
    <row r="45" spans="1:29">
      <c r="A45" s="3204"/>
      <c r="B45" s="3204"/>
      <c r="C45" s="3204"/>
      <c r="D45" s="3204"/>
      <c r="E45" s="3204"/>
      <c r="F45" s="3204"/>
      <c r="G45" s="3204"/>
      <c r="H45" s="3204"/>
      <c r="I45" s="3204"/>
      <c r="J45" s="3204"/>
      <c r="K45" s="320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04"/>
      <c r="B46" s="320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0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04"/>
      <c r="B47" s="320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07"/>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05"/>
      <c r="B48" s="320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08"/>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9" t="s">
        <v>568</v>
      </c>
      <c r="B51" s="1497"/>
      <c r="C51" s="1518"/>
      <c r="D51" s="1518"/>
      <c r="E51" s="1518"/>
      <c r="F51" s="1520"/>
      <c r="G51" s="1520"/>
      <c r="H51" s="1518"/>
      <c r="I51" s="1518"/>
      <c r="J51" s="1518"/>
      <c r="K51" s="1521"/>
      <c r="L51" s="1517"/>
      <c r="M51" s="1518"/>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6" t="str">
        <f>YEAR(C7)&amp;"-"&amp;MONTH(C7)</f>
        <v>2020-9</v>
      </c>
      <c r="D52" s="2518">
        <f>EDATE(C52,-1)</f>
        <v>44044</v>
      </c>
      <c r="E52" s="2518">
        <f t="shared" ref="E52:O52" si="13">EDATE(D52,-1)</f>
        <v>44013</v>
      </c>
      <c r="F52" s="2518">
        <f t="shared" si="13"/>
        <v>43983</v>
      </c>
      <c r="G52" s="2518">
        <f t="shared" si="13"/>
        <v>43952</v>
      </c>
      <c r="H52" s="2518">
        <f t="shared" si="13"/>
        <v>43922</v>
      </c>
      <c r="I52" s="2518">
        <f t="shared" si="13"/>
        <v>43891</v>
      </c>
      <c r="J52" s="2518">
        <f t="shared" si="13"/>
        <v>43862</v>
      </c>
      <c r="K52" s="2518">
        <f t="shared" si="13"/>
        <v>43831</v>
      </c>
      <c r="L52" s="2518">
        <f t="shared" si="13"/>
        <v>43800</v>
      </c>
      <c r="M52" s="2518">
        <f t="shared" si="13"/>
        <v>43770</v>
      </c>
      <c r="N52" s="2518">
        <f t="shared" si="13"/>
        <v>43739</v>
      </c>
      <c r="O52" s="2518">
        <f t="shared" si="13"/>
        <v>43709</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4">D62&amp;"（含）"&amp;"-"&amp;E62</f>
        <v>（含）-</v>
      </c>
      <c r="E61" s="674" t="str">
        <f t="shared" si="14"/>
        <v>（含）-</v>
      </c>
      <c r="F61" s="674" t="str">
        <f t="shared" si="14"/>
        <v>（含）-</v>
      </c>
      <c r="G61" s="674" t="str">
        <f t="shared" si="14"/>
        <v>（含）-</v>
      </c>
      <c r="H61" s="674" t="str">
        <f t="shared" si="14"/>
        <v>（含）-</v>
      </c>
      <c r="I61" s="674" t="str">
        <f t="shared" si="14"/>
        <v>（含）-</v>
      </c>
      <c r="J61" s="674" t="str">
        <f t="shared" si="14"/>
        <v>（含）-</v>
      </c>
      <c r="K61" s="674" t="str">
        <f t="shared" si="14"/>
        <v>（含）-</v>
      </c>
      <c r="L61" s="674" t="str">
        <f t="shared" si="14"/>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5">C63-$K11</f>
        <v>100</v>
      </c>
      <c r="E63" s="671">
        <f t="shared" si="15"/>
        <v>100</v>
      </c>
      <c r="F63" s="671">
        <f t="shared" si="15"/>
        <v>100</v>
      </c>
      <c r="G63" s="671">
        <f t="shared" si="15"/>
        <v>100</v>
      </c>
      <c r="H63" s="671">
        <f t="shared" si="15"/>
        <v>100</v>
      </c>
      <c r="I63" s="671">
        <f t="shared" si="15"/>
        <v>100</v>
      </c>
      <c r="J63" s="671">
        <f t="shared" si="15"/>
        <v>100</v>
      </c>
      <c r="K63" s="671">
        <f t="shared" si="15"/>
        <v>100</v>
      </c>
      <c r="L63" s="671">
        <f t="shared" si="15"/>
        <v>100</v>
      </c>
      <c r="M63" s="672">
        <f t="shared" si="15"/>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2491</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38" t="s">
        <v>2492</v>
      </c>
      <c r="C76" s="2439" t="s">
        <v>2493</v>
      </c>
      <c r="D76" s="2439" t="s">
        <v>2494</v>
      </c>
      <c r="E76" s="2439" t="s">
        <v>2495</v>
      </c>
      <c r="F76" s="2439" t="s">
        <v>2496</v>
      </c>
      <c r="G76" s="2439" t="s">
        <v>2497</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6">C89-$K29</f>
        <v>100</v>
      </c>
      <c r="E89" s="671">
        <f t="shared" si="16"/>
        <v>100</v>
      </c>
      <c r="F89" s="671">
        <f t="shared" si="16"/>
        <v>100</v>
      </c>
      <c r="G89" s="671">
        <f t="shared" si="16"/>
        <v>100</v>
      </c>
      <c r="H89" s="671">
        <f t="shared" si="16"/>
        <v>100</v>
      </c>
      <c r="I89" s="671">
        <f t="shared" si="16"/>
        <v>100</v>
      </c>
      <c r="J89" s="671">
        <f t="shared" si="16"/>
        <v>100</v>
      </c>
      <c r="K89" s="671">
        <f t="shared" si="16"/>
        <v>100</v>
      </c>
      <c r="L89" s="671">
        <f t="shared" si="16"/>
        <v>100</v>
      </c>
      <c r="M89" s="672">
        <f t="shared" si="16"/>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17">D91&amp;"(含)"&amp;"-"&amp;E91</f>
        <v>(含)-</v>
      </c>
      <c r="E90" s="700" t="str">
        <f t="shared" si="17"/>
        <v>(含)-</v>
      </c>
      <c r="F90" s="700" t="str">
        <f t="shared" si="17"/>
        <v>(含)-</v>
      </c>
      <c r="G90" s="700" t="str">
        <f t="shared" si="17"/>
        <v>(含)-</v>
      </c>
      <c r="H90" s="700" t="str">
        <f t="shared" si="17"/>
        <v>(含)-</v>
      </c>
      <c r="I90" s="700" t="str">
        <f t="shared" si="17"/>
        <v>(含)-</v>
      </c>
      <c r="J90" s="700" t="str">
        <f t="shared" si="17"/>
        <v>(含)-</v>
      </c>
      <c r="K90" s="700" t="str">
        <f t="shared" si="17"/>
        <v>(含)-</v>
      </c>
      <c r="L90" s="700" t="str">
        <f t="shared" si="17"/>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18">C94-$K31</f>
        <v>100</v>
      </c>
      <c r="E94" s="671">
        <f t="shared" si="18"/>
        <v>100</v>
      </c>
      <c r="F94" s="671">
        <f t="shared" si="18"/>
        <v>100</v>
      </c>
      <c r="G94" s="671">
        <f t="shared" si="18"/>
        <v>100</v>
      </c>
      <c r="H94" s="671">
        <f t="shared" si="18"/>
        <v>100</v>
      </c>
      <c r="I94" s="671">
        <f t="shared" si="18"/>
        <v>100</v>
      </c>
      <c r="J94" s="671">
        <f t="shared" si="18"/>
        <v>100</v>
      </c>
      <c r="K94" s="671">
        <f t="shared" si="18"/>
        <v>100</v>
      </c>
      <c r="L94" s="671">
        <f t="shared" si="18"/>
        <v>100</v>
      </c>
      <c r="M94" s="672">
        <f t="shared" si="18"/>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19">C96-$K32</f>
        <v>100</v>
      </c>
      <c r="E96" s="671">
        <f t="shared" si="19"/>
        <v>100</v>
      </c>
      <c r="F96" s="671">
        <f t="shared" si="19"/>
        <v>100</v>
      </c>
      <c r="G96" s="671">
        <f t="shared" si="19"/>
        <v>100</v>
      </c>
      <c r="H96" s="671">
        <f t="shared" si="19"/>
        <v>100</v>
      </c>
      <c r="I96" s="671">
        <f t="shared" si="19"/>
        <v>100</v>
      </c>
      <c r="J96" s="671">
        <f t="shared" si="19"/>
        <v>100</v>
      </c>
      <c r="K96" s="671">
        <f t="shared" si="19"/>
        <v>100</v>
      </c>
      <c r="L96" s="671">
        <f t="shared" si="19"/>
        <v>100</v>
      </c>
      <c r="M96" s="672">
        <f t="shared" si="19"/>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0">D99+$K33</f>
        <v>100</v>
      </c>
      <c r="F99" s="671">
        <f t="shared" si="20"/>
        <v>100</v>
      </c>
      <c r="G99" s="671">
        <f t="shared" si="20"/>
        <v>100</v>
      </c>
      <c r="H99" s="671">
        <f t="shared" si="20"/>
        <v>100</v>
      </c>
      <c r="I99" s="671">
        <f t="shared" si="20"/>
        <v>100</v>
      </c>
      <c r="J99" s="671">
        <f t="shared" si="20"/>
        <v>100</v>
      </c>
      <c r="K99" s="671">
        <f t="shared" si="20"/>
        <v>100</v>
      </c>
      <c r="L99" s="671">
        <f t="shared" si="20"/>
        <v>100</v>
      </c>
      <c r="M99" s="671">
        <f t="shared" si="20"/>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1">D101-$K34</f>
        <v>100</v>
      </c>
      <c r="F101" s="671">
        <f t="shared" si="21"/>
        <v>100</v>
      </c>
      <c r="G101" s="671">
        <f t="shared" si="21"/>
        <v>100</v>
      </c>
      <c r="H101" s="671">
        <f t="shared" si="21"/>
        <v>100</v>
      </c>
      <c r="I101" s="671">
        <f t="shared" si="21"/>
        <v>100</v>
      </c>
      <c r="J101" s="671">
        <f t="shared" si="21"/>
        <v>100</v>
      </c>
      <c r="K101" s="671">
        <f t="shared" si="21"/>
        <v>100</v>
      </c>
      <c r="L101" s="671">
        <f t="shared" si="21"/>
        <v>100</v>
      </c>
      <c r="M101" s="671">
        <f t="shared" si="21"/>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2490</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2">C103-$K35</f>
        <v>100</v>
      </c>
      <c r="E103" s="671">
        <f t="shared" si="22"/>
        <v>100</v>
      </c>
      <c r="F103" s="671">
        <f t="shared" si="22"/>
        <v>100</v>
      </c>
      <c r="G103" s="671">
        <f t="shared" si="22"/>
        <v>100</v>
      </c>
      <c r="H103" s="671">
        <f t="shared" si="22"/>
        <v>100</v>
      </c>
      <c r="I103" s="671">
        <f t="shared" si="22"/>
        <v>100</v>
      </c>
      <c r="J103" s="671">
        <f t="shared" si="22"/>
        <v>100</v>
      </c>
      <c r="K103" s="671">
        <f t="shared" si="22"/>
        <v>100</v>
      </c>
      <c r="L103" s="671">
        <f t="shared" si="22"/>
        <v>100</v>
      </c>
      <c r="M103" s="672">
        <f t="shared" si="22"/>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3">C107-$K37</f>
        <v>100</v>
      </c>
      <c r="E107" s="671">
        <f t="shared" si="23"/>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9:P14"/>
    <mergeCell ref="Y9:Y14"/>
    <mergeCell ref="Y7:Z7"/>
    <mergeCell ref="R4:S6"/>
    <mergeCell ref="AC4:AC6"/>
    <mergeCell ref="T4:U6"/>
    <mergeCell ref="V4:W6"/>
    <mergeCell ref="AB4:AB6"/>
    <mergeCell ref="AA4:AA6"/>
    <mergeCell ref="P8:Q8"/>
    <mergeCell ref="Y8:Z8"/>
    <mergeCell ref="Y4:Z6"/>
    <mergeCell ref="P7:Q7"/>
    <mergeCell ref="C4:D4"/>
    <mergeCell ref="E4:F4"/>
    <mergeCell ref="G4:H4"/>
    <mergeCell ref="I4:J4"/>
    <mergeCell ref="P4:Q6"/>
    <mergeCell ref="E5:F5"/>
    <mergeCell ref="C5:D5"/>
    <mergeCell ref="C6:D6"/>
    <mergeCell ref="I5:J5"/>
    <mergeCell ref="E6:F6"/>
    <mergeCell ref="G6:H6"/>
    <mergeCell ref="I6:J6"/>
    <mergeCell ref="G5:H5"/>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5" type="noConversion"/>
  <conditionalFormatting sqref="F46 H46">
    <cfRule type="containsText" dxfId="113" priority="20" stopIfTrue="1" operator="containsText" text="超过">
      <formula>NOT(ISERROR(SEARCH("超过",F46)))</formula>
    </cfRule>
  </conditionalFormatting>
  <conditionalFormatting sqref="H48">
    <cfRule type="containsText" dxfId="112" priority="19" stopIfTrue="1" operator="containsText" text="超过">
      <formula>NOT(ISERROR(SEARCH("超过",H48)))</formula>
    </cfRule>
  </conditionalFormatting>
  <conditionalFormatting sqref="F48">
    <cfRule type="containsText" dxfId="111" priority="18" stopIfTrue="1" operator="containsText" text="超过">
      <formula>NOT(ISERROR(SEARCH("超过",F48)))</formula>
    </cfRule>
  </conditionalFormatting>
  <conditionalFormatting sqref="F47 H47">
    <cfRule type="containsText" dxfId="110" priority="17" stopIfTrue="1" operator="containsText" text="超过">
      <formula>NOT(ISERROR(SEARCH("超过",F47)))</formula>
    </cfRule>
  </conditionalFormatting>
  <conditionalFormatting sqref="E46">
    <cfRule type="expression" dxfId="109" priority="16" stopIfTrue="1">
      <formula>$F$46="超过30%"</formula>
    </cfRule>
  </conditionalFormatting>
  <conditionalFormatting sqref="E47">
    <cfRule type="expression" dxfId="108" priority="15" stopIfTrue="1">
      <formula>$F$47="超过20%"</formula>
    </cfRule>
  </conditionalFormatting>
  <conditionalFormatting sqref="E48">
    <cfRule type="expression" dxfId="107" priority="14" stopIfTrue="1">
      <formula>$F$48="超过30%"</formula>
    </cfRule>
  </conditionalFormatting>
  <conditionalFormatting sqref="G48">
    <cfRule type="expression" dxfId="106" priority="13" stopIfTrue="1">
      <formula>$H$48="超过30%"</formula>
    </cfRule>
  </conditionalFormatting>
  <conditionalFormatting sqref="G46">
    <cfRule type="expression" dxfId="105" priority="12" stopIfTrue="1">
      <formula>$H$46="超过30%"</formula>
    </cfRule>
  </conditionalFormatting>
  <conditionalFormatting sqref="G47">
    <cfRule type="expression" dxfId="104" priority="11" stopIfTrue="1">
      <formula>$H$47="超过20%"</formula>
    </cfRule>
  </conditionalFormatting>
  <conditionalFormatting sqref="J46">
    <cfRule type="containsText" dxfId="103" priority="10" stopIfTrue="1" operator="containsText" text="超过">
      <formula>NOT(ISERROR(SEARCH("超过",J46)))</formula>
    </cfRule>
  </conditionalFormatting>
  <conditionalFormatting sqref="J48">
    <cfRule type="containsText" dxfId="102" priority="9" stopIfTrue="1" operator="containsText" text="超过">
      <formula>NOT(ISERROR(SEARCH("超过",J48)))</formula>
    </cfRule>
  </conditionalFormatting>
  <conditionalFormatting sqref="J47">
    <cfRule type="containsText" dxfId="101" priority="8" stopIfTrue="1" operator="containsText" text="超过">
      <formula>NOT(ISERROR(SEARCH("超过",J47)))</formula>
    </cfRule>
  </conditionalFormatting>
  <conditionalFormatting sqref="I46">
    <cfRule type="expression" dxfId="100" priority="7" stopIfTrue="1">
      <formula>$J$46="超过30%"</formula>
    </cfRule>
  </conditionalFormatting>
  <conditionalFormatting sqref="I47">
    <cfRule type="expression" dxfId="99" priority="6" stopIfTrue="1">
      <formula>$J$47="超过20%"</formula>
    </cfRule>
  </conditionalFormatting>
  <conditionalFormatting sqref="I48">
    <cfRule type="expression" dxfId="98" priority="5" stopIfTrue="1">
      <formula>$J$48="超过30%"</formula>
    </cfRule>
  </conditionalFormatting>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F7:F40 H7:H40 J7:J40">
    <cfRule type="cellIs" dxfId="94"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D14" sqref="D14"/>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11465</v>
      </c>
      <c r="C2" s="3258"/>
      <c r="D2" s="3258"/>
      <c r="E2" s="3258"/>
      <c r="F2" s="3258"/>
      <c r="G2" s="3258"/>
    </row>
    <row r="3" spans="1:25" s="1942" customFormat="1" ht="18" customHeight="1">
      <c r="A3" s="1331" t="s">
        <v>1676</v>
      </c>
      <c r="B3" s="419">
        <f ca="1">ROUND(B2*10000/'数据-汇总表'!E3,0)</f>
        <v>17514</v>
      </c>
      <c r="C3" s="3258"/>
      <c r="D3" s="3258"/>
      <c r="E3" s="3258"/>
      <c r="F3" s="3258"/>
      <c r="G3" s="3258"/>
    </row>
    <row r="4" spans="1:25" s="1942" customFormat="1" ht="18" customHeight="1">
      <c r="A4" s="420" t="s">
        <v>462</v>
      </c>
      <c r="B4" s="421">
        <f ca="1">ROUND(B2*10000/'数据-汇总表'!D3,0)</f>
        <v>5183</v>
      </c>
      <c r="C4" s="3211"/>
      <c r="D4" s="3258"/>
      <c r="E4" s="3258"/>
      <c r="F4" s="3258"/>
      <c r="G4" s="3258"/>
    </row>
    <row r="5" spans="1:25" s="1942" customFormat="1" ht="18" customHeight="1" thickBot="1">
      <c r="A5" s="423"/>
      <c r="B5" s="424">
        <f ca="1">ROUND(B2/('数据-汇总表'!D3/666.67),0)</f>
        <v>346</v>
      </c>
      <c r="C5" s="425" t="s">
        <v>463</v>
      </c>
      <c r="D5" s="3258"/>
      <c r="E5" s="3258"/>
      <c r="F5" s="3258"/>
      <c r="G5" s="3258"/>
    </row>
    <row r="6" spans="1:25" s="2064" customFormat="1" ht="13.5" customHeight="1">
      <c r="A6" s="735"/>
      <c r="B6" s="736" t="s">
        <v>598</v>
      </c>
      <c r="C6" s="737" t="s">
        <v>599</v>
      </c>
      <c r="D6" s="737" t="s">
        <v>600</v>
      </c>
      <c r="E6" s="738" t="s">
        <v>601</v>
      </c>
      <c r="F6" s="738" t="s">
        <v>602</v>
      </c>
      <c r="G6" s="3257" t="s">
        <v>2941</v>
      </c>
    </row>
    <row r="7" spans="1:25" s="2064" customFormat="1" ht="13.5" customHeight="1">
      <c r="A7" s="2323">
        <v>1</v>
      </c>
      <c r="B7" s="739" t="s">
        <v>603</v>
      </c>
      <c r="C7" s="740">
        <f>C8+C9</f>
        <v>9518</v>
      </c>
      <c r="D7" s="740"/>
      <c r="E7" s="741"/>
      <c r="F7" s="741"/>
      <c r="G7" s="2332" t="s">
        <v>2973</v>
      </c>
    </row>
    <row r="8" spans="1:25" s="2064" customFormat="1" ht="13.5" customHeight="1">
      <c r="A8" s="2323" t="s">
        <v>2377</v>
      </c>
      <c r="B8" s="2326" t="s">
        <v>2379</v>
      </c>
      <c r="C8" s="3261">
        <f>ROUND(D8*E8/10000,0)</f>
        <v>9518</v>
      </c>
      <c r="D8" s="3261">
        <f>'数据-基础表'!A3</f>
        <v>22121.8</v>
      </c>
      <c r="E8" s="3262">
        <f>土地案例!O60</f>
        <v>4302.3999999999996</v>
      </c>
      <c r="F8" s="741"/>
      <c r="G8" s="742"/>
    </row>
    <row r="9" spans="1:25" s="2064" customFormat="1" ht="13.5" customHeight="1">
      <c r="A9" s="2323" t="s">
        <v>2378</v>
      </c>
      <c r="B9" s="2326" t="s">
        <v>2380</v>
      </c>
      <c r="C9" s="3261">
        <f>ROUND(D9*E9/10000,0)</f>
        <v>0</v>
      </c>
      <c r="D9" s="3261">
        <v>0</v>
      </c>
      <c r="E9" s="3262">
        <v>0</v>
      </c>
      <c r="F9" s="741"/>
      <c r="G9" s="742"/>
    </row>
    <row r="10" spans="1:25" s="2064" customFormat="1" ht="36">
      <c r="A10" s="2323">
        <v>2</v>
      </c>
      <c r="B10" s="739" t="s">
        <v>607</v>
      </c>
      <c r="C10" s="740">
        <f>C11+C14+C15</f>
        <v>343</v>
      </c>
      <c r="D10" s="750"/>
      <c r="E10" s="740"/>
      <c r="F10" s="751"/>
      <c r="G10" s="749" t="s">
        <v>608</v>
      </c>
    </row>
    <row r="11" spans="1:25" s="2064" customFormat="1" ht="13.5" customHeight="1">
      <c r="A11" s="2323" t="s">
        <v>2377</v>
      </c>
      <c r="B11" s="743" t="s">
        <v>604</v>
      </c>
      <c r="C11" s="744">
        <f>'数据-取费表'!B29</f>
        <v>343</v>
      </c>
      <c r="D11" s="745"/>
      <c r="E11" s="744"/>
      <c r="F11" s="746"/>
      <c r="G11" s="2331" t="s">
        <v>2388</v>
      </c>
    </row>
    <row r="12" spans="1:25" s="2064" customFormat="1" ht="13.5" customHeight="1">
      <c r="A12" s="2329" t="s">
        <v>2385</v>
      </c>
      <c r="B12" s="747" t="s">
        <v>605</v>
      </c>
      <c r="C12" s="748">
        <f>ROUND(D12*E12/10000,0)</f>
        <v>0</v>
      </c>
      <c r="D12" s="3261">
        <f>'数据-汇总表'!E5</f>
        <v>0</v>
      </c>
      <c r="E12" s="3261">
        <f>'数据-取费表'!B27</f>
        <v>0</v>
      </c>
      <c r="F12" s="746"/>
      <c r="G12" s="749"/>
    </row>
    <row r="13" spans="1:25" s="2064" customFormat="1" ht="13.5" customHeight="1">
      <c r="A13" s="2329" t="s">
        <v>2384</v>
      </c>
      <c r="B13" s="747" t="s">
        <v>606</v>
      </c>
      <c r="C13" s="748">
        <f>ROUND(D13*E13/10000,0)</f>
        <v>343</v>
      </c>
      <c r="D13" s="3261">
        <f>D8</f>
        <v>22121.8</v>
      </c>
      <c r="E13" s="3261">
        <v>155</v>
      </c>
      <c r="F13" s="746"/>
      <c r="G13" s="749"/>
    </row>
    <row r="14" spans="1:25" s="2064" customFormat="1" ht="13.5" customHeight="1">
      <c r="A14" s="2323" t="s">
        <v>2378</v>
      </c>
      <c r="B14" s="2328" t="s">
        <v>2381</v>
      </c>
      <c r="C14" s="3263">
        <f>ROUND(D14*E14/10000,0)</f>
        <v>0</v>
      </c>
      <c r="D14" s="3261">
        <v>0</v>
      </c>
      <c r="E14" s="3262">
        <v>0</v>
      </c>
      <c r="F14" s="2327"/>
      <c r="G14" s="2330" t="s">
        <v>2386</v>
      </c>
    </row>
    <row r="15" spans="1:25" s="2064" customFormat="1" ht="13.5" customHeight="1">
      <c r="A15" s="2323" t="s">
        <v>2383</v>
      </c>
      <c r="B15" s="2328" t="s">
        <v>2382</v>
      </c>
      <c r="C15" s="3263">
        <f>ROUND(D15*E15/10000,0)</f>
        <v>0</v>
      </c>
      <c r="D15" s="3261">
        <v>0</v>
      </c>
      <c r="E15" s="3262">
        <v>0</v>
      </c>
      <c r="F15" s="2327"/>
      <c r="G15" s="2330" t="s">
        <v>2387</v>
      </c>
    </row>
    <row r="16" spans="1:25" s="2065" customFormat="1" ht="48">
      <c r="A16" s="2323">
        <v>3</v>
      </c>
      <c r="B16" s="739" t="s">
        <v>609</v>
      </c>
      <c r="C16" s="3263">
        <f>ROUND(D16*E16/10000,0)</f>
        <v>0</v>
      </c>
      <c r="D16" s="3261">
        <v>0</v>
      </c>
      <c r="E16" s="3262">
        <v>0</v>
      </c>
      <c r="F16" s="751"/>
      <c r="G16" s="749" t="s">
        <v>2389</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2">
        <f ca="1">ROUND(IF('数据-取费表'!B19&lt;=1,((C7+C16)*'数据-取费表'!B19+C10*'数据-取费表'!B19/2)*F17,((C7+C16)*(POWER((1+F17),'数据-取费表'!B19)-1)+C10*(POWER((1+F17),'数据-取费表'!B19/2)-1))),0)</f>
        <v>421</v>
      </c>
      <c r="D17" s="752"/>
      <c r="E17" s="753"/>
      <c r="F17" s="754">
        <f ca="1">存贷款利率!E3</f>
        <v>4.3499999999999997E-2</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1183</v>
      </c>
      <c r="D18" s="752"/>
      <c r="E18" s="753"/>
      <c r="F18" s="1302">
        <v>0.12</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11465</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2">
        <v>0</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11465</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11465</v>
      </c>
      <c r="D22" s="750"/>
      <c r="E22" s="740"/>
      <c r="F22" s="756">
        <v>1</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35" customHeight="1" thickBot="1">
      <c r="A23" s="2325">
        <v>10</v>
      </c>
      <c r="B23" s="757" t="s">
        <v>621</v>
      </c>
      <c r="C23" s="758">
        <f ca="1">C22</f>
        <v>11465</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60" customFormat="1">
      <c r="A24" s="3259"/>
      <c r="C24" s="3260">
        <f ca="1">C23*10000/D8</f>
        <v>5182.6704879349782</v>
      </c>
      <c r="D24" s="1884"/>
      <c r="E24" s="1884"/>
    </row>
    <row r="25" spans="1:25" s="3260" customFormat="1">
      <c r="A25" s="3259"/>
      <c r="D25" s="1884"/>
      <c r="E25" s="1884"/>
    </row>
    <row r="26" spans="1:25" s="3260" customFormat="1">
      <c r="A26" s="3259"/>
      <c r="D26" s="1884"/>
      <c r="E26" s="1884"/>
    </row>
    <row r="27" spans="1:25" s="3260" customFormat="1">
      <c r="A27" s="3259"/>
      <c r="D27" s="1884"/>
      <c r="E27" s="1884"/>
    </row>
    <row r="28" spans="1:25" s="3260" customFormat="1">
      <c r="A28" s="3259"/>
      <c r="D28" s="1884"/>
      <c r="E28" s="1884"/>
    </row>
    <row r="29" spans="1:25" s="3260" customFormat="1">
      <c r="A29" s="3259"/>
      <c r="D29" s="1884"/>
      <c r="E29" s="1884"/>
    </row>
    <row r="30" spans="1:25" s="3260" customFormat="1">
      <c r="A30" s="3259"/>
      <c r="D30" s="1884"/>
      <c r="E30" s="1884"/>
    </row>
    <row r="31" spans="1:25" s="3260" customFormat="1">
      <c r="A31" s="3259"/>
      <c r="D31" s="1884"/>
      <c r="E31" s="1884"/>
    </row>
    <row r="32" spans="1:25" s="3260" customFormat="1">
      <c r="A32" s="3259"/>
      <c r="D32" s="1884"/>
      <c r="E32" s="1884"/>
    </row>
    <row r="33" spans="1:5" s="3260" customFormat="1">
      <c r="A33" s="3259"/>
      <c r="D33" s="1884"/>
      <c r="E33" s="1884"/>
    </row>
    <row r="34" spans="1:5" s="3260" customFormat="1">
      <c r="A34" s="3259"/>
      <c r="D34" s="1884"/>
      <c r="E34" s="1884"/>
    </row>
    <row r="35" spans="1:5" s="3260" customFormat="1">
      <c r="A35" s="3259"/>
      <c r="D35" s="1884"/>
      <c r="E35" s="1884"/>
    </row>
    <row r="36" spans="1:5" s="3260" customFormat="1">
      <c r="A36" s="3259"/>
      <c r="D36" s="1884"/>
      <c r="E36" s="1884"/>
    </row>
    <row r="37" spans="1:5" s="3260" customFormat="1">
      <c r="A37" s="3259"/>
      <c r="D37" s="1884"/>
      <c r="E37" s="1884"/>
    </row>
    <row r="38" spans="1:5" s="3260" customFormat="1">
      <c r="A38" s="3259"/>
      <c r="D38" s="1884"/>
      <c r="E38" s="1884"/>
    </row>
    <row r="39" spans="1:5" s="3260" customFormat="1">
      <c r="A39" s="3259"/>
      <c r="D39" s="1884"/>
      <c r="E39" s="1884"/>
    </row>
    <row r="40" spans="1:5" s="3260" customFormat="1">
      <c r="A40" s="3259"/>
      <c r="D40" s="1884"/>
      <c r="E40" s="1884"/>
    </row>
    <row r="41" spans="1:5" s="3260" customFormat="1">
      <c r="A41" s="3259"/>
      <c r="D41" s="1884"/>
      <c r="E41" s="1884"/>
    </row>
    <row r="42" spans="1:5" s="3260" customFormat="1">
      <c r="A42" s="3259"/>
      <c r="D42" s="1884"/>
      <c r="E42" s="1884"/>
    </row>
    <row r="43" spans="1:5" s="3260" customFormat="1">
      <c r="A43" s="3259"/>
      <c r="D43" s="1884"/>
      <c r="E43" s="1884"/>
    </row>
    <row r="44" spans="1:5" s="3260" customFormat="1">
      <c r="A44" s="3259"/>
      <c r="D44" s="1884"/>
      <c r="E44" s="1884"/>
    </row>
    <row r="45" spans="1:5" s="3260" customFormat="1">
      <c r="A45" s="3259"/>
      <c r="D45" s="1884"/>
      <c r="E45" s="1884"/>
    </row>
    <row r="46" spans="1:5" s="3260" customFormat="1">
      <c r="A46" s="3259"/>
      <c r="D46" s="1884"/>
      <c r="E46" s="1884"/>
    </row>
    <row r="47" spans="1:5" s="3260" customFormat="1">
      <c r="A47" s="3259"/>
      <c r="D47" s="1884"/>
      <c r="E47" s="1884"/>
    </row>
    <row r="48" spans="1:5" s="3260" customFormat="1">
      <c r="A48" s="3259"/>
      <c r="D48" s="1884"/>
      <c r="E48" s="1884"/>
    </row>
    <row r="49" spans="1:5" s="3260" customFormat="1">
      <c r="A49" s="3259"/>
      <c r="D49" s="1884"/>
      <c r="E49" s="1884"/>
    </row>
    <row r="50" spans="1:5" s="3260" customFormat="1">
      <c r="A50" s="3259"/>
      <c r="D50" s="1884"/>
      <c r="E50" s="1884"/>
    </row>
    <row r="51" spans="1:5" s="3260" customFormat="1">
      <c r="A51" s="3259"/>
      <c r="D51" s="1884"/>
      <c r="E51" s="1884"/>
    </row>
    <row r="52" spans="1:5" s="3260" customFormat="1">
      <c r="A52" s="3259"/>
      <c r="D52" s="1884"/>
      <c r="E52" s="1884"/>
    </row>
    <row r="53" spans="1:5" s="3260" customFormat="1">
      <c r="A53" s="3259"/>
      <c r="D53" s="1884"/>
      <c r="E53" s="1884"/>
    </row>
    <row r="54" spans="1:5" s="3260" customFormat="1">
      <c r="A54" s="3259"/>
      <c r="D54" s="1884"/>
      <c r="E54" s="1884"/>
    </row>
    <row r="55" spans="1:5" s="3260" customFormat="1">
      <c r="A55" s="3259"/>
      <c r="D55" s="1884"/>
      <c r="E55" s="1884"/>
    </row>
    <row r="56" spans="1:5" s="3260" customFormat="1">
      <c r="A56" s="3259"/>
      <c r="D56" s="1884"/>
      <c r="E56" s="1884"/>
    </row>
    <row r="57" spans="1:5" s="3260" customFormat="1">
      <c r="A57" s="3259"/>
      <c r="D57" s="1884"/>
      <c r="E57" s="1884"/>
    </row>
    <row r="58" spans="1:5" s="3260" customFormat="1">
      <c r="A58" s="3259"/>
      <c r="D58" s="1884"/>
      <c r="E58" s="1884"/>
    </row>
    <row r="59" spans="1:5" s="3260" customFormat="1">
      <c r="A59" s="3259"/>
      <c r="D59" s="1884"/>
      <c r="E59" s="1884"/>
    </row>
    <row r="60" spans="1:5" s="3260" customFormat="1">
      <c r="A60" s="3259"/>
      <c r="D60" s="1884"/>
      <c r="E60" s="1884"/>
    </row>
    <row r="61" spans="1:5" s="3260" customFormat="1">
      <c r="A61" s="3259"/>
      <c r="D61" s="1884"/>
      <c r="E61" s="1884"/>
    </row>
    <row r="62" spans="1:5" s="3260" customFormat="1">
      <c r="A62" s="3259"/>
      <c r="D62" s="1884"/>
      <c r="E62" s="1884"/>
    </row>
    <row r="63" spans="1:5" s="3260" customFormat="1">
      <c r="A63" s="3259"/>
      <c r="D63" s="1884"/>
      <c r="E63" s="1884"/>
    </row>
  </sheetData>
  <sheetProtection password="CEE9" sheet="1" objects="1" scenarios="1" formatCells="0" formatColumns="0" formatRows="0"/>
  <phoneticPr fontId="13"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7"/>
    </sheetView>
  </sheetViews>
  <sheetFormatPr defaultColWidth="9" defaultRowHeight="14.25"/>
  <cols>
    <col min="1" max="1" width="10.5" style="1291" customWidth="1"/>
    <col min="2" max="2" width="15.625" style="1291" customWidth="1"/>
    <col min="3" max="3" width="15.125" style="1291" customWidth="1"/>
    <col min="4" max="4" width="12.125" style="1291" customWidth="1"/>
    <col min="5" max="5" width="14.375" style="1291" customWidth="1"/>
    <col min="6" max="6" width="12.125" style="1291" customWidth="1"/>
    <col min="7" max="7" width="14.5" style="1291" customWidth="1"/>
    <col min="8" max="8" width="12.125" style="1291" customWidth="1"/>
    <col min="9" max="9" width="14.5" style="1291" customWidth="1"/>
    <col min="10" max="10" width="12.125" style="1291" customWidth="1"/>
    <col min="11" max="11" width="12.125" style="1296" customWidth="1"/>
    <col min="12" max="12" width="12.125" style="1297" customWidth="1"/>
    <col min="13" max="15" width="12.125" style="1291" customWidth="1"/>
    <col min="16" max="16" width="4.625" style="1291" customWidth="1"/>
    <col min="17" max="17" width="19.5" style="1291" customWidth="1"/>
    <col min="18" max="22" width="6.125" style="1291" customWidth="1"/>
    <col min="23" max="23" width="5.625" style="1291" customWidth="1"/>
    <col min="24" max="24" width="4.125" style="1291" customWidth="1"/>
    <col min="25" max="25" width="3.5" style="1291" customWidth="1"/>
    <col min="26" max="26" width="19.625" style="1291" customWidth="1"/>
    <col min="27" max="28" width="9.375" style="1291" customWidth="1"/>
    <col min="29" max="16384" width="9" style="1291"/>
  </cols>
  <sheetData>
    <row r="1" spans="1:29" s="1290" customFormat="1" ht="28.5" customHeight="1">
      <c r="A1" s="496" t="s">
        <v>712</v>
      </c>
      <c r="B1" s="2464" t="s">
        <v>713</v>
      </c>
      <c r="C1" s="2465" t="s">
        <v>714</v>
      </c>
      <c r="D1" s="2466"/>
      <c r="E1" s="2009"/>
      <c r="F1" s="2521"/>
      <c r="G1" s="1532" t="s">
        <v>715</v>
      </c>
      <c r="H1" s="500"/>
      <c r="I1" s="500"/>
      <c r="J1" s="500"/>
      <c r="K1" s="501"/>
      <c r="L1" s="3200"/>
      <c r="M1" s="3201"/>
      <c r="N1" s="3201"/>
      <c r="O1" s="3201"/>
      <c r="P1" s="1500"/>
      <c r="Q1" s="1500"/>
      <c r="R1" s="1500"/>
      <c r="S1" s="1500"/>
      <c r="T1" s="1500"/>
      <c r="U1" s="1500"/>
      <c r="V1" s="1500"/>
      <c r="W1" s="1500"/>
      <c r="X1" s="1500"/>
      <c r="Y1" s="1500"/>
      <c r="Z1" s="1500"/>
      <c r="AA1" s="1500"/>
      <c r="AB1" s="1500"/>
      <c r="AC1" s="1501"/>
    </row>
    <row r="2" spans="1:29" s="1315" customFormat="1" ht="28.5" customHeight="1">
      <c r="A2" s="417" t="s">
        <v>461</v>
      </c>
      <c r="B2" s="2463" t="e">
        <f>ROUND(B3*D3/10000,0)</f>
        <v>#DIV/0!</v>
      </c>
      <c r="C2" s="2009"/>
      <c r="D2" s="2009"/>
      <c r="E2" s="2009"/>
      <c r="F2" s="2082"/>
      <c r="G2" s="2009"/>
      <c r="H2" s="2009"/>
      <c r="I2" s="2009"/>
      <c r="J2" s="2009"/>
      <c r="K2" s="2083"/>
      <c r="L2" s="2084"/>
      <c r="M2" s="2085"/>
      <c r="N2" s="2085"/>
      <c r="O2" s="2085"/>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3"/>
      <c r="Q3" s="1533"/>
      <c r="R3" s="1533"/>
      <c r="S3" s="1533"/>
      <c r="T3" s="1533"/>
      <c r="U3" s="1533"/>
      <c r="V3" s="1533"/>
      <c r="W3" s="1533"/>
      <c r="X3" s="1533"/>
      <c r="Y3" s="1533"/>
      <c r="Z3" s="1533"/>
      <c r="AA3" s="1533"/>
      <c r="AB3" s="1533"/>
      <c r="AC3" s="1535"/>
    </row>
    <row r="4" spans="1:29" ht="15">
      <c r="A4" s="506" t="s">
        <v>515</v>
      </c>
      <c r="B4" s="507"/>
      <c r="C4" s="3523" t="s">
        <v>516</v>
      </c>
      <c r="D4" s="3524"/>
      <c r="E4" s="3525" t="s">
        <v>517</v>
      </c>
      <c r="F4" s="3526"/>
      <c r="G4" s="3523" t="s">
        <v>518</v>
      </c>
      <c r="H4" s="3524"/>
      <c r="I4" s="3523" t="s">
        <v>519</v>
      </c>
      <c r="J4" s="3524"/>
      <c r="K4" s="842" t="s">
        <v>520</v>
      </c>
      <c r="L4" s="2015"/>
      <c r="M4" s="2016"/>
      <c r="N4" s="2016"/>
      <c r="O4" s="2016"/>
      <c r="P4" s="3527" t="s">
        <v>521</v>
      </c>
      <c r="Q4" s="3528"/>
      <c r="R4" s="3533" t="s">
        <v>517</v>
      </c>
      <c r="S4" s="3534"/>
      <c r="T4" s="3533" t="s">
        <v>518</v>
      </c>
      <c r="U4" s="3534"/>
      <c r="V4" s="3539" t="s">
        <v>519</v>
      </c>
      <c r="W4" s="3539"/>
      <c r="X4" s="1502"/>
      <c r="Y4" s="3533" t="s">
        <v>521</v>
      </c>
      <c r="Z4" s="3534"/>
      <c r="AA4" s="3520" t="s">
        <v>517</v>
      </c>
      <c r="AB4" s="3520" t="s">
        <v>518</v>
      </c>
      <c r="AC4" s="3520" t="s">
        <v>519</v>
      </c>
    </row>
    <row r="5" spans="1:29" ht="15">
      <c r="A5" s="509"/>
      <c r="B5" s="510"/>
      <c r="C5" s="3542" t="s">
        <v>2844</v>
      </c>
      <c r="D5" s="3543"/>
      <c r="E5" s="3540" t="s">
        <v>2845</v>
      </c>
      <c r="F5" s="3541"/>
      <c r="G5" s="3542" t="s">
        <v>2846</v>
      </c>
      <c r="H5" s="3543"/>
      <c r="I5" s="3542" t="s">
        <v>2847</v>
      </c>
      <c r="J5" s="3543"/>
      <c r="K5" s="843"/>
      <c r="L5" s="2015"/>
      <c r="M5" s="2016"/>
      <c r="N5" s="2016"/>
      <c r="O5" s="2016"/>
      <c r="P5" s="3529"/>
      <c r="Q5" s="3530"/>
      <c r="R5" s="3535"/>
      <c r="S5" s="3536"/>
      <c r="T5" s="3535"/>
      <c r="U5" s="3536"/>
      <c r="V5" s="3539"/>
      <c r="W5" s="3539"/>
      <c r="X5" s="1502"/>
      <c r="Y5" s="3535"/>
      <c r="Z5" s="3536"/>
      <c r="AA5" s="3521"/>
      <c r="AB5" s="3521"/>
      <c r="AC5" s="3521"/>
    </row>
    <row r="6" spans="1:29" ht="15.75" thickBot="1">
      <c r="A6" s="511"/>
      <c r="B6" s="512"/>
      <c r="C6" s="3544" t="s">
        <v>2848</v>
      </c>
      <c r="D6" s="3545"/>
      <c r="E6" s="3546" t="s">
        <v>2848</v>
      </c>
      <c r="F6" s="3547"/>
      <c r="G6" s="3544" t="s">
        <v>2848</v>
      </c>
      <c r="H6" s="3545"/>
      <c r="I6" s="3544" t="s">
        <v>2848</v>
      </c>
      <c r="J6" s="3545"/>
      <c r="K6" s="843" t="s">
        <v>522</v>
      </c>
      <c r="L6" s="2015"/>
      <c r="M6" s="2016"/>
      <c r="N6" s="2016"/>
      <c r="O6" s="2016"/>
      <c r="P6" s="3531"/>
      <c r="Q6" s="3532"/>
      <c r="R6" s="3535"/>
      <c r="S6" s="3536"/>
      <c r="T6" s="3537"/>
      <c r="U6" s="3538"/>
      <c r="V6" s="3539"/>
      <c r="W6" s="3539"/>
      <c r="X6" s="1502"/>
      <c r="Y6" s="3537"/>
      <c r="Z6" s="3538"/>
      <c r="AA6" s="3522"/>
      <c r="AB6" s="3522"/>
      <c r="AC6" s="3522"/>
    </row>
    <row r="7" spans="1:29" s="1203" customFormat="1" ht="15.75" thickBot="1">
      <c r="A7" s="2626"/>
      <c r="B7" s="2633" t="s">
        <v>523</v>
      </c>
      <c r="C7" s="513">
        <f>'数据-取费表'!B2</f>
        <v>44097</v>
      </c>
      <c r="D7" s="514">
        <v>100</v>
      </c>
      <c r="E7" s="515"/>
      <c r="F7" s="516">
        <f>SUMIF(58:58,YEAR(E7)&amp;"-"&amp;MONTH(E7),59:59)</f>
        <v>0</v>
      </c>
      <c r="G7" s="517"/>
      <c r="H7" s="514">
        <f>SUMIF(58:58,YEAR(G7)&amp;"-"&amp;MONTH(G7),59:59)</f>
        <v>0</v>
      </c>
      <c r="I7" s="517"/>
      <c r="J7" s="514">
        <f>SUMIF(58:58,YEAR(I7)&amp;"-"&amp;MONTH(I7),59:59)</f>
        <v>0</v>
      </c>
      <c r="K7" s="844"/>
      <c r="L7" s="2017"/>
      <c r="M7" s="2018"/>
      <c r="N7" s="2018"/>
      <c r="O7" s="2018"/>
      <c r="P7" s="3550" t="s">
        <v>524</v>
      </c>
      <c r="Q7" s="3552"/>
      <c r="R7" s="1503" t="s">
        <v>13</v>
      </c>
      <c r="S7" s="1504">
        <f t="shared" ref="S7:S15" si="0">F7</f>
        <v>0</v>
      </c>
      <c r="T7" s="1503" t="s">
        <v>13</v>
      </c>
      <c r="U7" s="1504">
        <f t="shared" ref="U7:U15" si="1">H7</f>
        <v>0</v>
      </c>
      <c r="V7" s="1503" t="s">
        <v>13</v>
      </c>
      <c r="W7" s="1504">
        <f t="shared" ref="W7:W15" si="2">J7</f>
        <v>0</v>
      </c>
      <c r="X7" s="1505"/>
      <c r="Y7" s="3550" t="s">
        <v>524</v>
      </c>
      <c r="Z7" s="3551"/>
      <c r="AA7" s="1506" t="e">
        <f>D7/F7</f>
        <v>#DIV/0!</v>
      </c>
      <c r="AB7" s="1506" t="e">
        <f>D7/H7</f>
        <v>#DIV/0!</v>
      </c>
      <c r="AC7" s="1506" t="e">
        <f>D7/J7</f>
        <v>#DIV/0!</v>
      </c>
    </row>
    <row r="8" spans="1:29" s="1203" customFormat="1" ht="15.75" thickBot="1">
      <c r="A8" s="2627"/>
      <c r="B8" s="2634"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3550" t="s">
        <v>527</v>
      </c>
      <c r="Q8" s="3551"/>
      <c r="R8" s="1503" t="s">
        <v>13</v>
      </c>
      <c r="S8" s="1504">
        <f t="shared" si="0"/>
        <v>0</v>
      </c>
      <c r="T8" s="1503" t="s">
        <v>13</v>
      </c>
      <c r="U8" s="1504">
        <f t="shared" si="1"/>
        <v>0</v>
      </c>
      <c r="V8" s="1503" t="s">
        <v>13</v>
      </c>
      <c r="W8" s="1504">
        <f t="shared" si="2"/>
        <v>0</v>
      </c>
      <c r="X8" s="1505"/>
      <c r="Y8" s="3550" t="s">
        <v>527</v>
      </c>
      <c r="Z8" s="3551"/>
      <c r="AA8" s="1506" t="e">
        <f t="shared" ref="AA8:AA46" si="3">D8/F8</f>
        <v>#DIV/0!</v>
      </c>
      <c r="AB8" s="1506" t="e">
        <f t="shared" ref="AB8:AB46" si="4">D8/H8</f>
        <v>#DIV/0!</v>
      </c>
      <c r="AC8" s="1506" t="e">
        <f t="shared" ref="AC8:AC46" si="5">D8/J8</f>
        <v>#DIV/0!</v>
      </c>
    </row>
    <row r="9" spans="1:29" s="1203" customFormat="1" ht="15">
      <c r="A9" s="2628"/>
      <c r="B9" s="2635" t="s">
        <v>2689</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3554" t="s">
        <v>529</v>
      </c>
      <c r="Q9" s="1134" t="str">
        <f t="shared" ref="Q9:Q15" si="6">B9</f>
        <v>用途</v>
      </c>
      <c r="R9" s="1503" t="s">
        <v>8</v>
      </c>
      <c r="S9" s="1504">
        <f t="shared" si="0"/>
        <v>100</v>
      </c>
      <c r="T9" s="1503" t="s">
        <v>8</v>
      </c>
      <c r="U9" s="1504">
        <f t="shared" si="1"/>
        <v>100</v>
      </c>
      <c r="V9" s="1503" t="s">
        <v>8</v>
      </c>
      <c r="W9" s="1504">
        <f t="shared" si="2"/>
        <v>100</v>
      </c>
      <c r="X9" s="1505"/>
      <c r="Y9" s="3443" t="s">
        <v>530</v>
      </c>
      <c r="Z9" s="1133" t="str">
        <f t="shared" ref="Z9:Z15" si="7">Q9</f>
        <v>用途</v>
      </c>
      <c r="AA9" s="1506">
        <f t="shared" si="3"/>
        <v>1</v>
      </c>
      <c r="AB9" s="1506">
        <f t="shared" si="4"/>
        <v>1</v>
      </c>
      <c r="AC9" s="1506">
        <f t="shared" si="5"/>
        <v>1</v>
      </c>
    </row>
    <row r="10" spans="1:29" s="1292" customFormat="1" ht="27">
      <c r="A10" s="2629"/>
      <c r="B10" s="2634" t="s">
        <v>2690</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554"/>
      <c r="Q10" s="1134" t="str">
        <f t="shared" si="6"/>
        <v>土地使用年限（年）</v>
      </c>
      <c r="R10" s="1503" t="s">
        <v>8</v>
      </c>
      <c r="S10" s="1504">
        <f t="shared" si="0"/>
        <v>100</v>
      </c>
      <c r="T10" s="1503" t="s">
        <v>8</v>
      </c>
      <c r="U10" s="1504">
        <f t="shared" si="1"/>
        <v>100</v>
      </c>
      <c r="V10" s="1503" t="s">
        <v>8</v>
      </c>
      <c r="W10" s="1504">
        <f t="shared" si="2"/>
        <v>100</v>
      </c>
      <c r="X10" s="1505"/>
      <c r="Y10" s="3443"/>
      <c r="Z10" s="1133" t="str">
        <f t="shared" si="7"/>
        <v>土地使用年限（年）</v>
      </c>
      <c r="AA10" s="1506">
        <f t="shared" si="3"/>
        <v>1</v>
      </c>
      <c r="AB10" s="1506">
        <f t="shared" si="4"/>
        <v>1</v>
      </c>
      <c r="AC10" s="1506">
        <f t="shared" si="5"/>
        <v>1</v>
      </c>
    </row>
    <row r="11" spans="1:29" ht="15">
      <c r="A11" s="2630"/>
      <c r="B11" s="2634" t="s">
        <v>2691</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3554"/>
      <c r="Q11" s="1134" t="str">
        <f t="shared" si="6"/>
        <v>容积率</v>
      </c>
      <c r="R11" s="1503" t="s">
        <v>11</v>
      </c>
      <c r="S11" s="1504" t="e">
        <f t="shared" si="0"/>
        <v>#N/A</v>
      </c>
      <c r="T11" s="1503" t="s">
        <v>11</v>
      </c>
      <c r="U11" s="1504" t="e">
        <f t="shared" si="1"/>
        <v>#N/A</v>
      </c>
      <c r="V11" s="1503" t="s">
        <v>11</v>
      </c>
      <c r="W11" s="1504" t="e">
        <f t="shared" si="2"/>
        <v>#N/A</v>
      </c>
      <c r="X11" s="1505"/>
      <c r="Y11" s="3443"/>
      <c r="Z11" s="1133" t="str">
        <f t="shared" si="7"/>
        <v>容积率</v>
      </c>
      <c r="AA11" s="1506" t="e">
        <f t="shared" si="3"/>
        <v>#N/A</v>
      </c>
      <c r="AB11" s="1506" t="e">
        <f t="shared" si="4"/>
        <v>#N/A</v>
      </c>
      <c r="AC11" s="1506" t="e">
        <f t="shared" si="5"/>
        <v>#N/A</v>
      </c>
    </row>
    <row r="12" spans="1:29" s="1203" customFormat="1" ht="15">
      <c r="A12" s="2631"/>
      <c r="B12" s="2637">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554"/>
      <c r="Q12" s="1134">
        <f t="shared" si="6"/>
        <v>111</v>
      </c>
      <c r="R12" s="1503" t="s">
        <v>11</v>
      </c>
      <c r="S12" s="1504">
        <f t="shared" si="0"/>
        <v>100</v>
      </c>
      <c r="T12" s="1503" t="s">
        <v>11</v>
      </c>
      <c r="U12" s="1504">
        <f t="shared" si="1"/>
        <v>100</v>
      </c>
      <c r="V12" s="1503" t="s">
        <v>11</v>
      </c>
      <c r="W12" s="1504">
        <f t="shared" si="2"/>
        <v>100</v>
      </c>
      <c r="X12" s="1505"/>
      <c r="Y12" s="3443"/>
      <c r="Z12" s="1133">
        <f t="shared" si="7"/>
        <v>111</v>
      </c>
      <c r="AA12" s="1506">
        <f>D12/F12</f>
        <v>1</v>
      </c>
      <c r="AB12" s="1506">
        <f>D12/H12</f>
        <v>1</v>
      </c>
      <c r="AC12" s="1506">
        <f>D12/J12</f>
        <v>1</v>
      </c>
    </row>
    <row r="13" spans="1:29" ht="15">
      <c r="A13" s="2631"/>
      <c r="B13" s="2637">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554"/>
      <c r="Q13" s="1134">
        <f t="shared" si="6"/>
        <v>111</v>
      </c>
      <c r="R13" s="1503" t="s">
        <v>11</v>
      </c>
      <c r="S13" s="1504">
        <f t="shared" si="0"/>
        <v>100</v>
      </c>
      <c r="T13" s="1503" t="s">
        <v>11</v>
      </c>
      <c r="U13" s="1504">
        <f t="shared" si="1"/>
        <v>100</v>
      </c>
      <c r="V13" s="1503" t="s">
        <v>11</v>
      </c>
      <c r="W13" s="1504">
        <f t="shared" si="2"/>
        <v>100</v>
      </c>
      <c r="X13" s="1505"/>
      <c r="Y13" s="3443"/>
      <c r="Z13" s="1133">
        <f t="shared" si="7"/>
        <v>111</v>
      </c>
      <c r="AA13" s="1506">
        <f t="shared" si="3"/>
        <v>1</v>
      </c>
      <c r="AB13" s="1506">
        <f t="shared" si="4"/>
        <v>1</v>
      </c>
      <c r="AC13" s="1506">
        <f t="shared" si="5"/>
        <v>1</v>
      </c>
    </row>
    <row r="14" spans="1:29" ht="15.75" thickBot="1">
      <c r="A14" s="2632"/>
      <c r="B14" s="2638">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554"/>
      <c r="Q14" s="1134">
        <f t="shared" si="6"/>
        <v>111</v>
      </c>
      <c r="R14" s="1503" t="s">
        <v>11</v>
      </c>
      <c r="S14" s="1504">
        <f t="shared" si="0"/>
        <v>100</v>
      </c>
      <c r="T14" s="1503" t="s">
        <v>11</v>
      </c>
      <c r="U14" s="1504">
        <f t="shared" si="1"/>
        <v>100</v>
      </c>
      <c r="V14" s="1503" t="s">
        <v>11</v>
      </c>
      <c r="W14" s="1504">
        <f t="shared" si="2"/>
        <v>100</v>
      </c>
      <c r="X14" s="1505"/>
      <c r="Y14" s="3443"/>
      <c r="Z14" s="1133">
        <f t="shared" si="7"/>
        <v>111</v>
      </c>
      <c r="AA14" s="1506">
        <f t="shared" si="3"/>
        <v>1</v>
      </c>
      <c r="AB14" s="1506">
        <f t="shared" si="4"/>
        <v>1</v>
      </c>
      <c r="AC14" s="1506">
        <f t="shared" si="5"/>
        <v>1</v>
      </c>
    </row>
    <row r="15" spans="1:29" ht="99.75">
      <c r="A15" s="2624" t="s">
        <v>2687</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548" t="s">
        <v>534</v>
      </c>
      <c r="Q15" s="1507" t="str">
        <f t="shared" si="6"/>
        <v>居住社区成熟度</v>
      </c>
      <c r="R15" s="1508" t="s">
        <v>11</v>
      </c>
      <c r="S15" s="1509">
        <f t="shared" si="0"/>
        <v>100</v>
      </c>
      <c r="T15" s="1508" t="s">
        <v>11</v>
      </c>
      <c r="U15" s="1509">
        <f t="shared" si="1"/>
        <v>100</v>
      </c>
      <c r="V15" s="1508" t="s">
        <v>11</v>
      </c>
      <c r="W15" s="1509">
        <f t="shared" si="2"/>
        <v>100</v>
      </c>
      <c r="X15" s="1502"/>
      <c r="Y15" s="3548"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4"/>
      <c r="M16" s="2016"/>
      <c r="N16" s="2016"/>
      <c r="O16" s="2023"/>
      <c r="P16" s="3549"/>
      <c r="Q16" s="1507"/>
      <c r="R16" s="1508"/>
      <c r="S16" s="1509"/>
      <c r="T16" s="1508"/>
      <c r="U16" s="1509"/>
      <c r="V16" s="1508"/>
      <c r="W16" s="1509"/>
      <c r="X16" s="1502"/>
      <c r="Y16" s="3549"/>
      <c r="Z16" s="1510"/>
      <c r="AA16" s="1511">
        <v>1</v>
      </c>
      <c r="AB16" s="1511">
        <v>1</v>
      </c>
      <c r="AC16" s="1511">
        <v>1</v>
      </c>
    </row>
    <row r="17" spans="1:29" ht="142.5">
      <c r="A17" s="526"/>
      <c r="B17" s="860" t="s">
        <v>296</v>
      </c>
      <c r="C17" s="861" t="str">
        <f>估价对象房地状况!C6</f>
        <v>估价对象周边有顺2路、顺27路、顺28路、顺38路、顺43路、顺59路、顺60路等多条公交线路，距地铁15号线（南法信站）约500米，综合评价交通便捷度较好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549"/>
      <c r="Q17" s="1507" t="str">
        <f>B17</f>
        <v>交通便捷度</v>
      </c>
      <c r="R17" s="1508" t="s">
        <v>11</v>
      </c>
      <c r="S17" s="1509">
        <f>F17</f>
        <v>100</v>
      </c>
      <c r="T17" s="1508" t="s">
        <v>11</v>
      </c>
      <c r="U17" s="1509">
        <f>H17</f>
        <v>100</v>
      </c>
      <c r="V17" s="1508" t="s">
        <v>11</v>
      </c>
      <c r="W17" s="1509">
        <f>J17</f>
        <v>100</v>
      </c>
      <c r="X17" s="1502"/>
      <c r="Y17" s="3549"/>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4"/>
      <c r="M18" s="2016"/>
      <c r="N18" s="2016"/>
      <c r="O18" s="2023"/>
      <c r="P18" s="3549"/>
      <c r="Q18" s="1507"/>
      <c r="R18" s="1508"/>
      <c r="S18" s="1509"/>
      <c r="T18" s="1508"/>
      <c r="U18" s="1509"/>
      <c r="V18" s="1508"/>
      <c r="W18" s="1509"/>
      <c r="X18" s="1502"/>
      <c r="Y18" s="3549"/>
      <c r="Z18" s="1510"/>
      <c r="AA18" s="1511">
        <v>1</v>
      </c>
      <c r="AB18" s="1511">
        <v>1</v>
      </c>
      <c r="AC18" s="1511">
        <v>1</v>
      </c>
    </row>
    <row r="19" spans="1:29" ht="42.75">
      <c r="A19" s="526"/>
      <c r="B19" s="2441" t="s">
        <v>2480</v>
      </c>
      <c r="C19" s="861" t="str">
        <f>估价对象房地状况!C7</f>
        <v>估价对象所在区域公共配套设施齐备情况一般</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549"/>
      <c r="Q19" s="1507" t="str">
        <f>B19</f>
        <v>公共配套设施</v>
      </c>
      <c r="R19" s="1508" t="s">
        <v>11</v>
      </c>
      <c r="S19" s="1509">
        <f>F19</f>
        <v>100</v>
      </c>
      <c r="T19" s="1508" t="s">
        <v>11</v>
      </c>
      <c r="U19" s="1509">
        <f>H19</f>
        <v>100</v>
      </c>
      <c r="V19" s="1508" t="s">
        <v>11</v>
      </c>
      <c r="W19" s="1509">
        <f>J19</f>
        <v>100</v>
      </c>
      <c r="X19" s="1502"/>
      <c r="Y19" s="3549"/>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4"/>
      <c r="M20" s="2016"/>
      <c r="N20" s="2016"/>
      <c r="O20" s="2023"/>
      <c r="P20" s="3549"/>
      <c r="Q20" s="1507"/>
      <c r="R20" s="1508"/>
      <c r="S20" s="1509"/>
      <c r="T20" s="1508"/>
      <c r="U20" s="1509"/>
      <c r="V20" s="1508"/>
      <c r="W20" s="1509"/>
      <c r="X20" s="1502"/>
      <c r="Y20" s="3549"/>
      <c r="Z20" s="1510"/>
      <c r="AA20" s="1511">
        <v>1</v>
      </c>
      <c r="AB20" s="1511">
        <v>1</v>
      </c>
      <c r="AC20" s="1511">
        <v>1</v>
      </c>
    </row>
    <row r="21" spans="1:29" ht="28.5">
      <c r="A21" s="526"/>
      <c r="B21" s="2434" t="s">
        <v>2492</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549"/>
      <c r="Q21" s="2426" t="str">
        <f>B21</f>
        <v>基础设施水平</v>
      </c>
      <c r="R21" s="1508" t="s">
        <v>11</v>
      </c>
      <c r="S21" s="1509">
        <f>F21</f>
        <v>100</v>
      </c>
      <c r="T21" s="1508" t="s">
        <v>11</v>
      </c>
      <c r="U21" s="1509">
        <f>H21</f>
        <v>100</v>
      </c>
      <c r="V21" s="1508" t="s">
        <v>11</v>
      </c>
      <c r="W21" s="1509">
        <f>J21</f>
        <v>100</v>
      </c>
      <c r="X21" s="2428"/>
      <c r="Y21" s="3549"/>
      <c r="Z21" s="2427" t="str">
        <f>Q21</f>
        <v>基础设施水平</v>
      </c>
      <c r="AA21" s="1511">
        <f>D21/F21</f>
        <v>1</v>
      </c>
      <c r="AB21" s="1511">
        <f>D21/H21</f>
        <v>1</v>
      </c>
      <c r="AC21" s="1511">
        <f>D21/J21</f>
        <v>1</v>
      </c>
    </row>
    <row r="22" spans="1:29" ht="15">
      <c r="A22" s="526"/>
      <c r="B22" s="911"/>
      <c r="C22" s="862"/>
      <c r="D22" s="549"/>
      <c r="E22" s="570"/>
      <c r="F22" s="551"/>
      <c r="G22" s="570"/>
      <c r="H22" s="549"/>
      <c r="I22" s="570"/>
      <c r="J22" s="549"/>
      <c r="K22" s="2440"/>
      <c r="L22" s="2024"/>
      <c r="M22" s="2016"/>
      <c r="N22" s="2016"/>
      <c r="O22" s="2023"/>
      <c r="P22" s="3549"/>
      <c r="Q22" s="2426"/>
      <c r="R22" s="1508"/>
      <c r="S22" s="1509"/>
      <c r="T22" s="1508"/>
      <c r="U22" s="1509"/>
      <c r="V22" s="1508"/>
      <c r="W22" s="1509"/>
      <c r="X22" s="2428"/>
      <c r="Y22" s="3549"/>
      <c r="Z22" s="2427"/>
      <c r="AA22" s="1511">
        <v>1</v>
      </c>
      <c r="AB22" s="1511">
        <v>1</v>
      </c>
      <c r="AC22" s="1511">
        <v>1</v>
      </c>
    </row>
    <row r="23" spans="1:29" ht="85.5">
      <c r="A23" s="526"/>
      <c r="B23" s="860" t="s">
        <v>297</v>
      </c>
      <c r="C23" s="861" t="str">
        <f>估价对象房地状况!C9</f>
        <v>区域自然环境：小众和；人文环境：国家新闻出版广电总局研修学院；综合评价环境状况一般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549"/>
      <c r="Q23" s="1507" t="str">
        <f>B23</f>
        <v>自然及人文环境</v>
      </c>
      <c r="R23" s="1508" t="s">
        <v>11</v>
      </c>
      <c r="S23" s="1509">
        <f>F23</f>
        <v>100</v>
      </c>
      <c r="T23" s="1508" t="s">
        <v>11</v>
      </c>
      <c r="U23" s="1509">
        <f>H23</f>
        <v>100</v>
      </c>
      <c r="V23" s="1508" t="s">
        <v>11</v>
      </c>
      <c r="W23" s="1509">
        <f>J23</f>
        <v>100</v>
      </c>
      <c r="X23" s="1502"/>
      <c r="Y23" s="3549"/>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4"/>
      <c r="M24" s="2016"/>
      <c r="N24" s="2016"/>
      <c r="O24" s="2023"/>
      <c r="P24" s="3549"/>
      <c r="Q24" s="1507"/>
      <c r="R24" s="1508"/>
      <c r="S24" s="1509"/>
      <c r="T24" s="1508"/>
      <c r="U24" s="1509"/>
      <c r="V24" s="1508"/>
      <c r="W24" s="1509"/>
      <c r="X24" s="1502"/>
      <c r="Y24" s="3549"/>
      <c r="Z24" s="1510"/>
      <c r="AA24" s="1511">
        <v>1</v>
      </c>
      <c r="AB24" s="1511">
        <v>1</v>
      </c>
      <c r="AC24" s="1511">
        <v>1</v>
      </c>
    </row>
    <row r="25" spans="1:29" ht="15">
      <c r="A25" s="526"/>
      <c r="B25" s="1809" t="s">
        <v>2203</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49"/>
      <c r="Q25" s="1507" t="str">
        <f t="shared" ref="Q25:Q46" si="8">B25</f>
        <v>楼层-1</v>
      </c>
      <c r="R25" s="1508" t="s">
        <v>11</v>
      </c>
      <c r="S25" s="1509">
        <f>F25</f>
        <v>100</v>
      </c>
      <c r="T25" s="1508" t="s">
        <v>11</v>
      </c>
      <c r="U25" s="1509">
        <f>H25</f>
        <v>100</v>
      </c>
      <c r="V25" s="1508" t="s">
        <v>11</v>
      </c>
      <c r="W25" s="1509">
        <f>J25</f>
        <v>100</v>
      </c>
      <c r="X25" s="1502"/>
      <c r="Y25" s="3549"/>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49"/>
      <c r="Q26" s="1507" t="str">
        <f t="shared" si="8"/>
        <v>朝向</v>
      </c>
      <c r="R26" s="1508" t="s">
        <v>11</v>
      </c>
      <c r="S26" s="1509">
        <f>F26</f>
        <v>100</v>
      </c>
      <c r="T26" s="1508" t="s">
        <v>11</v>
      </c>
      <c r="U26" s="1509">
        <f>H26</f>
        <v>100</v>
      </c>
      <c r="V26" s="1508" t="s">
        <v>11</v>
      </c>
      <c r="W26" s="1509">
        <f>J26</f>
        <v>100</v>
      </c>
      <c r="X26" s="1502"/>
      <c r="Y26" s="3549"/>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549"/>
      <c r="Q27" s="1134" t="str">
        <f t="shared" si="8"/>
        <v>道路级别</v>
      </c>
      <c r="R27" s="1503" t="s">
        <v>11</v>
      </c>
      <c r="S27" s="1504">
        <f>F27</f>
        <v>100</v>
      </c>
      <c r="T27" s="1503" t="s">
        <v>11</v>
      </c>
      <c r="U27" s="1504">
        <f>H27</f>
        <v>100</v>
      </c>
      <c r="V27" s="1503" t="s">
        <v>11</v>
      </c>
      <c r="W27" s="1504">
        <f>J27</f>
        <v>100</v>
      </c>
      <c r="X27" s="1505"/>
      <c r="Y27" s="3549"/>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49"/>
      <c r="Q28" s="1507">
        <f t="shared" si="8"/>
        <v>111</v>
      </c>
      <c r="R28" s="1508" t="s">
        <v>11</v>
      </c>
      <c r="S28" s="1509">
        <f t="shared" ref="S28:S46" si="9">F28</f>
        <v>100</v>
      </c>
      <c r="T28" s="1508" t="s">
        <v>11</v>
      </c>
      <c r="U28" s="1509">
        <f t="shared" ref="U28:U46" si="10">H28</f>
        <v>100</v>
      </c>
      <c r="V28" s="1508" t="s">
        <v>11</v>
      </c>
      <c r="W28" s="1509">
        <f t="shared" ref="W28:W46" si="11">J28</f>
        <v>100</v>
      </c>
      <c r="X28" s="1502"/>
      <c r="Y28" s="3549"/>
      <c r="Z28" s="1510">
        <f t="shared" ref="Z28:Z46" si="12">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49"/>
      <c r="Q29" s="1507">
        <f t="shared" si="8"/>
        <v>111</v>
      </c>
      <c r="R29" s="1508" t="s">
        <v>11</v>
      </c>
      <c r="S29" s="1509">
        <f t="shared" si="9"/>
        <v>100</v>
      </c>
      <c r="T29" s="1508" t="s">
        <v>11</v>
      </c>
      <c r="U29" s="1509">
        <f t="shared" si="10"/>
        <v>100</v>
      </c>
      <c r="V29" s="1508" t="s">
        <v>11</v>
      </c>
      <c r="W29" s="1509">
        <f t="shared" si="11"/>
        <v>100</v>
      </c>
      <c r="X29" s="1502"/>
      <c r="Y29" s="3549"/>
      <c r="Z29" s="1510">
        <f t="shared" si="12"/>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49"/>
      <c r="Q30" s="1507">
        <f t="shared" si="8"/>
        <v>111</v>
      </c>
      <c r="R30" s="1508" t="s">
        <v>11</v>
      </c>
      <c r="S30" s="1509">
        <f t="shared" si="9"/>
        <v>100</v>
      </c>
      <c r="T30" s="1508" t="s">
        <v>11</v>
      </c>
      <c r="U30" s="1509">
        <f t="shared" si="10"/>
        <v>100</v>
      </c>
      <c r="V30" s="1508" t="s">
        <v>11</v>
      </c>
      <c r="W30" s="1509">
        <f t="shared" si="11"/>
        <v>100</v>
      </c>
      <c r="X30" s="1502"/>
      <c r="Y30" s="3549"/>
      <c r="Z30" s="1510">
        <f t="shared" si="12"/>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49"/>
      <c r="Q31" s="1507">
        <f t="shared" si="8"/>
        <v>111</v>
      </c>
      <c r="R31" s="1508" t="s">
        <v>11</v>
      </c>
      <c r="S31" s="1509">
        <f t="shared" si="9"/>
        <v>100</v>
      </c>
      <c r="T31" s="1508" t="s">
        <v>11</v>
      </c>
      <c r="U31" s="1509">
        <f t="shared" si="10"/>
        <v>100</v>
      </c>
      <c r="V31" s="1508" t="s">
        <v>11</v>
      </c>
      <c r="W31" s="1509">
        <f t="shared" si="11"/>
        <v>100</v>
      </c>
      <c r="X31" s="1502"/>
      <c r="Y31" s="3549"/>
      <c r="Z31" s="1510">
        <f t="shared" si="12"/>
        <v>111</v>
      </c>
      <c r="AA31" s="1511">
        <f t="shared" si="3"/>
        <v>1</v>
      </c>
      <c r="AB31" s="1511">
        <f t="shared" si="4"/>
        <v>1</v>
      </c>
      <c r="AC31" s="1511">
        <f t="shared" si="5"/>
        <v>1</v>
      </c>
    </row>
    <row r="32" spans="1:29" ht="15">
      <c r="A32" s="2621" t="s">
        <v>2688</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555" t="s">
        <v>544</v>
      </c>
      <c r="Q32" s="1507" t="str">
        <f t="shared" si="8"/>
        <v>建筑类型</v>
      </c>
      <c r="R32" s="1508" t="s">
        <v>11</v>
      </c>
      <c r="S32" s="1509">
        <f t="shared" si="9"/>
        <v>100</v>
      </c>
      <c r="T32" s="1508" t="s">
        <v>11</v>
      </c>
      <c r="U32" s="1509">
        <f t="shared" si="10"/>
        <v>100</v>
      </c>
      <c r="V32" s="1508" t="s">
        <v>11</v>
      </c>
      <c r="W32" s="1509">
        <f t="shared" si="11"/>
        <v>100</v>
      </c>
      <c r="X32" s="1502"/>
      <c r="Y32" s="3553" t="s">
        <v>544</v>
      </c>
      <c r="Z32" s="1510" t="str">
        <f t="shared" si="12"/>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3553"/>
      <c r="Q33" s="1536" t="str">
        <f t="shared" si="8"/>
        <v>项目建筑规模</v>
      </c>
      <c r="R33" s="1512" t="s">
        <v>11</v>
      </c>
      <c r="S33" s="1513" t="e">
        <f t="shared" si="9"/>
        <v>#N/A</v>
      </c>
      <c r="T33" s="1512" t="s">
        <v>11</v>
      </c>
      <c r="U33" s="1513" t="e">
        <f t="shared" si="10"/>
        <v>#N/A</v>
      </c>
      <c r="V33" s="1512" t="s">
        <v>11</v>
      </c>
      <c r="W33" s="1513" t="e">
        <f t="shared" si="11"/>
        <v>#N/A</v>
      </c>
      <c r="X33" s="1514"/>
      <c r="Y33" s="3553"/>
      <c r="Z33" s="1515" t="str">
        <f t="shared" si="12"/>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553"/>
      <c r="Q34" s="1507" t="str">
        <f t="shared" si="8"/>
        <v>建筑结构</v>
      </c>
      <c r="R34" s="1508" t="s">
        <v>11</v>
      </c>
      <c r="S34" s="1509">
        <f t="shared" si="9"/>
        <v>100</v>
      </c>
      <c r="T34" s="1508" t="s">
        <v>11</v>
      </c>
      <c r="U34" s="1509">
        <f t="shared" si="10"/>
        <v>100</v>
      </c>
      <c r="V34" s="1508" t="s">
        <v>11</v>
      </c>
      <c r="W34" s="1509">
        <f t="shared" si="11"/>
        <v>100</v>
      </c>
      <c r="X34" s="1502"/>
      <c r="Y34" s="3553"/>
      <c r="Z34" s="1510" t="str">
        <f t="shared" si="12"/>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553"/>
      <c r="Q35" s="1507" t="str">
        <f t="shared" si="8"/>
        <v>建筑品质</v>
      </c>
      <c r="R35" s="1508" t="s">
        <v>11</v>
      </c>
      <c r="S35" s="1509">
        <f t="shared" si="9"/>
        <v>100</v>
      </c>
      <c r="T35" s="1508" t="s">
        <v>11</v>
      </c>
      <c r="U35" s="1509">
        <f t="shared" si="10"/>
        <v>100</v>
      </c>
      <c r="V35" s="1508" t="s">
        <v>11</v>
      </c>
      <c r="W35" s="1509">
        <f t="shared" si="11"/>
        <v>100</v>
      </c>
      <c r="X35" s="1502"/>
      <c r="Y35" s="3553"/>
      <c r="Z35" s="1510" t="str">
        <f t="shared" si="12"/>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553"/>
      <c r="Q36" s="1507" t="str">
        <f t="shared" si="8"/>
        <v>公共部分装修</v>
      </c>
      <c r="R36" s="1508" t="s">
        <v>11</v>
      </c>
      <c r="S36" s="1509">
        <f t="shared" si="9"/>
        <v>100</v>
      </c>
      <c r="T36" s="1508" t="s">
        <v>11</v>
      </c>
      <c r="U36" s="1509">
        <f t="shared" si="10"/>
        <v>100</v>
      </c>
      <c r="V36" s="1508" t="s">
        <v>11</v>
      </c>
      <c r="W36" s="1509">
        <f t="shared" si="11"/>
        <v>100</v>
      </c>
      <c r="X36" s="1502"/>
      <c r="Y36" s="3553"/>
      <c r="Z36" s="1510" t="str">
        <f t="shared" si="12"/>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3553"/>
      <c r="Q37" s="1134" t="str">
        <f t="shared" si="8"/>
        <v>成新度</v>
      </c>
      <c r="R37" s="1503" t="s">
        <v>11</v>
      </c>
      <c r="S37" s="1504" t="e">
        <f t="shared" si="9"/>
        <v>#N/A</v>
      </c>
      <c r="T37" s="1503" t="s">
        <v>11</v>
      </c>
      <c r="U37" s="1504" t="e">
        <f t="shared" si="10"/>
        <v>#N/A</v>
      </c>
      <c r="V37" s="1503" t="s">
        <v>11</v>
      </c>
      <c r="W37" s="1504" t="e">
        <f t="shared" si="11"/>
        <v>#N/A</v>
      </c>
      <c r="X37" s="1505"/>
      <c r="Y37" s="3553"/>
      <c r="Z37" s="1133" t="str">
        <f t="shared" si="12"/>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553" t="s">
        <v>544</v>
      </c>
      <c r="Q38" s="1507" t="str">
        <f t="shared" si="8"/>
        <v>物业管理</v>
      </c>
      <c r="R38" s="1508" t="s">
        <v>11</v>
      </c>
      <c r="S38" s="1509">
        <f t="shared" si="9"/>
        <v>100</v>
      </c>
      <c r="T38" s="1508" t="s">
        <v>11</v>
      </c>
      <c r="U38" s="1509">
        <f t="shared" si="10"/>
        <v>100</v>
      </c>
      <c r="V38" s="1508" t="s">
        <v>11</v>
      </c>
      <c r="W38" s="1509">
        <f t="shared" si="11"/>
        <v>100</v>
      </c>
      <c r="X38" s="1502"/>
      <c r="Y38" s="3553" t="s">
        <v>544</v>
      </c>
      <c r="Z38" s="1510" t="str">
        <f t="shared" si="12"/>
        <v>物业管理</v>
      </c>
      <c r="AA38" s="1511">
        <f t="shared" si="3"/>
        <v>1</v>
      </c>
      <c r="AB38" s="1511">
        <f t="shared" si="4"/>
        <v>1</v>
      </c>
      <c r="AC38" s="1511">
        <f t="shared" si="5"/>
        <v>1</v>
      </c>
    </row>
    <row r="39" spans="1:29" ht="15">
      <c r="A39" s="588"/>
      <c r="B39" s="1809" t="s">
        <v>2498</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553"/>
      <c r="Q39" s="1507" t="str">
        <f t="shared" si="8"/>
        <v>市政基础设施</v>
      </c>
      <c r="R39" s="1508" t="s">
        <v>11</v>
      </c>
      <c r="S39" s="1509">
        <f t="shared" si="9"/>
        <v>100</v>
      </c>
      <c r="T39" s="1508" t="s">
        <v>11</v>
      </c>
      <c r="U39" s="1509">
        <f t="shared" si="10"/>
        <v>100</v>
      </c>
      <c r="V39" s="1508" t="s">
        <v>11</v>
      </c>
      <c r="W39" s="1509">
        <f t="shared" si="11"/>
        <v>100</v>
      </c>
      <c r="X39" s="1502"/>
      <c r="Y39" s="3553"/>
      <c r="Z39" s="1510" t="str">
        <f t="shared" si="12"/>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553"/>
      <c r="Q40" s="1507" t="str">
        <f t="shared" si="8"/>
        <v>房型</v>
      </c>
      <c r="R40" s="1508" t="s">
        <v>11</v>
      </c>
      <c r="S40" s="1509">
        <f t="shared" si="9"/>
        <v>100</v>
      </c>
      <c r="T40" s="1508" t="s">
        <v>11</v>
      </c>
      <c r="U40" s="1509">
        <f t="shared" si="10"/>
        <v>100</v>
      </c>
      <c r="V40" s="1508" t="s">
        <v>11</v>
      </c>
      <c r="W40" s="1509">
        <f t="shared" si="11"/>
        <v>100</v>
      </c>
      <c r="X40" s="1502"/>
      <c r="Y40" s="3553"/>
      <c r="Z40" s="1510" t="str">
        <f t="shared" si="12"/>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53"/>
      <c r="Q41" s="1536" t="str">
        <f t="shared" si="8"/>
        <v>单套/主力户型建筑面积</v>
      </c>
      <c r="R41" s="1512" t="s">
        <v>11</v>
      </c>
      <c r="S41" s="1513">
        <f t="shared" si="9"/>
        <v>100</v>
      </c>
      <c r="T41" s="1512" t="s">
        <v>11</v>
      </c>
      <c r="U41" s="1513">
        <f t="shared" si="10"/>
        <v>100</v>
      </c>
      <c r="V41" s="1512" t="s">
        <v>11</v>
      </c>
      <c r="W41" s="1513">
        <f t="shared" si="11"/>
        <v>100</v>
      </c>
      <c r="X41" s="1514"/>
      <c r="Y41" s="3553"/>
      <c r="Z41" s="1515" t="str">
        <f t="shared" si="12"/>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553"/>
      <c r="Q42" s="1507" t="str">
        <f t="shared" si="8"/>
        <v>内部装修</v>
      </c>
      <c r="R42" s="1508" t="s">
        <v>11</v>
      </c>
      <c r="S42" s="1509">
        <f t="shared" si="9"/>
        <v>100</v>
      </c>
      <c r="T42" s="1508" t="s">
        <v>11</v>
      </c>
      <c r="U42" s="1509">
        <f t="shared" si="10"/>
        <v>100</v>
      </c>
      <c r="V42" s="1508" t="s">
        <v>11</v>
      </c>
      <c r="W42" s="1509">
        <f t="shared" si="11"/>
        <v>100</v>
      </c>
      <c r="X42" s="1502"/>
      <c r="Y42" s="3553"/>
      <c r="Z42" s="1510" t="str">
        <f t="shared" si="12"/>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553"/>
      <c r="Q43" s="1507" t="str">
        <f t="shared" si="8"/>
        <v>内部装修维护情况</v>
      </c>
      <c r="R43" s="1508" t="s">
        <v>11</v>
      </c>
      <c r="S43" s="1509">
        <f t="shared" si="9"/>
        <v>100</v>
      </c>
      <c r="T43" s="1508" t="s">
        <v>11</v>
      </c>
      <c r="U43" s="1509">
        <f t="shared" si="10"/>
        <v>100</v>
      </c>
      <c r="V43" s="1508" t="s">
        <v>11</v>
      </c>
      <c r="W43" s="1509">
        <f t="shared" si="11"/>
        <v>100</v>
      </c>
      <c r="X43" s="1502"/>
      <c r="Y43" s="3553"/>
      <c r="Z43" s="1510" t="str">
        <f t="shared" si="12"/>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553"/>
      <c r="Q44" s="1134">
        <f t="shared" si="8"/>
        <v>111</v>
      </c>
      <c r="R44" s="1503" t="s">
        <v>11</v>
      </c>
      <c r="S44" s="1504">
        <f t="shared" si="9"/>
        <v>100</v>
      </c>
      <c r="T44" s="1503" t="s">
        <v>11</v>
      </c>
      <c r="U44" s="1504">
        <f t="shared" si="10"/>
        <v>100</v>
      </c>
      <c r="V44" s="1503" t="s">
        <v>11</v>
      </c>
      <c r="W44" s="1504">
        <f t="shared" si="11"/>
        <v>100</v>
      </c>
      <c r="X44" s="1505"/>
      <c r="Y44" s="3553"/>
      <c r="Z44" s="1133">
        <f t="shared" si="12"/>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53"/>
      <c r="Q45" s="1507">
        <f t="shared" si="8"/>
        <v>111</v>
      </c>
      <c r="R45" s="1508" t="s">
        <v>11</v>
      </c>
      <c r="S45" s="1509">
        <f t="shared" si="9"/>
        <v>100</v>
      </c>
      <c r="T45" s="1508" t="s">
        <v>11</v>
      </c>
      <c r="U45" s="1509">
        <f t="shared" si="10"/>
        <v>100</v>
      </c>
      <c r="V45" s="1508" t="s">
        <v>11</v>
      </c>
      <c r="W45" s="1509">
        <f t="shared" si="11"/>
        <v>100</v>
      </c>
      <c r="X45" s="1502"/>
      <c r="Y45" s="3553"/>
      <c r="Z45" s="1510">
        <f t="shared" si="12"/>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42"/>
      <c r="Q46" s="1507">
        <f t="shared" si="8"/>
        <v>111</v>
      </c>
      <c r="R46" s="1508" t="s">
        <v>10</v>
      </c>
      <c r="S46" s="1509">
        <f t="shared" si="9"/>
        <v>100</v>
      </c>
      <c r="T46" s="1508" t="s">
        <v>10</v>
      </c>
      <c r="U46" s="1509">
        <f t="shared" si="10"/>
        <v>100</v>
      </c>
      <c r="V46" s="1508" t="s">
        <v>10</v>
      </c>
      <c r="W46" s="1509">
        <f t="shared" si="11"/>
        <v>100</v>
      </c>
      <c r="X46" s="1502"/>
      <c r="Y46" s="3642"/>
      <c r="Z46" s="1510">
        <f t="shared" si="12"/>
        <v>111</v>
      </c>
      <c r="AA46" s="1511">
        <f t="shared" si="3"/>
        <v>1</v>
      </c>
      <c r="AB46" s="1511">
        <f t="shared" si="4"/>
        <v>1</v>
      </c>
      <c r="AC46" s="1511">
        <f t="shared" si="5"/>
        <v>1</v>
      </c>
    </row>
    <row r="47" spans="1:29" ht="15">
      <c r="A47" s="601" t="s">
        <v>730</v>
      </c>
      <c r="B47" s="876"/>
      <c r="C47" s="2467" t="s">
        <v>9</v>
      </c>
      <c r="D47" s="2468"/>
      <c r="E47" s="2469"/>
      <c r="F47" s="2470"/>
      <c r="G47" s="2471"/>
      <c r="H47" s="2472"/>
      <c r="I47" s="2469"/>
      <c r="J47" s="2472"/>
      <c r="K47" s="1537"/>
      <c r="L47" s="2026"/>
      <c r="M47" s="2027"/>
      <c r="N47" s="2016"/>
      <c r="O47" s="2027"/>
      <c r="P47" s="3554" t="str">
        <f>A47</f>
        <v>成交单价（元/平方米）</v>
      </c>
      <c r="Q47" s="3554"/>
      <c r="R47" s="3640">
        <f>E47</f>
        <v>0</v>
      </c>
      <c r="S47" s="3640"/>
      <c r="T47" s="3640">
        <f>G47</f>
        <v>0</v>
      </c>
      <c r="U47" s="3640"/>
      <c r="V47" s="3640">
        <f>I47</f>
        <v>0</v>
      </c>
      <c r="W47" s="3640"/>
      <c r="X47" s="1497"/>
      <c r="Y47" s="1516"/>
      <c r="Z47" s="1497"/>
      <c r="AA47" s="1497"/>
      <c r="AB47" s="1497"/>
      <c r="AC47" s="1497"/>
    </row>
    <row r="48" spans="1:29" ht="15.75" thickBot="1">
      <c r="A48" s="609" t="s">
        <v>2693</v>
      </c>
      <c r="B48" s="877"/>
      <c r="C48" s="2473" t="e">
        <f>R49</f>
        <v>#DIV/0!</v>
      </c>
      <c r="D48" s="3008" t="s">
        <v>2915</v>
      </c>
      <c r="E48" s="2474" t="e">
        <f>R48</f>
        <v>#DIV/0!</v>
      </c>
      <c r="F48" s="3009"/>
      <c r="G48" s="2473" t="e">
        <f>T48</f>
        <v>#DIV/0!</v>
      </c>
      <c r="H48" s="3009"/>
      <c r="I48" s="2474" t="e">
        <f>V48</f>
        <v>#DIV/0!</v>
      </c>
      <c r="J48" s="3009"/>
      <c r="K48" s="3016">
        <f>F48+H48+J48</f>
        <v>0</v>
      </c>
      <c r="L48" s="2026"/>
      <c r="M48" s="2027"/>
      <c r="N48" s="2027"/>
      <c r="O48" s="2027"/>
      <c r="P48" s="3554" t="str">
        <f>A48</f>
        <v>比较价格（元/平方米）</v>
      </c>
      <c r="Q48" s="3554"/>
      <c r="R48" s="3640" t="e">
        <f>IF(F1="售价",ROUND(PRODUCT(R47,AA7:AA46),0),ROUND(PRODUCT(R47,AA7:AA46),1))</f>
        <v>#DIV/0!</v>
      </c>
      <c r="S48" s="3640"/>
      <c r="T48" s="3640" t="e">
        <f>IF(F1="售价",ROUND(PRODUCT(T47,AB7:AB46),0),ROUND(PRODUCT(T47,AB7:AB46),1))</f>
        <v>#DIV/0!</v>
      </c>
      <c r="U48" s="3640"/>
      <c r="V48" s="3640" t="e">
        <f>IF(F1="售价",ROUND(PRODUCT(V47,AC7:AC46),0),ROUND(PRODUCT(V47,AC7:AC46),1))</f>
        <v>#DIV/0!</v>
      </c>
      <c r="W48" s="3640"/>
      <c r="X48" s="1497"/>
      <c r="Y48" s="1497"/>
      <c r="Z48" s="1497"/>
      <c r="AA48" s="1497"/>
      <c r="AB48" s="1497"/>
      <c r="AC48" s="1497"/>
    </row>
    <row r="49" spans="1:29" ht="15.75" thickBot="1">
      <c r="A49" s="613" t="s">
        <v>2850</v>
      </c>
      <c r="B49" s="614"/>
      <c r="C49" s="2475" t="e">
        <f>R49</f>
        <v>#DIV/0!</v>
      </c>
      <c r="D49" s="2475"/>
      <c r="E49" s="2475"/>
      <c r="F49" s="2475"/>
      <c r="G49" s="2475"/>
      <c r="H49" s="2475"/>
      <c r="I49" s="2475"/>
      <c r="J49" s="2475"/>
      <c r="K49" s="1538"/>
      <c r="L49" s="2026"/>
      <c r="M49" s="2027"/>
      <c r="N49" s="2027"/>
      <c r="O49" s="2027"/>
      <c r="P49" s="3557" t="str">
        <f>A49</f>
        <v>估价对象XX用房的比较价格（楼面单价，元/平方米）</v>
      </c>
      <c r="Q49" s="3558"/>
      <c r="R49" s="3641" t="e">
        <f>IF(F1="售价",ROUND(IF(D48="简单平均",AVERAGE(R48:V48),R48*F48+T48*H48+V48*J48),0),ROUND(IF(D48="简单平均",AVERAGE(R48:V48),R48*F48+T48*H48+V48*J48),1))</f>
        <v>#DIV/0!</v>
      </c>
      <c r="S49" s="3641"/>
      <c r="T49" s="3641"/>
      <c r="U49" s="3641"/>
      <c r="V49" s="3641"/>
      <c r="W49" s="3641"/>
      <c r="X49" s="1497"/>
      <c r="Y49" s="1497"/>
      <c r="Z49" s="1497"/>
      <c r="AA49" s="1497"/>
      <c r="AB49" s="1497"/>
      <c r="AC49" s="1497"/>
    </row>
    <row r="50" spans="1:29">
      <c r="A50" s="3204"/>
      <c r="B50" s="3204"/>
      <c r="C50" s="3204"/>
      <c r="D50" s="3204"/>
      <c r="E50" s="3204"/>
      <c r="F50" s="3204"/>
      <c r="G50" s="3206"/>
      <c r="H50" s="3204"/>
      <c r="I50" s="3204"/>
      <c r="J50" s="3204"/>
      <c r="K50" s="3207"/>
      <c r="L50" s="2031"/>
      <c r="M50" s="2027"/>
      <c r="N50" s="2027"/>
      <c r="O50" s="2027"/>
      <c r="P50" s="2027"/>
      <c r="Q50" s="2027"/>
      <c r="R50" s="2027"/>
      <c r="S50" s="2027"/>
      <c r="T50" s="2027"/>
      <c r="U50" s="2027"/>
      <c r="V50" s="2027"/>
      <c r="W50" s="2027"/>
      <c r="X50" s="2027"/>
      <c r="Y50" s="2027"/>
      <c r="Z50" s="2027"/>
      <c r="AA50" s="2027"/>
      <c r="AB50" s="2027"/>
      <c r="AC50" s="2027"/>
    </row>
    <row r="51" spans="1:29">
      <c r="A51" s="3204"/>
      <c r="B51" s="3204"/>
      <c r="C51" s="3204"/>
      <c r="D51" s="3204"/>
      <c r="E51" s="3204"/>
      <c r="F51" s="3204"/>
      <c r="G51" s="3204"/>
      <c r="H51" s="3204"/>
      <c r="I51" s="3204"/>
      <c r="J51" s="3204"/>
      <c r="K51" s="320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04"/>
      <c r="B52" s="320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0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04"/>
      <c r="B53" s="320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0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05"/>
      <c r="B54" s="320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0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8" t="str">
        <f>YEAR(C7)&amp;"-"&amp;MONTH(C7)</f>
        <v>2020-9</v>
      </c>
      <c r="D58" s="2518">
        <f>EDATE(C58,-1)</f>
        <v>44044</v>
      </c>
      <c r="E58" s="2518">
        <f t="shared" ref="E58:O58" si="13">EDATE(D58,-1)</f>
        <v>44013</v>
      </c>
      <c r="F58" s="2518">
        <f t="shared" si="13"/>
        <v>43983</v>
      </c>
      <c r="G58" s="2518">
        <f t="shared" si="13"/>
        <v>43952</v>
      </c>
      <c r="H58" s="2518">
        <f t="shared" si="13"/>
        <v>43922</v>
      </c>
      <c r="I58" s="2518">
        <f t="shared" si="13"/>
        <v>43891</v>
      </c>
      <c r="J58" s="2518">
        <f t="shared" si="13"/>
        <v>43862</v>
      </c>
      <c r="K58" s="2518">
        <f t="shared" si="13"/>
        <v>43831</v>
      </c>
      <c r="L58" s="2518">
        <f t="shared" si="13"/>
        <v>43800</v>
      </c>
      <c r="M58" s="2518">
        <f t="shared" si="13"/>
        <v>43770</v>
      </c>
      <c r="N58" s="2518">
        <f t="shared" si="13"/>
        <v>43739</v>
      </c>
      <c r="O58" s="2518">
        <f t="shared" si="13"/>
        <v>43709</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9"/>
      <c r="F64" s="1539"/>
      <c r="G64" s="1539"/>
      <c r="H64" s="1539"/>
      <c r="I64" s="1539"/>
      <c r="J64" s="1539"/>
      <c r="K64" s="1539"/>
      <c r="L64" s="1539"/>
      <c r="M64" s="1540"/>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4">C66-$K10</f>
        <v>100</v>
      </c>
      <c r="E66" s="671">
        <f t="shared" si="14"/>
        <v>100</v>
      </c>
      <c r="F66" s="671">
        <f t="shared" si="14"/>
        <v>100</v>
      </c>
      <c r="G66" s="671">
        <f t="shared" si="14"/>
        <v>100</v>
      </c>
      <c r="H66" s="671">
        <f t="shared" si="14"/>
        <v>100</v>
      </c>
      <c r="I66" s="671">
        <f t="shared" si="14"/>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5">D68&amp;"（含）"&amp;"-"&amp;E68</f>
        <v>（含）-</v>
      </c>
      <c r="E67" s="674" t="str">
        <f t="shared" si="15"/>
        <v>（含）-</v>
      </c>
      <c r="F67" s="674" t="str">
        <f t="shared" si="15"/>
        <v>（含）-</v>
      </c>
      <c r="G67" s="674" t="str">
        <f t="shared" si="15"/>
        <v>（含）-</v>
      </c>
      <c r="H67" s="674" t="str">
        <f t="shared" si="15"/>
        <v>（含）-</v>
      </c>
      <c r="I67" s="674" t="str">
        <f t="shared" si="15"/>
        <v>（含）-</v>
      </c>
      <c r="J67" s="674" t="str">
        <f t="shared" si="15"/>
        <v>（含）-</v>
      </c>
      <c r="K67" s="674" t="str">
        <f t="shared" si="15"/>
        <v>（含）-</v>
      </c>
      <c r="L67" s="674" t="str">
        <f t="shared" si="15"/>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6">C69-$K11</f>
        <v>100</v>
      </c>
      <c r="E69" s="671">
        <f t="shared" si="16"/>
        <v>100</v>
      </c>
      <c r="F69" s="671">
        <f t="shared" si="16"/>
        <v>100</v>
      </c>
      <c r="G69" s="671">
        <f t="shared" si="16"/>
        <v>100</v>
      </c>
      <c r="H69" s="671">
        <f t="shared" si="16"/>
        <v>100</v>
      </c>
      <c r="I69" s="671">
        <f t="shared" si="16"/>
        <v>100</v>
      </c>
      <c r="J69" s="671">
        <f t="shared" si="16"/>
        <v>100</v>
      </c>
      <c r="K69" s="671">
        <f t="shared" si="16"/>
        <v>100</v>
      </c>
      <c r="L69" s="671">
        <f t="shared" si="16"/>
        <v>100</v>
      </c>
      <c r="M69" s="672">
        <f t="shared" si="16"/>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2491</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38" t="s">
        <v>2492</v>
      </c>
      <c r="C82" s="2439" t="s">
        <v>2493</v>
      </c>
      <c r="D82" s="2439" t="s">
        <v>2494</v>
      </c>
      <c r="E82" s="2439" t="s">
        <v>2495</v>
      </c>
      <c r="F82" s="2439" t="s">
        <v>2496</v>
      </c>
      <c r="G82" s="2439" t="s">
        <v>2497</v>
      </c>
      <c r="H82" s="666"/>
      <c r="I82" s="666"/>
      <c r="J82" s="666"/>
      <c r="K82" s="666"/>
      <c r="L82" s="666"/>
      <c r="M82" s="2442"/>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2204</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17">$C$87-($C$86-E86)*$K$25</f>
        <v>100</v>
      </c>
      <c r="F87" s="671">
        <f t="shared" si="17"/>
        <v>100</v>
      </c>
      <c r="G87" s="671">
        <f t="shared" si="17"/>
        <v>100</v>
      </c>
      <c r="H87" s="671">
        <f t="shared" si="17"/>
        <v>100</v>
      </c>
      <c r="I87" s="671">
        <f t="shared" si="17"/>
        <v>100</v>
      </c>
      <c r="J87" s="671">
        <f t="shared" si="17"/>
        <v>100</v>
      </c>
      <c r="K87" s="671">
        <f t="shared" si="17"/>
        <v>100</v>
      </c>
      <c r="L87" s="671">
        <f t="shared" si="17"/>
        <v>100</v>
      </c>
      <c r="M87" s="671">
        <f t="shared" si="17"/>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18">C89-$K26</f>
        <v>100</v>
      </c>
      <c r="E89" s="671">
        <f t="shared" si="18"/>
        <v>100</v>
      </c>
      <c r="F89" s="671">
        <f t="shared" si="18"/>
        <v>100</v>
      </c>
      <c r="G89" s="671">
        <f t="shared" si="18"/>
        <v>100</v>
      </c>
      <c r="H89" s="671">
        <f t="shared" si="18"/>
        <v>100</v>
      </c>
      <c r="I89" s="671">
        <f t="shared" si="18"/>
        <v>100</v>
      </c>
      <c r="J89" s="671">
        <f t="shared" si="18"/>
        <v>100</v>
      </c>
      <c r="K89" s="671">
        <f t="shared" si="18"/>
        <v>100</v>
      </c>
      <c r="L89" s="671">
        <f t="shared" si="18"/>
        <v>100</v>
      </c>
      <c r="M89" s="671">
        <f t="shared" si="18"/>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19">C101-$K32</f>
        <v>100</v>
      </c>
      <c r="E101" s="671">
        <f t="shared" si="19"/>
        <v>100</v>
      </c>
      <c r="F101" s="671">
        <f t="shared" si="19"/>
        <v>100</v>
      </c>
      <c r="G101" s="671">
        <f t="shared" si="19"/>
        <v>100</v>
      </c>
      <c r="H101" s="671">
        <f t="shared" si="19"/>
        <v>100</v>
      </c>
      <c r="I101" s="671">
        <f t="shared" si="19"/>
        <v>100</v>
      </c>
      <c r="J101" s="671">
        <f t="shared" si="19"/>
        <v>100</v>
      </c>
      <c r="K101" s="671">
        <f t="shared" si="19"/>
        <v>100</v>
      </c>
      <c r="L101" s="671">
        <f t="shared" si="19"/>
        <v>100</v>
      </c>
      <c r="M101" s="671">
        <f t="shared" si="19"/>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0">D103&amp;"(含)"&amp;"-"&amp;E103</f>
        <v>(含)-</v>
      </c>
      <c r="E102" s="700" t="str">
        <f t="shared" si="20"/>
        <v>(含)-</v>
      </c>
      <c r="F102" s="700" t="str">
        <f t="shared" si="20"/>
        <v>(含)-</v>
      </c>
      <c r="G102" s="700" t="str">
        <f t="shared" si="20"/>
        <v>(含)-</v>
      </c>
      <c r="H102" s="700" t="str">
        <f t="shared" si="20"/>
        <v>(含)-</v>
      </c>
      <c r="I102" s="700" t="str">
        <f t="shared" si="20"/>
        <v>(含)-</v>
      </c>
      <c r="J102" s="700" t="str">
        <f t="shared" si="20"/>
        <v>(含)-</v>
      </c>
      <c r="K102" s="700" t="str">
        <f t="shared" si="20"/>
        <v>(含)-</v>
      </c>
      <c r="L102" s="700" t="str">
        <f t="shared" si="20"/>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1">C106-$K34</f>
        <v>100</v>
      </c>
      <c r="E106" s="671">
        <f t="shared" si="21"/>
        <v>100</v>
      </c>
      <c r="F106" s="671">
        <f t="shared" si="21"/>
        <v>100</v>
      </c>
      <c r="G106" s="671">
        <f t="shared" si="21"/>
        <v>100</v>
      </c>
      <c r="H106" s="671">
        <f t="shared" si="21"/>
        <v>100</v>
      </c>
      <c r="I106" s="671">
        <f t="shared" si="21"/>
        <v>100</v>
      </c>
      <c r="J106" s="671">
        <f t="shared" si="21"/>
        <v>100</v>
      </c>
      <c r="K106" s="671">
        <f t="shared" si="21"/>
        <v>100</v>
      </c>
      <c r="L106" s="671">
        <f t="shared" si="21"/>
        <v>100</v>
      </c>
      <c r="M106" s="671">
        <f t="shared" si="21"/>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2">C108-$K35</f>
        <v>100</v>
      </c>
      <c r="E108" s="671">
        <f t="shared" si="22"/>
        <v>100</v>
      </c>
      <c r="F108" s="671">
        <f t="shared" si="22"/>
        <v>100</v>
      </c>
      <c r="G108" s="671">
        <f t="shared" si="22"/>
        <v>100</v>
      </c>
      <c r="H108" s="671">
        <f t="shared" si="22"/>
        <v>100</v>
      </c>
      <c r="I108" s="671">
        <f t="shared" si="22"/>
        <v>100</v>
      </c>
      <c r="J108" s="671">
        <f t="shared" si="22"/>
        <v>100</v>
      </c>
      <c r="K108" s="671">
        <f t="shared" si="22"/>
        <v>100</v>
      </c>
      <c r="L108" s="671">
        <f t="shared" si="22"/>
        <v>100</v>
      </c>
      <c r="M108" s="671">
        <f t="shared" si="22"/>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3">C110-$K36</f>
        <v>100</v>
      </c>
      <c r="E110" s="671">
        <f t="shared" si="23"/>
        <v>100</v>
      </c>
      <c r="F110" s="671">
        <f t="shared" si="23"/>
        <v>100</v>
      </c>
      <c r="G110" s="671">
        <f t="shared" si="23"/>
        <v>100</v>
      </c>
      <c r="H110" s="671">
        <f t="shared" si="23"/>
        <v>100</v>
      </c>
      <c r="I110" s="671">
        <f t="shared" si="23"/>
        <v>100</v>
      </c>
      <c r="J110" s="671">
        <f t="shared" si="23"/>
        <v>100</v>
      </c>
      <c r="K110" s="671">
        <f t="shared" si="23"/>
        <v>100</v>
      </c>
      <c r="L110" s="671">
        <f t="shared" si="23"/>
        <v>100</v>
      </c>
      <c r="M110" s="671">
        <f t="shared" si="23"/>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4">C115-$K38</f>
        <v>100</v>
      </c>
      <c r="E115" s="671">
        <f t="shared" si="24"/>
        <v>100</v>
      </c>
      <c r="F115" s="671">
        <f t="shared" si="24"/>
        <v>100</v>
      </c>
      <c r="G115" s="671">
        <f t="shared" si="24"/>
        <v>100</v>
      </c>
      <c r="H115" s="671">
        <f t="shared" si="24"/>
        <v>100</v>
      </c>
      <c r="I115" s="671">
        <f t="shared" si="24"/>
        <v>100</v>
      </c>
      <c r="J115" s="671">
        <f t="shared" si="24"/>
        <v>100</v>
      </c>
      <c r="K115" s="671">
        <f t="shared" si="24"/>
        <v>100</v>
      </c>
      <c r="L115" s="671">
        <f t="shared" si="24"/>
        <v>100</v>
      </c>
      <c r="M115" s="671">
        <f t="shared" si="24"/>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2490</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5">C119-$K40</f>
        <v>100</v>
      </c>
      <c r="E119" s="671">
        <f t="shared" si="25"/>
        <v>100</v>
      </c>
      <c r="F119" s="671">
        <f t="shared" si="25"/>
        <v>100</v>
      </c>
      <c r="G119" s="671">
        <f t="shared" si="25"/>
        <v>100</v>
      </c>
      <c r="H119" s="671">
        <f t="shared" si="25"/>
        <v>100</v>
      </c>
      <c r="I119" s="671">
        <f t="shared" si="25"/>
        <v>100</v>
      </c>
      <c r="J119" s="671">
        <f t="shared" si="25"/>
        <v>100</v>
      </c>
      <c r="K119" s="671">
        <f t="shared" si="25"/>
        <v>100</v>
      </c>
      <c r="L119" s="671">
        <f t="shared" si="25"/>
        <v>100</v>
      </c>
      <c r="M119" s="671">
        <f t="shared" si="25"/>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6">C123-$K42</f>
        <v>100</v>
      </c>
      <c r="E123" s="671">
        <f t="shared" si="26"/>
        <v>100</v>
      </c>
      <c r="F123" s="671">
        <f t="shared" si="26"/>
        <v>100</v>
      </c>
      <c r="G123" s="671">
        <f t="shared" si="26"/>
        <v>100</v>
      </c>
      <c r="H123" s="671">
        <f t="shared" si="26"/>
        <v>100</v>
      </c>
      <c r="I123" s="671">
        <f t="shared" si="26"/>
        <v>100</v>
      </c>
      <c r="J123" s="671">
        <f t="shared" si="26"/>
        <v>100</v>
      </c>
      <c r="K123" s="671">
        <f t="shared" si="26"/>
        <v>100</v>
      </c>
      <c r="L123" s="671">
        <f t="shared" si="26"/>
        <v>100</v>
      </c>
      <c r="M123" s="671">
        <f t="shared" si="26"/>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2205</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2206</v>
      </c>
      <c r="C137" s="1833"/>
      <c r="D137" s="1833"/>
      <c r="E137" s="1833"/>
      <c r="F137" s="1833"/>
      <c r="G137" s="1834"/>
      <c r="H137" s="1835"/>
      <c r="I137" s="1836" t="s">
        <v>2207</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2208</v>
      </c>
      <c r="D138" s="1839" t="s">
        <v>2209</v>
      </c>
      <c r="E138" s="1840" t="s">
        <v>2210</v>
      </c>
      <c r="F138" s="1841" t="s">
        <v>2211</v>
      </c>
      <c r="G138" s="1839" t="s">
        <v>2212</v>
      </c>
      <c r="H138" s="1842" t="s">
        <v>2213</v>
      </c>
      <c r="I138" s="1843"/>
      <c r="J138" s="1839" t="s">
        <v>2214</v>
      </c>
      <c r="K138" s="1842" t="s">
        <v>2215</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2216</v>
      </c>
      <c r="E139" s="1813">
        <v>100</v>
      </c>
      <c r="F139" s="1814">
        <v>102.5</v>
      </c>
      <c r="G139" s="1844" t="s">
        <v>2217</v>
      </c>
      <c r="H139" s="1815">
        <v>105</v>
      </c>
      <c r="I139" s="1845" t="s">
        <v>2218</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2219</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2220</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2221</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2222</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2223</v>
      </c>
      <c r="E144" s="1819">
        <v>102</v>
      </c>
      <c r="F144" s="1825">
        <v>100</v>
      </c>
      <c r="G144" s="1848" t="s">
        <v>2223</v>
      </c>
      <c r="H144" s="1821">
        <v>105</v>
      </c>
      <c r="I144" s="1847" t="s">
        <v>2222</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2224</v>
      </c>
      <c r="C145" s="1826">
        <f>ROUND(MAX(C139:C144)/MIN(C139:C144)-1,3)</f>
        <v>7.2999999999999995E-2</v>
      </c>
      <c r="D145" s="1850"/>
      <c r="E145" s="1850"/>
      <c r="F145" s="1851" t="s">
        <v>2225</v>
      </c>
      <c r="G145" s="1852"/>
      <c r="H145" s="1853"/>
      <c r="I145" s="1854" t="s">
        <v>2222</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2233</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2234</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8:Q8"/>
    <mergeCell ref="Y8:Z8"/>
    <mergeCell ref="Y4:Z6"/>
    <mergeCell ref="P7:Q7"/>
    <mergeCell ref="C5:D5"/>
    <mergeCell ref="C6:D6"/>
    <mergeCell ref="I5:J5"/>
    <mergeCell ref="E6:F6"/>
    <mergeCell ref="G6:H6"/>
    <mergeCell ref="Y7:Z7"/>
    <mergeCell ref="R4:S6"/>
    <mergeCell ref="E5:F5"/>
    <mergeCell ref="AC4:AC6"/>
    <mergeCell ref="C4:D4"/>
    <mergeCell ref="E4:F4"/>
    <mergeCell ref="G4:H4"/>
    <mergeCell ref="I4:J4"/>
    <mergeCell ref="P4:Q6"/>
    <mergeCell ref="T4:U6"/>
    <mergeCell ref="V4:W6"/>
    <mergeCell ref="I6:J6"/>
    <mergeCell ref="G5:H5"/>
    <mergeCell ref="AA4:AA6"/>
    <mergeCell ref="AB4:AB6"/>
    <mergeCell ref="Y9:Y14"/>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s>
  <phoneticPr fontId="19" type="noConversion"/>
  <conditionalFormatting sqref="F52 H52 J52">
    <cfRule type="containsText" dxfId="93" priority="19" stopIfTrue="1" operator="containsText" text="超过">
      <formula>NOT(ISERROR(SEARCH("超过",F52)))</formula>
    </cfRule>
  </conditionalFormatting>
  <conditionalFormatting sqref="J54">
    <cfRule type="containsText" dxfId="92" priority="18" stopIfTrue="1" operator="containsText" text="超过">
      <formula>NOT(ISERROR(SEARCH("超过",J54)))</formula>
    </cfRule>
  </conditionalFormatting>
  <conditionalFormatting sqref="H54">
    <cfRule type="containsText" dxfId="91" priority="17" stopIfTrue="1" operator="containsText" text="超过">
      <formula>NOT(ISERROR(SEARCH("超过",H54)))</formula>
    </cfRule>
  </conditionalFormatting>
  <conditionalFormatting sqref="F54">
    <cfRule type="containsText" dxfId="90" priority="16" stopIfTrue="1" operator="containsText" text="超过">
      <formula>NOT(ISERROR(SEARCH("超过",F54)))</formula>
    </cfRule>
  </conditionalFormatting>
  <conditionalFormatting sqref="F53 H53 J53">
    <cfRule type="containsText" dxfId="89" priority="15" stopIfTrue="1" operator="containsText" text="超过">
      <formula>NOT(ISERROR(SEARCH("超过",F53)))</formula>
    </cfRule>
  </conditionalFormatting>
  <conditionalFormatting sqref="E52">
    <cfRule type="expression" dxfId="88" priority="14" stopIfTrue="1">
      <formula>$F$52="超过30%"</formula>
    </cfRule>
  </conditionalFormatting>
  <conditionalFormatting sqref="G54">
    <cfRule type="expression" dxfId="87" priority="12" stopIfTrue="1">
      <formula>$H$54="超过30%"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G52">
    <cfRule type="expression" dxfId="84" priority="9" stopIfTrue="1">
      <formula>$H$52="超过30%"</formula>
    </cfRule>
  </conditionalFormatting>
  <conditionalFormatting sqref="G53">
    <cfRule type="expression" dxfId="83" priority="8" stopIfTrue="1">
      <formula>$H$53="超过20%"</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7"/>
    </sheetView>
  </sheetViews>
  <sheetFormatPr defaultColWidth="9" defaultRowHeight="14.25"/>
  <cols>
    <col min="1" max="1" width="10.5" style="1291" customWidth="1"/>
    <col min="2" max="2" width="15.625" style="1291" customWidth="1"/>
    <col min="3" max="3" width="14.375" style="1291" customWidth="1"/>
    <col min="4" max="4" width="12.125" style="1291" customWidth="1"/>
    <col min="5" max="5" width="14.375" style="1291" customWidth="1"/>
    <col min="6" max="6" width="12.125" style="1291" customWidth="1"/>
    <col min="7" max="7" width="14.5" style="1291" customWidth="1"/>
    <col min="8" max="8" width="12.125" style="1291" customWidth="1"/>
    <col min="9" max="9" width="14.5" style="1291" customWidth="1"/>
    <col min="10" max="10" width="12.125" style="1291" customWidth="1"/>
    <col min="11" max="11" width="12.125" style="1296" customWidth="1"/>
    <col min="12" max="12" width="12.125" style="1297" customWidth="1"/>
    <col min="13" max="15" width="12.125" style="1291" customWidth="1"/>
    <col min="16" max="16" width="4.625" style="1291" customWidth="1"/>
    <col min="17" max="17" width="19.5" style="1291" customWidth="1"/>
    <col min="18" max="22" width="6.125" style="1291" customWidth="1"/>
    <col min="23" max="23" width="5.625" style="1291" customWidth="1"/>
    <col min="24" max="24" width="4.125" style="1291" customWidth="1"/>
    <col min="25" max="25" width="3.5" style="1291" customWidth="1"/>
    <col min="26" max="26" width="19.62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1"/>
      <c r="G1" s="1532" t="s">
        <v>715</v>
      </c>
      <c r="H1" s="500"/>
      <c r="I1" s="500"/>
      <c r="J1" s="500"/>
      <c r="K1" s="501"/>
      <c r="L1" s="3200"/>
      <c r="M1" s="3201"/>
      <c r="N1" s="3201"/>
      <c r="O1" s="3201"/>
      <c r="P1" s="2014"/>
      <c r="Q1" s="2014"/>
      <c r="R1" s="2014"/>
      <c r="S1" s="2014"/>
      <c r="T1" s="2014"/>
      <c r="U1" s="2014"/>
      <c r="V1" s="2014"/>
      <c r="W1" s="2014"/>
      <c r="X1" s="2014"/>
      <c r="Y1" s="2014"/>
      <c r="Z1" s="2014"/>
      <c r="AA1" s="2014"/>
      <c r="AB1" s="2014"/>
      <c r="AC1" s="320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02"/>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523" t="s">
        <v>516</v>
      </c>
      <c r="D4" s="3524"/>
      <c r="E4" s="3525" t="s">
        <v>517</v>
      </c>
      <c r="F4" s="3526"/>
      <c r="G4" s="3523" t="s">
        <v>518</v>
      </c>
      <c r="H4" s="3524"/>
      <c r="I4" s="3523" t="s">
        <v>519</v>
      </c>
      <c r="J4" s="3524"/>
      <c r="K4" s="508" t="s">
        <v>520</v>
      </c>
      <c r="L4" s="2015"/>
      <c r="M4" s="2016"/>
      <c r="N4" s="2016"/>
      <c r="O4" s="2016"/>
      <c r="P4" s="3527" t="s">
        <v>521</v>
      </c>
      <c r="Q4" s="3528"/>
      <c r="R4" s="3533" t="s">
        <v>517</v>
      </c>
      <c r="S4" s="3534"/>
      <c r="T4" s="3533" t="s">
        <v>518</v>
      </c>
      <c r="U4" s="3534"/>
      <c r="V4" s="3539" t="s">
        <v>519</v>
      </c>
      <c r="W4" s="3539"/>
      <c r="X4" s="1502"/>
      <c r="Y4" s="3533" t="s">
        <v>521</v>
      </c>
      <c r="Z4" s="3534"/>
      <c r="AA4" s="3520" t="s">
        <v>517</v>
      </c>
      <c r="AB4" s="3539" t="s">
        <v>518</v>
      </c>
      <c r="AC4" s="3520" t="s">
        <v>519</v>
      </c>
    </row>
    <row r="5" spans="1:29" ht="15">
      <c r="A5" s="509"/>
      <c r="B5" s="510"/>
      <c r="C5" s="3542" t="s">
        <v>2844</v>
      </c>
      <c r="D5" s="3543"/>
      <c r="E5" s="3540" t="s">
        <v>2845</v>
      </c>
      <c r="F5" s="3541"/>
      <c r="G5" s="3542" t="s">
        <v>2846</v>
      </c>
      <c r="H5" s="3543"/>
      <c r="I5" s="3542" t="s">
        <v>2847</v>
      </c>
      <c r="J5" s="3543"/>
      <c r="K5" s="508"/>
      <c r="L5" s="2015"/>
      <c r="M5" s="2016"/>
      <c r="N5" s="2016"/>
      <c r="O5" s="2016"/>
      <c r="P5" s="3529"/>
      <c r="Q5" s="3530"/>
      <c r="R5" s="3535"/>
      <c r="S5" s="3536"/>
      <c r="T5" s="3535"/>
      <c r="U5" s="3536"/>
      <c r="V5" s="3539"/>
      <c r="W5" s="3539"/>
      <c r="X5" s="1502"/>
      <c r="Y5" s="3535"/>
      <c r="Z5" s="3536"/>
      <c r="AA5" s="3521"/>
      <c r="AB5" s="3539"/>
      <c r="AC5" s="3521"/>
    </row>
    <row r="6" spans="1:29" ht="15.75" thickBot="1">
      <c r="A6" s="511"/>
      <c r="B6" s="512"/>
      <c r="C6" s="3544" t="s">
        <v>2848</v>
      </c>
      <c r="D6" s="3545"/>
      <c r="E6" s="3546" t="s">
        <v>2848</v>
      </c>
      <c r="F6" s="3547"/>
      <c r="G6" s="3544" t="s">
        <v>2848</v>
      </c>
      <c r="H6" s="3545"/>
      <c r="I6" s="3544" t="s">
        <v>2848</v>
      </c>
      <c r="J6" s="3545"/>
      <c r="K6" s="508" t="s">
        <v>522</v>
      </c>
      <c r="L6" s="2015"/>
      <c r="M6" s="2016"/>
      <c r="N6" s="2016"/>
      <c r="O6" s="2016"/>
      <c r="P6" s="3531"/>
      <c r="Q6" s="3532"/>
      <c r="R6" s="3535"/>
      <c r="S6" s="3536"/>
      <c r="T6" s="3537"/>
      <c r="U6" s="3538"/>
      <c r="V6" s="3539"/>
      <c r="W6" s="3539"/>
      <c r="X6" s="1502"/>
      <c r="Y6" s="3537"/>
      <c r="Z6" s="3538"/>
      <c r="AA6" s="3522"/>
      <c r="AB6" s="3539"/>
      <c r="AC6" s="3522"/>
    </row>
    <row r="7" spans="1:29" s="1203" customFormat="1" ht="15.75" thickBot="1">
      <c r="A7" s="2626"/>
      <c r="B7" s="2633" t="s">
        <v>523</v>
      </c>
      <c r="C7" s="513">
        <f>'数据-取费表'!B2</f>
        <v>44097</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50" t="s">
        <v>524</v>
      </c>
      <c r="Q7" s="3552"/>
      <c r="R7" s="1503" t="s">
        <v>8</v>
      </c>
      <c r="S7" s="1504">
        <f t="shared" ref="S7:S15" si="0">F7</f>
        <v>0</v>
      </c>
      <c r="T7" s="1503" t="s">
        <v>8</v>
      </c>
      <c r="U7" s="1504">
        <f t="shared" ref="U7:U15" si="1">H7</f>
        <v>0</v>
      </c>
      <c r="V7" s="1503" t="s">
        <v>8</v>
      </c>
      <c r="W7" s="1504">
        <f t="shared" ref="W7:W15" si="2">J7</f>
        <v>0</v>
      </c>
      <c r="X7" s="1505"/>
      <c r="Y7" s="3550" t="s">
        <v>524</v>
      </c>
      <c r="Z7" s="3551"/>
      <c r="AA7" s="1506" t="e">
        <f>D7/F7</f>
        <v>#DIV/0!</v>
      </c>
      <c r="AB7" s="1506" t="e">
        <f>D7/H7</f>
        <v>#DIV/0!</v>
      </c>
      <c r="AC7" s="1506" t="e">
        <f>D7/J7</f>
        <v>#DIV/0!</v>
      </c>
    </row>
    <row r="8" spans="1:29" s="1203" customFormat="1" ht="15.75" thickBot="1">
      <c r="A8" s="2627"/>
      <c r="B8" s="2634"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50" t="s">
        <v>527</v>
      </c>
      <c r="Q8" s="3551"/>
      <c r="R8" s="1503" t="s">
        <v>8</v>
      </c>
      <c r="S8" s="1504">
        <f t="shared" si="0"/>
        <v>0</v>
      </c>
      <c r="T8" s="1503" t="s">
        <v>8</v>
      </c>
      <c r="U8" s="1504">
        <f t="shared" si="1"/>
        <v>0</v>
      </c>
      <c r="V8" s="1503" t="s">
        <v>8</v>
      </c>
      <c r="W8" s="1504">
        <f t="shared" si="2"/>
        <v>0</v>
      </c>
      <c r="X8" s="1505"/>
      <c r="Y8" s="3550" t="s">
        <v>527</v>
      </c>
      <c r="Z8" s="3551"/>
      <c r="AA8" s="1506" t="e">
        <f t="shared" ref="AA8:AA46" si="3">D8/F8</f>
        <v>#DIV/0!</v>
      </c>
      <c r="AB8" s="1506" t="e">
        <f t="shared" ref="AB8:AB46" si="4">D8/H8</f>
        <v>#DIV/0!</v>
      </c>
      <c r="AC8" s="1506" t="e">
        <f t="shared" ref="AC8:AC46" si="5">D8/J8</f>
        <v>#DIV/0!</v>
      </c>
    </row>
    <row r="9" spans="1:29" s="1203" customFormat="1" ht="15">
      <c r="A9" s="2628"/>
      <c r="B9" s="2635" t="s">
        <v>2689</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554" t="s">
        <v>529</v>
      </c>
      <c r="Q9" s="1134" t="str">
        <f t="shared" ref="Q9:Q15" si="6">B9</f>
        <v>用途</v>
      </c>
      <c r="R9" s="1503" t="s">
        <v>8</v>
      </c>
      <c r="S9" s="1504">
        <f t="shared" si="0"/>
        <v>100</v>
      </c>
      <c r="T9" s="1503" t="s">
        <v>8</v>
      </c>
      <c r="U9" s="1504">
        <f t="shared" si="1"/>
        <v>100</v>
      </c>
      <c r="V9" s="1503" t="s">
        <v>8</v>
      </c>
      <c r="W9" s="1504">
        <f t="shared" si="2"/>
        <v>100</v>
      </c>
      <c r="X9" s="1505"/>
      <c r="Y9" s="3443" t="s">
        <v>530</v>
      </c>
      <c r="Z9" s="1133" t="str">
        <f t="shared" ref="Z9:Z15" si="7">Q9</f>
        <v>用途</v>
      </c>
      <c r="AA9" s="1506">
        <f t="shared" si="3"/>
        <v>1</v>
      </c>
      <c r="AB9" s="1506">
        <f t="shared" si="4"/>
        <v>1</v>
      </c>
      <c r="AC9" s="1506">
        <f t="shared" si="5"/>
        <v>1</v>
      </c>
    </row>
    <row r="10" spans="1:29" s="1292" customFormat="1" ht="27">
      <c r="A10" s="2629"/>
      <c r="B10" s="2634" t="s">
        <v>2690</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554"/>
      <c r="Q10" s="1134" t="str">
        <f t="shared" si="6"/>
        <v>土地使用年限（年）</v>
      </c>
      <c r="R10" s="1503" t="s">
        <v>8</v>
      </c>
      <c r="S10" s="1504">
        <f t="shared" si="0"/>
        <v>100</v>
      </c>
      <c r="T10" s="1503" t="s">
        <v>8</v>
      </c>
      <c r="U10" s="1504">
        <f t="shared" si="1"/>
        <v>100</v>
      </c>
      <c r="V10" s="1503" t="s">
        <v>8</v>
      </c>
      <c r="W10" s="1504">
        <f t="shared" si="2"/>
        <v>100</v>
      </c>
      <c r="X10" s="1505"/>
      <c r="Y10" s="3443"/>
      <c r="Z10" s="1133" t="str">
        <f t="shared" si="7"/>
        <v>土地使用年限（年）</v>
      </c>
      <c r="AA10" s="1506">
        <f t="shared" si="3"/>
        <v>1</v>
      </c>
      <c r="AB10" s="1506">
        <f t="shared" si="4"/>
        <v>1</v>
      </c>
      <c r="AC10" s="1506">
        <f t="shared" si="5"/>
        <v>1</v>
      </c>
    </row>
    <row r="11" spans="1:29" ht="15">
      <c r="A11" s="2630"/>
      <c r="B11" s="2634" t="s">
        <v>2691</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554"/>
      <c r="Q11" s="1134" t="str">
        <f t="shared" si="6"/>
        <v>容积率</v>
      </c>
      <c r="R11" s="1503" t="s">
        <v>8</v>
      </c>
      <c r="S11" s="1504" t="e">
        <f t="shared" si="0"/>
        <v>#N/A</v>
      </c>
      <c r="T11" s="1503" t="s">
        <v>8</v>
      </c>
      <c r="U11" s="1504" t="e">
        <f t="shared" si="1"/>
        <v>#N/A</v>
      </c>
      <c r="V11" s="1503" t="s">
        <v>8</v>
      </c>
      <c r="W11" s="1504" t="e">
        <f t="shared" si="2"/>
        <v>#N/A</v>
      </c>
      <c r="X11" s="1505"/>
      <c r="Y11" s="3443"/>
      <c r="Z11" s="1133" t="str">
        <f t="shared" si="7"/>
        <v>容积率</v>
      </c>
      <c r="AA11" s="1506" t="e">
        <f t="shared" si="3"/>
        <v>#N/A</v>
      </c>
      <c r="AB11" s="1506" t="e">
        <f t="shared" si="4"/>
        <v>#N/A</v>
      </c>
      <c r="AC11" s="1506" t="e">
        <f t="shared" si="5"/>
        <v>#N/A</v>
      </c>
    </row>
    <row r="12" spans="1:29" s="1203" customFormat="1" ht="15">
      <c r="A12" s="2631"/>
      <c r="B12" s="2637">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554"/>
      <c r="Q12" s="1134">
        <f t="shared" si="6"/>
        <v>111</v>
      </c>
      <c r="R12" s="1503" t="s">
        <v>8</v>
      </c>
      <c r="S12" s="1504">
        <f t="shared" si="0"/>
        <v>100</v>
      </c>
      <c r="T12" s="1503" t="s">
        <v>8</v>
      </c>
      <c r="U12" s="1504">
        <f t="shared" si="1"/>
        <v>100</v>
      </c>
      <c r="V12" s="1503" t="s">
        <v>8</v>
      </c>
      <c r="W12" s="1504">
        <f t="shared" si="2"/>
        <v>100</v>
      </c>
      <c r="X12" s="1505"/>
      <c r="Y12" s="3443"/>
      <c r="Z12" s="1133">
        <f t="shared" si="7"/>
        <v>111</v>
      </c>
      <c r="AA12" s="1506">
        <f>D12/F12</f>
        <v>1</v>
      </c>
      <c r="AB12" s="1506">
        <f>D12/H12</f>
        <v>1</v>
      </c>
      <c r="AC12" s="1506">
        <f>D12/J12</f>
        <v>1</v>
      </c>
    </row>
    <row r="13" spans="1:29" ht="15">
      <c r="A13" s="2631"/>
      <c r="B13" s="2637">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554"/>
      <c r="Q13" s="1134">
        <f t="shared" si="6"/>
        <v>111</v>
      </c>
      <c r="R13" s="1503" t="s">
        <v>8</v>
      </c>
      <c r="S13" s="1504">
        <f t="shared" si="0"/>
        <v>100</v>
      </c>
      <c r="T13" s="1503" t="s">
        <v>8</v>
      </c>
      <c r="U13" s="1504">
        <f t="shared" si="1"/>
        <v>100</v>
      </c>
      <c r="V13" s="1503" t="s">
        <v>8</v>
      </c>
      <c r="W13" s="1504">
        <f t="shared" si="2"/>
        <v>100</v>
      </c>
      <c r="X13" s="1505"/>
      <c r="Y13" s="3443"/>
      <c r="Z13" s="1133">
        <f t="shared" si="7"/>
        <v>111</v>
      </c>
      <c r="AA13" s="1506">
        <f t="shared" si="3"/>
        <v>1</v>
      </c>
      <c r="AB13" s="1506">
        <f t="shared" si="4"/>
        <v>1</v>
      </c>
      <c r="AC13" s="1506">
        <f t="shared" si="5"/>
        <v>1</v>
      </c>
    </row>
    <row r="14" spans="1:29" ht="15.75" thickBot="1">
      <c r="A14" s="2632"/>
      <c r="B14" s="2638">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554"/>
      <c r="Q14" s="1134">
        <f t="shared" si="6"/>
        <v>111</v>
      </c>
      <c r="R14" s="1503" t="s">
        <v>8</v>
      </c>
      <c r="S14" s="1504">
        <f t="shared" si="0"/>
        <v>100</v>
      </c>
      <c r="T14" s="1503" t="s">
        <v>8</v>
      </c>
      <c r="U14" s="1504">
        <f t="shared" si="1"/>
        <v>100</v>
      </c>
      <c r="V14" s="1503" t="s">
        <v>8</v>
      </c>
      <c r="W14" s="1504">
        <f t="shared" si="2"/>
        <v>100</v>
      </c>
      <c r="X14" s="1505"/>
      <c r="Y14" s="3443"/>
      <c r="Z14" s="1133">
        <f t="shared" si="7"/>
        <v>111</v>
      </c>
      <c r="AA14" s="1506">
        <f t="shared" si="3"/>
        <v>1</v>
      </c>
      <c r="AB14" s="1506">
        <f t="shared" si="4"/>
        <v>1</v>
      </c>
      <c r="AC14" s="1506">
        <f t="shared" si="5"/>
        <v>1</v>
      </c>
    </row>
    <row r="15" spans="1:29" ht="71.25">
      <c r="A15" s="2624" t="s">
        <v>2687</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548" t="s">
        <v>534</v>
      </c>
      <c r="Q15" s="1507" t="str">
        <f t="shared" si="6"/>
        <v>商业繁华度</v>
      </c>
      <c r="R15" s="1508" t="s">
        <v>8</v>
      </c>
      <c r="S15" s="1509">
        <f t="shared" si="0"/>
        <v>100</v>
      </c>
      <c r="T15" s="1508" t="s">
        <v>8</v>
      </c>
      <c r="U15" s="1509">
        <f t="shared" si="1"/>
        <v>100</v>
      </c>
      <c r="V15" s="1508" t="s">
        <v>8</v>
      </c>
      <c r="W15" s="1509">
        <f t="shared" si="2"/>
        <v>100</v>
      </c>
      <c r="X15" s="1502"/>
      <c r="Y15" s="3548"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549"/>
      <c r="Q16" s="1507"/>
      <c r="R16" s="1508"/>
      <c r="S16" s="1509"/>
      <c r="T16" s="1508"/>
      <c r="U16" s="1509"/>
      <c r="V16" s="1508"/>
      <c r="W16" s="1509"/>
      <c r="X16" s="1502"/>
      <c r="Y16" s="3549"/>
      <c r="Z16" s="1510"/>
      <c r="AA16" s="1511">
        <v>1</v>
      </c>
      <c r="AB16" s="1511">
        <v>1</v>
      </c>
      <c r="AC16" s="1511">
        <v>1</v>
      </c>
    </row>
    <row r="17" spans="1:29" ht="156.75">
      <c r="A17" s="526"/>
      <c r="B17" s="860" t="s">
        <v>296</v>
      </c>
      <c r="C17" s="861" t="str">
        <f>估价对象房地状况!C6</f>
        <v>估价对象周边有顺2路、顺27路、顺28路、顺38路、顺43路、顺59路、顺60路等多条公交线路，距地铁15号线（南法信站）约500米，综合评价交通便捷度较好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549"/>
      <c r="Q17" s="1507" t="str">
        <f>B17</f>
        <v>交通便捷度</v>
      </c>
      <c r="R17" s="1508" t="s">
        <v>8</v>
      </c>
      <c r="S17" s="1509">
        <f>F17</f>
        <v>100</v>
      </c>
      <c r="T17" s="1508" t="s">
        <v>8</v>
      </c>
      <c r="U17" s="1509">
        <f>H17</f>
        <v>100</v>
      </c>
      <c r="V17" s="1508" t="s">
        <v>8</v>
      </c>
      <c r="W17" s="1509">
        <f>J17</f>
        <v>100</v>
      </c>
      <c r="X17" s="1502"/>
      <c r="Y17" s="3549"/>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549"/>
      <c r="Q18" s="1507"/>
      <c r="R18" s="1508"/>
      <c r="S18" s="1509"/>
      <c r="T18" s="1508"/>
      <c r="U18" s="1509"/>
      <c r="V18" s="1508"/>
      <c r="W18" s="1509"/>
      <c r="X18" s="1502"/>
      <c r="Y18" s="3549"/>
      <c r="Z18" s="1510"/>
      <c r="AA18" s="1511">
        <v>1</v>
      </c>
      <c r="AB18" s="1511">
        <v>1</v>
      </c>
      <c r="AC18" s="1511">
        <v>1</v>
      </c>
    </row>
    <row r="19" spans="1:29" ht="42.75">
      <c r="A19" s="526"/>
      <c r="B19" s="2441" t="s">
        <v>2480</v>
      </c>
      <c r="C19" s="861" t="str">
        <f>估价对象房地状况!C7</f>
        <v>估价对象所在区域公共配套设施齐备情况一般</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549"/>
      <c r="Q19" s="1507" t="str">
        <f>B19</f>
        <v>公共配套设施</v>
      </c>
      <c r="R19" s="1508" t="s">
        <v>8</v>
      </c>
      <c r="S19" s="1509">
        <f>F19</f>
        <v>100</v>
      </c>
      <c r="T19" s="1508" t="s">
        <v>8</v>
      </c>
      <c r="U19" s="1509">
        <f>H19</f>
        <v>100</v>
      </c>
      <c r="V19" s="1508" t="s">
        <v>8</v>
      </c>
      <c r="W19" s="1509">
        <f>J19</f>
        <v>100</v>
      </c>
      <c r="X19" s="1502"/>
      <c r="Y19" s="3549"/>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4"/>
      <c r="M20" s="2016"/>
      <c r="N20" s="2016"/>
      <c r="O20" s="2023"/>
      <c r="P20" s="3549"/>
      <c r="Q20" s="1507"/>
      <c r="R20" s="1508"/>
      <c r="S20" s="1509"/>
      <c r="T20" s="1508"/>
      <c r="U20" s="1509"/>
      <c r="V20" s="1508"/>
      <c r="W20" s="1509"/>
      <c r="X20" s="1502"/>
      <c r="Y20" s="3549"/>
      <c r="Z20" s="1510"/>
      <c r="AA20" s="1511">
        <v>1</v>
      </c>
      <c r="AB20" s="1511">
        <v>1</v>
      </c>
      <c r="AC20" s="1511">
        <v>1</v>
      </c>
    </row>
    <row r="21" spans="1:29" ht="28.5">
      <c r="A21" s="526"/>
      <c r="B21" s="2434" t="s">
        <v>2492</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549"/>
      <c r="Q21" s="2426" t="str">
        <f>B21</f>
        <v>基础设施水平</v>
      </c>
      <c r="R21" s="1508" t="s">
        <v>8</v>
      </c>
      <c r="S21" s="1509">
        <f>F21</f>
        <v>100</v>
      </c>
      <c r="T21" s="1508" t="s">
        <v>8</v>
      </c>
      <c r="U21" s="1509">
        <f>H21</f>
        <v>100</v>
      </c>
      <c r="V21" s="1508" t="s">
        <v>8</v>
      </c>
      <c r="W21" s="1509">
        <f>J21</f>
        <v>100</v>
      </c>
      <c r="X21" s="2428"/>
      <c r="Y21" s="3549"/>
      <c r="Z21" s="2427" t="str">
        <f>Q21</f>
        <v>基础设施水平</v>
      </c>
      <c r="AA21" s="1511">
        <f>D21/F21</f>
        <v>1</v>
      </c>
      <c r="AB21" s="1511">
        <f>D21/H21</f>
        <v>1</v>
      </c>
      <c r="AC21" s="1511">
        <f>D21/J21</f>
        <v>1</v>
      </c>
    </row>
    <row r="22" spans="1:29" ht="15">
      <c r="A22" s="526"/>
      <c r="B22" s="911"/>
      <c r="C22" s="862"/>
      <c r="D22" s="549"/>
      <c r="E22" s="570"/>
      <c r="F22" s="551"/>
      <c r="G22" s="570"/>
      <c r="H22" s="549"/>
      <c r="I22" s="570"/>
      <c r="J22" s="549"/>
      <c r="K22" s="2443"/>
      <c r="L22" s="2024"/>
      <c r="M22" s="2016"/>
      <c r="N22" s="2016"/>
      <c r="O22" s="2023"/>
      <c r="P22" s="3549"/>
      <c r="Q22" s="2426"/>
      <c r="R22" s="1508"/>
      <c r="S22" s="1509"/>
      <c r="T22" s="1508"/>
      <c r="U22" s="1509"/>
      <c r="V22" s="1508"/>
      <c r="W22" s="1509"/>
      <c r="X22" s="2428"/>
      <c r="Y22" s="3549"/>
      <c r="Z22" s="2427"/>
      <c r="AA22" s="1511">
        <v>1</v>
      </c>
      <c r="AB22" s="1511">
        <v>1</v>
      </c>
      <c r="AC22" s="1511">
        <v>1</v>
      </c>
    </row>
    <row r="23" spans="1:29" ht="85.5">
      <c r="A23" s="526"/>
      <c r="B23" s="860" t="s">
        <v>297</v>
      </c>
      <c r="C23" s="889" t="str">
        <f>估价对象房地状况!C9</f>
        <v>区域自然环境：小众和；人文环境：国家新闻出版广电总局研修学院；综合评价环境状况一般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549"/>
      <c r="Q23" s="1507" t="str">
        <f>B23</f>
        <v>自然及人文环境</v>
      </c>
      <c r="R23" s="1508" t="s">
        <v>8</v>
      </c>
      <c r="S23" s="1509">
        <f>F23</f>
        <v>100</v>
      </c>
      <c r="T23" s="1508" t="s">
        <v>8</v>
      </c>
      <c r="U23" s="1509">
        <f>H23</f>
        <v>100</v>
      </c>
      <c r="V23" s="1508" t="s">
        <v>8</v>
      </c>
      <c r="W23" s="1509">
        <f>J23</f>
        <v>100</v>
      </c>
      <c r="X23" s="1502"/>
      <c r="Y23" s="3549"/>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4"/>
      <c r="M24" s="2016"/>
      <c r="N24" s="2016"/>
      <c r="O24" s="2023"/>
      <c r="P24" s="3549"/>
      <c r="Q24" s="1507"/>
      <c r="R24" s="1508"/>
      <c r="S24" s="1509"/>
      <c r="T24" s="1508"/>
      <c r="U24" s="1509"/>
      <c r="V24" s="1508"/>
      <c r="W24" s="1509"/>
      <c r="X24" s="1502"/>
      <c r="Y24" s="3549"/>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49"/>
      <c r="Q25" s="1507" t="str">
        <f t="shared" ref="Q25:Q46" si="8">B25</f>
        <v>临街状况</v>
      </c>
      <c r="R25" s="1508" t="s">
        <v>8</v>
      </c>
      <c r="S25" s="1509">
        <f>F25</f>
        <v>100</v>
      </c>
      <c r="T25" s="1508" t="s">
        <v>8</v>
      </c>
      <c r="U25" s="1509">
        <f>H25</f>
        <v>100</v>
      </c>
      <c r="V25" s="1508" t="s">
        <v>8</v>
      </c>
      <c r="W25" s="1509">
        <f>J25</f>
        <v>100</v>
      </c>
      <c r="X25" s="1502"/>
      <c r="Y25" s="3549"/>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49"/>
      <c r="Q26" s="1507" t="str">
        <f t="shared" si="8"/>
        <v>平面位置/可视性</v>
      </c>
      <c r="R26" s="1508" t="s">
        <v>8</v>
      </c>
      <c r="S26" s="1509">
        <f>F26</f>
        <v>100</v>
      </c>
      <c r="T26" s="1508" t="s">
        <v>8</v>
      </c>
      <c r="U26" s="1509">
        <f>H26</f>
        <v>100</v>
      </c>
      <c r="V26" s="1508" t="s">
        <v>8</v>
      </c>
      <c r="W26" s="1509">
        <f>J26</f>
        <v>100</v>
      </c>
      <c r="X26" s="1502"/>
      <c r="Y26" s="3549"/>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549"/>
      <c r="Q27" s="1134" t="str">
        <f t="shared" si="8"/>
        <v>人流量</v>
      </c>
      <c r="R27" s="1503" t="s">
        <v>8</v>
      </c>
      <c r="S27" s="1504">
        <f>F27</f>
        <v>100</v>
      </c>
      <c r="T27" s="1503" t="s">
        <v>8</v>
      </c>
      <c r="U27" s="1504">
        <f>H27</f>
        <v>100</v>
      </c>
      <c r="V27" s="1503" t="s">
        <v>8</v>
      </c>
      <c r="W27" s="1504">
        <f>J27</f>
        <v>100</v>
      </c>
      <c r="X27" s="1505"/>
      <c r="Y27" s="3549"/>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49"/>
      <c r="Q28" s="1507" t="str">
        <f t="shared" si="8"/>
        <v>楼层</v>
      </c>
      <c r="R28" s="1508" t="s">
        <v>8</v>
      </c>
      <c r="S28" s="1509">
        <f t="shared" ref="S28:S46" si="9">F28</f>
        <v>100</v>
      </c>
      <c r="T28" s="1508" t="s">
        <v>8</v>
      </c>
      <c r="U28" s="1509">
        <f t="shared" ref="U28:U46" si="10">H28</f>
        <v>100</v>
      </c>
      <c r="V28" s="1508" t="s">
        <v>8</v>
      </c>
      <c r="W28" s="1509">
        <f t="shared" ref="W28:W46" si="11">J28</f>
        <v>100</v>
      </c>
      <c r="X28" s="1502"/>
      <c r="Y28" s="3549"/>
      <c r="Z28" s="1510" t="str">
        <f t="shared" ref="Z28:Z46" si="12">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49"/>
      <c r="Q29" s="1507">
        <f t="shared" si="8"/>
        <v>111</v>
      </c>
      <c r="R29" s="1508" t="s">
        <v>8</v>
      </c>
      <c r="S29" s="1509">
        <f t="shared" si="9"/>
        <v>100</v>
      </c>
      <c r="T29" s="1508" t="s">
        <v>8</v>
      </c>
      <c r="U29" s="1509">
        <f t="shared" si="10"/>
        <v>100</v>
      </c>
      <c r="V29" s="1508" t="s">
        <v>8</v>
      </c>
      <c r="W29" s="1509">
        <f t="shared" si="11"/>
        <v>100</v>
      </c>
      <c r="X29" s="1502"/>
      <c r="Y29" s="3549"/>
      <c r="Z29" s="1510">
        <f t="shared" si="12"/>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49"/>
      <c r="Q30" s="1507">
        <f t="shared" si="8"/>
        <v>111</v>
      </c>
      <c r="R30" s="1508" t="s">
        <v>8</v>
      </c>
      <c r="S30" s="1509">
        <f t="shared" si="9"/>
        <v>100</v>
      </c>
      <c r="T30" s="1508" t="s">
        <v>8</v>
      </c>
      <c r="U30" s="1509">
        <f t="shared" si="10"/>
        <v>100</v>
      </c>
      <c r="V30" s="1508" t="s">
        <v>8</v>
      </c>
      <c r="W30" s="1509">
        <f t="shared" si="11"/>
        <v>100</v>
      </c>
      <c r="X30" s="1502"/>
      <c r="Y30" s="3549"/>
      <c r="Z30" s="1510">
        <f t="shared" si="12"/>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49"/>
      <c r="Q31" s="1507">
        <f t="shared" si="8"/>
        <v>111</v>
      </c>
      <c r="R31" s="1508" t="s">
        <v>8</v>
      </c>
      <c r="S31" s="1509">
        <f t="shared" si="9"/>
        <v>100</v>
      </c>
      <c r="T31" s="1508" t="s">
        <v>8</v>
      </c>
      <c r="U31" s="1509">
        <f t="shared" si="10"/>
        <v>100</v>
      </c>
      <c r="V31" s="1508" t="s">
        <v>8</v>
      </c>
      <c r="W31" s="1509">
        <f t="shared" si="11"/>
        <v>100</v>
      </c>
      <c r="X31" s="1502"/>
      <c r="Y31" s="3549"/>
      <c r="Z31" s="1510">
        <f t="shared" si="12"/>
        <v>111</v>
      </c>
      <c r="AA31" s="1511">
        <f t="shared" si="3"/>
        <v>1</v>
      </c>
      <c r="AB31" s="1511">
        <f t="shared" si="4"/>
        <v>1</v>
      </c>
      <c r="AC31" s="1511">
        <f t="shared" si="5"/>
        <v>1</v>
      </c>
    </row>
    <row r="32" spans="1:29" ht="15">
      <c r="A32" s="2621" t="s">
        <v>2688</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55" t="s">
        <v>544</v>
      </c>
      <c r="Q32" s="1507" t="str">
        <f t="shared" si="8"/>
        <v>商业类型</v>
      </c>
      <c r="R32" s="1508" t="s">
        <v>8</v>
      </c>
      <c r="S32" s="1509">
        <f t="shared" si="9"/>
        <v>100</v>
      </c>
      <c r="T32" s="1508" t="s">
        <v>8</v>
      </c>
      <c r="U32" s="1509">
        <f t="shared" si="10"/>
        <v>100</v>
      </c>
      <c r="V32" s="1508" t="s">
        <v>8</v>
      </c>
      <c r="W32" s="1509">
        <f t="shared" si="11"/>
        <v>100</v>
      </c>
      <c r="X32" s="1502"/>
      <c r="Y32" s="3553" t="s">
        <v>544</v>
      </c>
      <c r="Z32" s="1510" t="str">
        <f t="shared" si="12"/>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53"/>
      <c r="Q33" s="1536" t="str">
        <f t="shared" si="8"/>
        <v>项目建筑规模</v>
      </c>
      <c r="R33" s="1512" t="s">
        <v>8</v>
      </c>
      <c r="S33" s="1513" t="e">
        <f t="shared" si="9"/>
        <v>#N/A</v>
      </c>
      <c r="T33" s="1512" t="s">
        <v>8</v>
      </c>
      <c r="U33" s="1513" t="e">
        <f t="shared" si="10"/>
        <v>#N/A</v>
      </c>
      <c r="V33" s="1512" t="s">
        <v>8</v>
      </c>
      <c r="W33" s="1513" t="e">
        <f t="shared" si="11"/>
        <v>#N/A</v>
      </c>
      <c r="X33" s="1514"/>
      <c r="Y33" s="3553"/>
      <c r="Z33" s="1515" t="str">
        <f t="shared" si="12"/>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553"/>
      <c r="Q34" s="1507" t="str">
        <f t="shared" si="8"/>
        <v>建筑结构</v>
      </c>
      <c r="R34" s="1508" t="s">
        <v>8</v>
      </c>
      <c r="S34" s="1509">
        <f t="shared" si="9"/>
        <v>100</v>
      </c>
      <c r="T34" s="1508" t="s">
        <v>8</v>
      </c>
      <c r="U34" s="1509">
        <f t="shared" si="10"/>
        <v>100</v>
      </c>
      <c r="V34" s="1508" t="s">
        <v>8</v>
      </c>
      <c r="W34" s="1509">
        <f t="shared" si="11"/>
        <v>100</v>
      </c>
      <c r="X34" s="1502"/>
      <c r="Y34" s="3553"/>
      <c r="Z34" s="1510" t="str">
        <f t="shared" si="12"/>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53"/>
      <c r="Q35" s="1507" t="str">
        <f t="shared" si="8"/>
        <v>公共部分装修</v>
      </c>
      <c r="R35" s="1508" t="s">
        <v>8</v>
      </c>
      <c r="S35" s="1509">
        <f t="shared" si="9"/>
        <v>100</v>
      </c>
      <c r="T35" s="1508" t="s">
        <v>8</v>
      </c>
      <c r="U35" s="1509">
        <f t="shared" si="10"/>
        <v>100</v>
      </c>
      <c r="V35" s="1508" t="s">
        <v>8</v>
      </c>
      <c r="W35" s="1509">
        <f t="shared" si="11"/>
        <v>100</v>
      </c>
      <c r="X35" s="1502"/>
      <c r="Y35" s="3553"/>
      <c r="Z35" s="1510" t="str">
        <f t="shared" si="12"/>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553"/>
      <c r="Q36" s="1507" t="str">
        <f t="shared" si="8"/>
        <v>成新度</v>
      </c>
      <c r="R36" s="1508" t="s">
        <v>8</v>
      </c>
      <c r="S36" s="1509" t="e">
        <f t="shared" si="9"/>
        <v>#N/A</v>
      </c>
      <c r="T36" s="1508" t="s">
        <v>8</v>
      </c>
      <c r="U36" s="1509" t="e">
        <f t="shared" si="10"/>
        <v>#N/A</v>
      </c>
      <c r="V36" s="1508" t="s">
        <v>8</v>
      </c>
      <c r="W36" s="1509" t="e">
        <f t="shared" si="11"/>
        <v>#N/A</v>
      </c>
      <c r="X36" s="1502"/>
      <c r="Y36" s="3553"/>
      <c r="Z36" s="1510" t="str">
        <f t="shared" si="12"/>
        <v>成新度</v>
      </c>
      <c r="AA36" s="1511" t="e">
        <f t="shared" si="3"/>
        <v>#N/A</v>
      </c>
      <c r="AB36" s="1511" t="e">
        <f t="shared" si="4"/>
        <v>#N/A</v>
      </c>
      <c r="AC36" s="1511" t="e">
        <f t="shared" si="5"/>
        <v>#N/A</v>
      </c>
    </row>
    <row r="37" spans="1:29" s="1203" customFormat="1" ht="15">
      <c r="A37" s="594"/>
      <c r="B37" s="1809" t="s">
        <v>2499</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53"/>
      <c r="Q37" s="1134" t="str">
        <f t="shared" si="8"/>
        <v>市政基础设施</v>
      </c>
      <c r="R37" s="1503" t="s">
        <v>8</v>
      </c>
      <c r="S37" s="1504">
        <f t="shared" si="9"/>
        <v>100</v>
      </c>
      <c r="T37" s="1503" t="s">
        <v>8</v>
      </c>
      <c r="U37" s="1504">
        <f t="shared" si="10"/>
        <v>100</v>
      </c>
      <c r="V37" s="1503" t="s">
        <v>8</v>
      </c>
      <c r="W37" s="1504">
        <f t="shared" si="11"/>
        <v>100</v>
      </c>
      <c r="X37" s="1505"/>
      <c r="Y37" s="3553"/>
      <c r="Z37" s="1133" t="str">
        <f t="shared" si="12"/>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53" t="s">
        <v>760</v>
      </c>
      <c r="Q38" s="1507" t="str">
        <f t="shared" si="8"/>
        <v>业态</v>
      </c>
      <c r="R38" s="1508" t="s">
        <v>8</v>
      </c>
      <c r="S38" s="1509">
        <f t="shared" si="9"/>
        <v>100</v>
      </c>
      <c r="T38" s="1508" t="s">
        <v>8</v>
      </c>
      <c r="U38" s="1509">
        <f t="shared" si="10"/>
        <v>100</v>
      </c>
      <c r="V38" s="1508" t="s">
        <v>8</v>
      </c>
      <c r="W38" s="1509">
        <f t="shared" si="11"/>
        <v>100</v>
      </c>
      <c r="X38" s="1502"/>
      <c r="Y38" s="3553" t="s">
        <v>760</v>
      </c>
      <c r="Z38" s="1510" t="str">
        <f t="shared" si="12"/>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53"/>
      <c r="Q39" s="1507" t="str">
        <f t="shared" si="8"/>
        <v>层高</v>
      </c>
      <c r="R39" s="1508" t="s">
        <v>8</v>
      </c>
      <c r="S39" s="1509">
        <f t="shared" si="9"/>
        <v>100</v>
      </c>
      <c r="T39" s="1508" t="s">
        <v>8</v>
      </c>
      <c r="U39" s="1509">
        <f t="shared" si="10"/>
        <v>100</v>
      </c>
      <c r="V39" s="1508" t="s">
        <v>8</v>
      </c>
      <c r="W39" s="1509">
        <f t="shared" si="11"/>
        <v>100</v>
      </c>
      <c r="X39" s="1502"/>
      <c r="Y39" s="3553"/>
      <c r="Z39" s="1510" t="str">
        <f t="shared" si="12"/>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553"/>
      <c r="Q40" s="1507" t="str">
        <f t="shared" si="8"/>
        <v>单套建筑面积</v>
      </c>
      <c r="R40" s="1508" t="s">
        <v>8</v>
      </c>
      <c r="S40" s="1509">
        <f t="shared" si="9"/>
        <v>100</v>
      </c>
      <c r="T40" s="1508" t="s">
        <v>8</v>
      </c>
      <c r="U40" s="1509">
        <f t="shared" si="10"/>
        <v>100</v>
      </c>
      <c r="V40" s="1508" t="s">
        <v>8</v>
      </c>
      <c r="W40" s="1509">
        <f t="shared" si="11"/>
        <v>100</v>
      </c>
      <c r="X40" s="1502"/>
      <c r="Y40" s="3553"/>
      <c r="Z40" s="1510" t="str">
        <f t="shared" si="12"/>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53"/>
      <c r="Q41" s="1536" t="str">
        <f t="shared" si="8"/>
        <v>进深比</v>
      </c>
      <c r="R41" s="1512" t="s">
        <v>8</v>
      </c>
      <c r="S41" s="1513">
        <f t="shared" si="9"/>
        <v>100</v>
      </c>
      <c r="T41" s="1512" t="s">
        <v>8</v>
      </c>
      <c r="U41" s="1513">
        <f t="shared" si="10"/>
        <v>100</v>
      </c>
      <c r="V41" s="1512" t="s">
        <v>8</v>
      </c>
      <c r="W41" s="1513">
        <f t="shared" si="11"/>
        <v>100</v>
      </c>
      <c r="X41" s="1514"/>
      <c r="Y41" s="3553"/>
      <c r="Z41" s="1515" t="str">
        <f t="shared" si="12"/>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53"/>
      <c r="Q42" s="1507" t="str">
        <f t="shared" si="8"/>
        <v>内部装修</v>
      </c>
      <c r="R42" s="1508" t="s">
        <v>8</v>
      </c>
      <c r="S42" s="1509">
        <f t="shared" si="9"/>
        <v>100</v>
      </c>
      <c r="T42" s="1508" t="s">
        <v>8</v>
      </c>
      <c r="U42" s="1509">
        <f t="shared" si="10"/>
        <v>100</v>
      </c>
      <c r="V42" s="1508" t="s">
        <v>8</v>
      </c>
      <c r="W42" s="1509">
        <f t="shared" si="11"/>
        <v>100</v>
      </c>
      <c r="X42" s="1502"/>
      <c r="Y42" s="3553"/>
      <c r="Z42" s="1510" t="str">
        <f t="shared" si="12"/>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53"/>
      <c r="Q43" s="1507" t="str">
        <f t="shared" si="8"/>
        <v>内部装修维护情况</v>
      </c>
      <c r="R43" s="1508" t="s">
        <v>8</v>
      </c>
      <c r="S43" s="1509">
        <f t="shared" si="9"/>
        <v>100</v>
      </c>
      <c r="T43" s="1508" t="s">
        <v>8</v>
      </c>
      <c r="U43" s="1509">
        <f t="shared" si="10"/>
        <v>100</v>
      </c>
      <c r="V43" s="1508" t="s">
        <v>8</v>
      </c>
      <c r="W43" s="1509">
        <f t="shared" si="11"/>
        <v>100</v>
      </c>
      <c r="X43" s="1502"/>
      <c r="Y43" s="3553"/>
      <c r="Z43" s="1510" t="str">
        <f t="shared" si="12"/>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53"/>
      <c r="Q44" s="1134">
        <f t="shared" si="8"/>
        <v>111</v>
      </c>
      <c r="R44" s="1503" t="s">
        <v>8</v>
      </c>
      <c r="S44" s="1504">
        <f t="shared" si="9"/>
        <v>100</v>
      </c>
      <c r="T44" s="1503" t="s">
        <v>8</v>
      </c>
      <c r="U44" s="1504">
        <f t="shared" si="10"/>
        <v>100</v>
      </c>
      <c r="V44" s="1503" t="s">
        <v>8</v>
      </c>
      <c r="W44" s="1504">
        <f t="shared" si="11"/>
        <v>100</v>
      </c>
      <c r="X44" s="1505"/>
      <c r="Y44" s="3553"/>
      <c r="Z44" s="1133">
        <f t="shared" si="12"/>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53"/>
      <c r="Q45" s="1507">
        <f t="shared" si="8"/>
        <v>111</v>
      </c>
      <c r="R45" s="1508" t="s">
        <v>8</v>
      </c>
      <c r="S45" s="1509">
        <f t="shared" si="9"/>
        <v>100</v>
      </c>
      <c r="T45" s="1508" t="s">
        <v>8</v>
      </c>
      <c r="U45" s="1509">
        <f t="shared" si="10"/>
        <v>100</v>
      </c>
      <c r="V45" s="1508" t="s">
        <v>8</v>
      </c>
      <c r="W45" s="1509">
        <f t="shared" si="11"/>
        <v>100</v>
      </c>
      <c r="X45" s="1502"/>
      <c r="Y45" s="3553"/>
      <c r="Z45" s="1510">
        <f t="shared" si="12"/>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42"/>
      <c r="Q46" s="1507">
        <f t="shared" si="8"/>
        <v>111</v>
      </c>
      <c r="R46" s="1508" t="s">
        <v>8</v>
      </c>
      <c r="S46" s="1509">
        <f t="shared" si="9"/>
        <v>100</v>
      </c>
      <c r="T46" s="1508" t="s">
        <v>8</v>
      </c>
      <c r="U46" s="1509">
        <f t="shared" si="10"/>
        <v>100</v>
      </c>
      <c r="V46" s="1508" t="s">
        <v>8</v>
      </c>
      <c r="W46" s="1509">
        <f t="shared" si="11"/>
        <v>100</v>
      </c>
      <c r="X46" s="1502"/>
      <c r="Y46" s="3642"/>
      <c r="Z46" s="1510">
        <f t="shared" si="12"/>
        <v>111</v>
      </c>
      <c r="AA46" s="1511">
        <f t="shared" si="3"/>
        <v>1</v>
      </c>
      <c r="AB46" s="1511">
        <f t="shared" si="4"/>
        <v>1</v>
      </c>
      <c r="AC46" s="1511">
        <f t="shared" si="5"/>
        <v>1</v>
      </c>
    </row>
    <row r="47" spans="1:29" ht="15">
      <c r="A47" s="601" t="s">
        <v>730</v>
      </c>
      <c r="B47" s="876"/>
      <c r="C47" s="2467" t="s">
        <v>1</v>
      </c>
      <c r="D47" s="2468"/>
      <c r="E47" s="2469"/>
      <c r="F47" s="2470"/>
      <c r="G47" s="2471"/>
      <c r="H47" s="2472"/>
      <c r="I47" s="2469"/>
      <c r="J47" s="2472"/>
      <c r="K47" s="1541"/>
      <c r="L47" s="2026"/>
      <c r="M47" s="2027"/>
      <c r="N47" s="2016"/>
      <c r="O47" s="2027"/>
      <c r="P47" s="3554" t="str">
        <f>A47</f>
        <v>成交单价（元/平方米）</v>
      </c>
      <c r="Q47" s="3554"/>
      <c r="R47" s="3640">
        <f>E47</f>
        <v>0</v>
      </c>
      <c r="S47" s="3640"/>
      <c r="T47" s="3640">
        <f>G47</f>
        <v>0</v>
      </c>
      <c r="U47" s="3640"/>
      <c r="V47" s="3640">
        <f>I47</f>
        <v>0</v>
      </c>
      <c r="W47" s="3640"/>
      <c r="X47" s="1497"/>
      <c r="Y47" s="1516"/>
      <c r="Z47" s="1497"/>
      <c r="AA47" s="1497"/>
      <c r="AB47" s="1497"/>
      <c r="AC47" s="1497"/>
    </row>
    <row r="48" spans="1:29" ht="15.75" thickBot="1">
      <c r="A48" s="609" t="s">
        <v>2693</v>
      </c>
      <c r="B48" s="877"/>
      <c r="C48" s="2473" t="e">
        <f>R49</f>
        <v>#DIV/0!</v>
      </c>
      <c r="D48" s="3008" t="s">
        <v>2915</v>
      </c>
      <c r="E48" s="2474" t="e">
        <f>R48</f>
        <v>#DIV/0!</v>
      </c>
      <c r="F48" s="3009"/>
      <c r="G48" s="2473" t="e">
        <f>T48</f>
        <v>#DIV/0!</v>
      </c>
      <c r="H48" s="3009"/>
      <c r="I48" s="2474" t="e">
        <f>V48</f>
        <v>#DIV/0!</v>
      </c>
      <c r="J48" s="3009"/>
      <c r="K48" s="3016">
        <f>F48+H48+J48</f>
        <v>0</v>
      </c>
      <c r="L48" s="2026"/>
      <c r="M48" s="2027"/>
      <c r="N48" s="2016"/>
      <c r="O48" s="2027"/>
      <c r="P48" s="3554" t="str">
        <f>A48</f>
        <v>比较价格（元/平方米）</v>
      </c>
      <c r="Q48" s="3554"/>
      <c r="R48" s="3640" t="e">
        <f>IF(F1="售价",ROUND(PRODUCT(R47,AA7:AA46),0),ROUND(PRODUCT(R47,AA7:AA46),1))</f>
        <v>#DIV/0!</v>
      </c>
      <c r="S48" s="3640"/>
      <c r="T48" s="3640" t="e">
        <f>IF(F1="售价",ROUND(PRODUCT(T47,AB7:AB46),0),ROUND(PRODUCT(T47,AB7:AB46),1))</f>
        <v>#DIV/0!</v>
      </c>
      <c r="U48" s="3640"/>
      <c r="V48" s="3640" t="e">
        <f>IF(F1="售价",ROUND(PRODUCT(V47,AC7:AC46),0),ROUND(PRODUCT(V47,AC7:AC46),1))</f>
        <v>#DIV/0!</v>
      </c>
      <c r="W48" s="3640"/>
      <c r="X48" s="1497"/>
      <c r="Y48" s="1497"/>
      <c r="Z48" s="1497"/>
      <c r="AA48" s="1497"/>
      <c r="AB48" s="1497"/>
      <c r="AC48" s="1497"/>
    </row>
    <row r="49" spans="1:29" ht="15.75" thickBot="1">
      <c r="A49" s="613" t="s">
        <v>2850</v>
      </c>
      <c r="B49" s="614"/>
      <c r="C49" s="2475" t="e">
        <f>R49</f>
        <v>#DIV/0!</v>
      </c>
      <c r="D49" s="2475"/>
      <c r="E49" s="2475"/>
      <c r="F49" s="2475"/>
      <c r="G49" s="2475"/>
      <c r="H49" s="2475"/>
      <c r="I49" s="2475"/>
      <c r="J49" s="2475"/>
      <c r="K49" s="1542"/>
      <c r="L49" s="2026"/>
      <c r="M49" s="2027"/>
      <c r="N49" s="2016"/>
      <c r="O49" s="2027"/>
      <c r="P49" s="3557" t="str">
        <f>A49</f>
        <v>估价对象XX用房的比较价格（楼面单价，元/平方米）</v>
      </c>
      <c r="Q49" s="3558"/>
      <c r="R49" s="3641" t="e">
        <f>IF(F1="售价",ROUND(IF(D48="简单平均",AVERAGE(R48:V48),R48*F48+T48*H48+V48*J48),0),ROUND(IF(D48="简单平均",AVERAGE(R48:V48),R48*F48+T48*H48+V48*J48),1))</f>
        <v>#DIV/0!</v>
      </c>
      <c r="S49" s="3641"/>
      <c r="T49" s="3641"/>
      <c r="U49" s="3641"/>
      <c r="V49" s="3641"/>
      <c r="W49" s="3641"/>
      <c r="X49" s="1497"/>
      <c r="Y49" s="1497"/>
      <c r="Z49" s="1497"/>
      <c r="AA49" s="1497"/>
      <c r="AB49" s="1497"/>
      <c r="AC49" s="1497"/>
    </row>
    <row r="50" spans="1:29">
      <c r="A50" s="3204"/>
      <c r="B50" s="3204"/>
      <c r="C50" s="3204"/>
      <c r="D50" s="3204"/>
      <c r="E50" s="3204"/>
      <c r="F50" s="3204"/>
      <c r="G50" s="3206"/>
      <c r="H50" s="3204"/>
      <c r="I50" s="3204"/>
      <c r="J50" s="3204"/>
      <c r="K50" s="3207"/>
      <c r="L50" s="2031"/>
      <c r="M50" s="2027"/>
      <c r="N50" s="2027"/>
      <c r="O50" s="2027"/>
      <c r="P50" s="2027"/>
      <c r="Q50" s="2027"/>
      <c r="R50" s="2027"/>
      <c r="S50" s="2027"/>
      <c r="T50" s="2027"/>
      <c r="U50" s="2027"/>
      <c r="V50" s="2027"/>
      <c r="W50" s="2027"/>
      <c r="X50" s="2027"/>
      <c r="Y50" s="2027"/>
      <c r="Z50" s="2027"/>
      <c r="AA50" s="2027"/>
      <c r="AB50" s="2027"/>
      <c r="AC50" s="2027"/>
    </row>
    <row r="51" spans="1:29">
      <c r="A51" s="3204"/>
      <c r="B51" s="3204"/>
      <c r="C51" s="3204"/>
      <c r="D51" s="3204"/>
      <c r="E51" s="3204"/>
      <c r="F51" s="3204"/>
      <c r="G51" s="3204"/>
      <c r="H51" s="3204"/>
      <c r="I51" s="3204"/>
      <c r="J51" s="3204"/>
      <c r="K51" s="320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04"/>
      <c r="B52" s="320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0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04"/>
      <c r="B53" s="320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0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05"/>
      <c r="B54" s="320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0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6" t="str">
        <f>YEAR(C7)&amp;"-"&amp;MONTH(C7)</f>
        <v>2020-9</v>
      </c>
      <c r="D58" s="2518">
        <f>EDATE(C58,-1)</f>
        <v>44044</v>
      </c>
      <c r="E58" s="2518">
        <f t="shared" ref="E58:O58" si="13">EDATE(D58,-1)</f>
        <v>44013</v>
      </c>
      <c r="F58" s="2518">
        <f t="shared" si="13"/>
        <v>43983</v>
      </c>
      <c r="G58" s="2518">
        <f t="shared" si="13"/>
        <v>43952</v>
      </c>
      <c r="H58" s="2518">
        <f t="shared" si="13"/>
        <v>43922</v>
      </c>
      <c r="I58" s="2518">
        <f t="shared" si="13"/>
        <v>43891</v>
      </c>
      <c r="J58" s="2518">
        <f t="shared" si="13"/>
        <v>43862</v>
      </c>
      <c r="K58" s="2518">
        <f t="shared" si="13"/>
        <v>43831</v>
      </c>
      <c r="L58" s="2518">
        <f t="shared" si="13"/>
        <v>43800</v>
      </c>
      <c r="M58" s="2518">
        <f t="shared" si="13"/>
        <v>43770</v>
      </c>
      <c r="N58" s="2518">
        <f t="shared" si="13"/>
        <v>43739</v>
      </c>
      <c r="O58" s="2518">
        <f t="shared" si="13"/>
        <v>43709</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4">D68&amp;"（含）"&amp;"-"&amp;E68</f>
        <v>（含）-</v>
      </c>
      <c r="E67" s="674" t="str">
        <f t="shared" si="14"/>
        <v>（含）-</v>
      </c>
      <c r="F67" s="674" t="str">
        <f t="shared" si="14"/>
        <v>（含）-</v>
      </c>
      <c r="G67" s="674" t="str">
        <f t="shared" si="14"/>
        <v>（含）-</v>
      </c>
      <c r="H67" s="674" t="str">
        <f t="shared" si="14"/>
        <v>（含）-</v>
      </c>
      <c r="I67" s="674" t="str">
        <f t="shared" si="14"/>
        <v>（含）-</v>
      </c>
      <c r="J67" s="674" t="str">
        <f t="shared" si="14"/>
        <v>（含）-</v>
      </c>
      <c r="K67" s="674" t="str">
        <f t="shared" si="14"/>
        <v>（含）-</v>
      </c>
      <c r="L67" s="674" t="str">
        <f t="shared" si="14"/>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5">C69-$K11</f>
        <v>100</v>
      </c>
      <c r="E69" s="671">
        <f t="shared" si="15"/>
        <v>100</v>
      </c>
      <c r="F69" s="671">
        <f t="shared" si="15"/>
        <v>100</v>
      </c>
      <c r="G69" s="671">
        <f t="shared" si="15"/>
        <v>100</v>
      </c>
      <c r="H69" s="671">
        <f t="shared" si="15"/>
        <v>100</v>
      </c>
      <c r="I69" s="671">
        <f t="shared" si="15"/>
        <v>100</v>
      </c>
      <c r="J69" s="671">
        <f t="shared" si="15"/>
        <v>100</v>
      </c>
      <c r="K69" s="671">
        <f t="shared" si="15"/>
        <v>100</v>
      </c>
      <c r="L69" s="671">
        <f t="shared" si="15"/>
        <v>100</v>
      </c>
      <c r="M69" s="672">
        <f t="shared" si="15"/>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2491</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38" t="s">
        <v>2492</v>
      </c>
      <c r="C82" s="2439" t="s">
        <v>2493</v>
      </c>
      <c r="D82" s="2439" t="s">
        <v>2494</v>
      </c>
      <c r="E82" s="2439" t="s">
        <v>2495</v>
      </c>
      <c r="F82" s="2439" t="s">
        <v>2496</v>
      </c>
      <c r="G82" s="2439" t="s">
        <v>2497</v>
      </c>
      <c r="H82" s="666"/>
      <c r="I82" s="666"/>
      <c r="J82" s="666"/>
      <c r="K82" s="666"/>
      <c r="L82" s="666"/>
      <c r="M82" s="2442"/>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6">C87-$K25</f>
        <v>100</v>
      </c>
      <c r="E87" s="671">
        <f t="shared" si="16"/>
        <v>100</v>
      </c>
      <c r="F87" s="671">
        <f t="shared" si="16"/>
        <v>100</v>
      </c>
      <c r="G87" s="671">
        <f t="shared" si="16"/>
        <v>100</v>
      </c>
      <c r="H87" s="671">
        <f t="shared" si="16"/>
        <v>100</v>
      </c>
      <c r="I87" s="671">
        <f t="shared" si="16"/>
        <v>100</v>
      </c>
      <c r="J87" s="671">
        <f t="shared" si="16"/>
        <v>100</v>
      </c>
      <c r="K87" s="671">
        <f t="shared" si="16"/>
        <v>100</v>
      </c>
      <c r="L87" s="671">
        <f t="shared" si="16"/>
        <v>100</v>
      </c>
      <c r="M87" s="671">
        <f t="shared" si="16"/>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17">D91-$K27</f>
        <v>100</v>
      </c>
      <c r="F91" s="671">
        <f t="shared" si="17"/>
        <v>100</v>
      </c>
      <c r="G91" s="671">
        <f t="shared" si="17"/>
        <v>100</v>
      </c>
      <c r="H91" s="671">
        <f t="shared" si="17"/>
        <v>100</v>
      </c>
      <c r="I91" s="671">
        <f t="shared" si="17"/>
        <v>100</v>
      </c>
      <c r="J91" s="671">
        <f t="shared" si="17"/>
        <v>100</v>
      </c>
      <c r="K91" s="671">
        <f t="shared" si="17"/>
        <v>100</v>
      </c>
      <c r="L91" s="671">
        <f t="shared" si="17"/>
        <v>100</v>
      </c>
      <c r="M91" s="671">
        <f t="shared" si="17"/>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18">C101-$K32</f>
        <v>100</v>
      </c>
      <c r="E101" s="671">
        <f t="shared" si="18"/>
        <v>100</v>
      </c>
      <c r="F101" s="671">
        <f t="shared" si="18"/>
        <v>100</v>
      </c>
      <c r="G101" s="671">
        <f t="shared" si="18"/>
        <v>100</v>
      </c>
      <c r="H101" s="671">
        <f t="shared" si="18"/>
        <v>100</v>
      </c>
      <c r="I101" s="671">
        <f t="shared" si="18"/>
        <v>100</v>
      </c>
      <c r="J101" s="671">
        <f t="shared" si="18"/>
        <v>100</v>
      </c>
      <c r="K101" s="671">
        <f t="shared" si="18"/>
        <v>100</v>
      </c>
      <c r="L101" s="671">
        <f t="shared" si="18"/>
        <v>100</v>
      </c>
      <c r="M101" s="672">
        <f t="shared" si="18"/>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19">D103&amp;"(含)"&amp;"-"&amp;E103</f>
        <v>(含)-</v>
      </c>
      <c r="E102" s="700" t="str">
        <f t="shared" si="19"/>
        <v>(含)-</v>
      </c>
      <c r="F102" s="700" t="str">
        <f t="shared" si="19"/>
        <v>(含)-</v>
      </c>
      <c r="G102" s="700" t="str">
        <f t="shared" si="19"/>
        <v>(含)-</v>
      </c>
      <c r="H102" s="700" t="str">
        <f t="shared" si="19"/>
        <v>(含)-</v>
      </c>
      <c r="I102" s="700" t="str">
        <f t="shared" si="19"/>
        <v>(含)-</v>
      </c>
      <c r="J102" s="700" t="str">
        <f t="shared" si="19"/>
        <v>(含)-</v>
      </c>
      <c r="K102" s="700" t="str">
        <f t="shared" si="19"/>
        <v>(含)-</v>
      </c>
      <c r="L102" s="700" t="str">
        <f t="shared" si="19"/>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0">C106-$K34</f>
        <v>100</v>
      </c>
      <c r="E106" s="671">
        <f t="shared" si="20"/>
        <v>100</v>
      </c>
      <c r="F106" s="671">
        <f t="shared" si="20"/>
        <v>100</v>
      </c>
      <c r="G106" s="671">
        <f t="shared" si="20"/>
        <v>100</v>
      </c>
      <c r="H106" s="671">
        <f t="shared" si="20"/>
        <v>100</v>
      </c>
      <c r="I106" s="671">
        <f t="shared" si="20"/>
        <v>100</v>
      </c>
      <c r="J106" s="671">
        <f t="shared" si="20"/>
        <v>100</v>
      </c>
      <c r="K106" s="671">
        <f t="shared" si="20"/>
        <v>100</v>
      </c>
      <c r="L106" s="671">
        <f t="shared" si="20"/>
        <v>100</v>
      </c>
      <c r="M106" s="672">
        <f t="shared" si="20"/>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1">C108-$K35</f>
        <v>100</v>
      </c>
      <c r="E108" s="671">
        <f t="shared" si="21"/>
        <v>100</v>
      </c>
      <c r="F108" s="671">
        <f t="shared" si="21"/>
        <v>100</v>
      </c>
      <c r="G108" s="671">
        <f t="shared" si="21"/>
        <v>100</v>
      </c>
      <c r="H108" s="671">
        <f t="shared" si="21"/>
        <v>100</v>
      </c>
      <c r="I108" s="671">
        <f t="shared" si="21"/>
        <v>100</v>
      </c>
      <c r="J108" s="671">
        <f t="shared" si="21"/>
        <v>100</v>
      </c>
      <c r="K108" s="671">
        <f t="shared" si="21"/>
        <v>100</v>
      </c>
      <c r="L108" s="671">
        <f t="shared" si="21"/>
        <v>100</v>
      </c>
      <c r="M108" s="672">
        <f t="shared" si="21"/>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2">D111+$K36</f>
        <v>100</v>
      </c>
      <c r="F111" s="671">
        <f t="shared" si="22"/>
        <v>100</v>
      </c>
      <c r="G111" s="671">
        <f t="shared" si="22"/>
        <v>100</v>
      </c>
      <c r="H111" s="671">
        <f t="shared" si="22"/>
        <v>100</v>
      </c>
      <c r="I111" s="671">
        <f t="shared" si="22"/>
        <v>100</v>
      </c>
      <c r="J111" s="671">
        <f t="shared" si="22"/>
        <v>100</v>
      </c>
      <c r="K111" s="671">
        <f t="shared" si="22"/>
        <v>100</v>
      </c>
      <c r="L111" s="671">
        <f t="shared" si="22"/>
        <v>100</v>
      </c>
      <c r="M111" s="671">
        <f t="shared" si="22"/>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2490</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3">D113-$K37</f>
        <v>100</v>
      </c>
      <c r="F113" s="671">
        <f t="shared" si="23"/>
        <v>100</v>
      </c>
      <c r="G113" s="671">
        <f t="shared" si="23"/>
        <v>100</v>
      </c>
      <c r="H113" s="671">
        <f t="shared" si="23"/>
        <v>100</v>
      </c>
      <c r="I113" s="671">
        <f t="shared" si="23"/>
        <v>100</v>
      </c>
      <c r="J113" s="671">
        <f t="shared" si="23"/>
        <v>100</v>
      </c>
      <c r="K113" s="671">
        <f t="shared" si="23"/>
        <v>100</v>
      </c>
      <c r="L113" s="671">
        <f t="shared" si="23"/>
        <v>100</v>
      </c>
      <c r="M113" s="671">
        <f t="shared" si="23"/>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4">C115-$K38</f>
        <v>100</v>
      </c>
      <c r="E115" s="671">
        <f t="shared" si="24"/>
        <v>100</v>
      </c>
      <c r="F115" s="671">
        <f t="shared" si="24"/>
        <v>100</v>
      </c>
      <c r="G115" s="671">
        <f t="shared" si="24"/>
        <v>100</v>
      </c>
      <c r="H115" s="671">
        <f t="shared" si="24"/>
        <v>100</v>
      </c>
      <c r="I115" s="671">
        <f t="shared" si="24"/>
        <v>100</v>
      </c>
      <c r="J115" s="671">
        <f t="shared" si="24"/>
        <v>100</v>
      </c>
      <c r="K115" s="671">
        <f t="shared" si="24"/>
        <v>100</v>
      </c>
      <c r="L115" s="671">
        <f t="shared" si="24"/>
        <v>100</v>
      </c>
      <c r="M115" s="672">
        <f t="shared" si="24"/>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5">D121-$K41</f>
        <v>100</v>
      </c>
      <c r="F121" s="671">
        <f t="shared" si="25"/>
        <v>100</v>
      </c>
      <c r="G121" s="671">
        <f t="shared" si="25"/>
        <v>100</v>
      </c>
      <c r="H121" s="671">
        <f t="shared" si="25"/>
        <v>100</v>
      </c>
      <c r="I121" s="671">
        <f t="shared" si="25"/>
        <v>100</v>
      </c>
      <c r="J121" s="671">
        <f t="shared" si="25"/>
        <v>100</v>
      </c>
      <c r="K121" s="671">
        <f t="shared" si="25"/>
        <v>100</v>
      </c>
      <c r="L121" s="671">
        <f t="shared" si="25"/>
        <v>100</v>
      </c>
      <c r="M121" s="672">
        <f t="shared" si="25"/>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6">C123-$K42</f>
        <v>100</v>
      </c>
      <c r="E123" s="671">
        <f t="shared" si="26"/>
        <v>100</v>
      </c>
      <c r="F123" s="671">
        <f t="shared" si="26"/>
        <v>100</v>
      </c>
      <c r="G123" s="671">
        <f t="shared" si="26"/>
        <v>100</v>
      </c>
      <c r="H123" s="671">
        <f t="shared" si="26"/>
        <v>100</v>
      </c>
      <c r="I123" s="671">
        <f t="shared" si="26"/>
        <v>100</v>
      </c>
      <c r="J123" s="671">
        <f t="shared" si="26"/>
        <v>100</v>
      </c>
      <c r="K123" s="671">
        <f t="shared" si="26"/>
        <v>100</v>
      </c>
      <c r="L123" s="671">
        <f t="shared" si="26"/>
        <v>100</v>
      </c>
      <c r="M123" s="672">
        <f t="shared" si="26"/>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9:P14"/>
    <mergeCell ref="Y9:Y14"/>
    <mergeCell ref="Y7:Z7"/>
    <mergeCell ref="R4:S6"/>
    <mergeCell ref="AC4:AC6"/>
    <mergeCell ref="T4:U6"/>
    <mergeCell ref="V4:W6"/>
    <mergeCell ref="AB4:AB6"/>
    <mergeCell ref="AA4:AA6"/>
    <mergeCell ref="P8:Q8"/>
    <mergeCell ref="Y8:Z8"/>
    <mergeCell ref="Y4:Z6"/>
    <mergeCell ref="P7:Q7"/>
    <mergeCell ref="C4:D4"/>
    <mergeCell ref="E4:F4"/>
    <mergeCell ref="G4:H4"/>
    <mergeCell ref="I4:J4"/>
    <mergeCell ref="P4:Q6"/>
    <mergeCell ref="E5:F5"/>
    <mergeCell ref="C5:D5"/>
    <mergeCell ref="C6:D6"/>
    <mergeCell ref="I5:J5"/>
    <mergeCell ref="E6:F6"/>
    <mergeCell ref="G6:H6"/>
    <mergeCell ref="I6:J6"/>
    <mergeCell ref="G5:H5"/>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4" type="noConversion"/>
  <conditionalFormatting sqref="F52 H52">
    <cfRule type="containsText" dxfId="75" priority="21" stopIfTrue="1" operator="containsText" text="超过">
      <formula>NOT(ISERROR(SEARCH("超过",F52)))</formula>
    </cfRule>
  </conditionalFormatting>
  <conditionalFormatting sqref="H54">
    <cfRule type="containsText" dxfId="74" priority="19" stopIfTrue="1" operator="containsText" text="超过">
      <formula>NOT(ISERROR(SEARCH("超过",H54)))</formula>
    </cfRule>
  </conditionalFormatting>
  <conditionalFormatting sqref="F54">
    <cfRule type="containsText" dxfId="73" priority="18" stopIfTrue="1" operator="containsText" text="超过">
      <formula>NOT(ISERROR(SEARCH("超过",F54)))</formula>
    </cfRule>
  </conditionalFormatting>
  <conditionalFormatting sqref="F53 H53">
    <cfRule type="containsText" dxfId="72" priority="17" stopIfTrue="1" operator="containsText" text="超过">
      <formula>NOT(ISERROR(SEARCH("超过",F53)))</formula>
    </cfRule>
  </conditionalFormatting>
  <conditionalFormatting sqref="E52">
    <cfRule type="expression" dxfId="71" priority="16" stopIfTrue="1">
      <formula>$F$52="超过30%"</formula>
    </cfRule>
  </conditionalFormatting>
  <conditionalFormatting sqref="E53">
    <cfRule type="expression" dxfId="70" priority="15" stopIfTrue="1">
      <formula>$F$53="超过20%"</formula>
    </cfRule>
  </conditionalFormatting>
  <conditionalFormatting sqref="E54">
    <cfRule type="expression" dxfId="69" priority="14" stopIfTrue="1">
      <formula>$F$54="超过30%"</formula>
    </cfRule>
  </conditionalFormatting>
  <conditionalFormatting sqref="G54">
    <cfRule type="expression" dxfId="68" priority="13" stopIfTrue="1">
      <formula>$H$54="超过30%"</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J52">
    <cfRule type="containsText" dxfId="65" priority="10" stopIfTrue="1" operator="containsText" text="超过">
      <formula>NOT(ISERROR(SEARCH("超过",J52)))</formula>
    </cfRule>
  </conditionalFormatting>
  <conditionalFormatting sqref="J54">
    <cfRule type="containsText" dxfId="64" priority="9" stopIfTrue="1" operator="containsText" text="超过">
      <formula>NOT(ISERROR(SEARCH("超过",J54)))</formula>
    </cfRule>
  </conditionalFormatting>
  <conditionalFormatting sqref="J53">
    <cfRule type="containsText" dxfId="63" priority="8" stopIfTrue="1" operator="containsText" text="超过">
      <formula>NOT(ISERROR(SEARCH("超过",J53)))</formula>
    </cfRule>
  </conditionalFormatting>
  <conditionalFormatting sqref="I52">
    <cfRule type="expression" dxfId="62" priority="7" stopIfTrue="1">
      <formula>$J$52="超过30%"</formula>
    </cfRule>
  </conditionalFormatting>
  <conditionalFormatting sqref="I53">
    <cfRule type="expression" dxfId="61" priority="6" stopIfTrue="1">
      <formula>$J$53="超过20%"</formula>
    </cfRule>
  </conditionalFormatting>
  <conditionalFormatting sqref="I54">
    <cfRule type="expression" dxfId="60" priority="5" stopIfTrue="1">
      <formula>$J$54="超过30%"</formula>
    </cfRule>
  </conditionalFormatting>
  <conditionalFormatting sqref="F48">
    <cfRule type="expression" dxfId="59" priority="4">
      <formula>$D$48="简单平均"</formula>
    </cfRule>
  </conditionalFormatting>
  <conditionalFormatting sqref="H48">
    <cfRule type="expression" dxfId="58" priority="3">
      <formula>$D$48="简单平均"</formula>
    </cfRule>
  </conditionalFormatting>
  <conditionalFormatting sqref="J48">
    <cfRule type="expression" dxfId="57" priority="2">
      <formula>$D$48="简单平均"</formula>
    </cfRule>
  </conditionalFormatting>
  <conditionalFormatting sqref="F7:F46 H7:H46 J7:J46">
    <cfRule type="cellIs" dxfId="5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91" customWidth="1"/>
    <col min="2" max="2" width="15.625" style="1291" customWidth="1"/>
    <col min="3" max="3" width="14.375" style="1291" customWidth="1"/>
    <col min="4" max="4" width="12.125" style="1291" customWidth="1"/>
    <col min="5" max="5" width="14.375" style="1291" customWidth="1"/>
    <col min="6" max="6" width="12.125" style="1291" customWidth="1"/>
    <col min="7" max="7" width="14.5" style="1291" customWidth="1"/>
    <col min="8" max="8" width="12.125" style="1291" customWidth="1"/>
    <col min="9" max="9" width="14.5" style="1291" customWidth="1"/>
    <col min="10" max="10" width="12.125" style="1291" customWidth="1"/>
    <col min="11" max="11" width="12.125" style="1296" customWidth="1"/>
    <col min="12" max="12" width="12.125" style="1297" customWidth="1"/>
    <col min="13" max="15" width="12.125" style="1291" customWidth="1"/>
    <col min="16" max="16" width="4.625" style="2101" customWidth="1"/>
    <col min="17" max="17" width="19.5" style="1291" customWidth="1"/>
    <col min="18" max="22" width="6.125" style="1291" customWidth="1"/>
    <col min="23" max="23" width="5.625" style="1291" customWidth="1"/>
    <col min="24" max="24" width="4.125" style="1291" customWidth="1"/>
    <col min="25" max="25" width="3.5" style="1291" customWidth="1"/>
    <col min="26" max="26" width="19.625" style="1291" customWidth="1"/>
    <col min="27" max="28" width="9.375" style="1291" customWidth="1"/>
    <col min="29" max="16384" width="9" style="1291"/>
  </cols>
  <sheetData>
    <row r="1" spans="1:29" s="1290" customFormat="1" ht="28.5" customHeight="1">
      <c r="A1" s="496" t="s">
        <v>712</v>
      </c>
      <c r="B1" s="497" t="s">
        <v>771</v>
      </c>
      <c r="C1" s="498" t="s">
        <v>714</v>
      </c>
      <c r="D1" s="838"/>
      <c r="E1" s="500"/>
      <c r="F1" s="2521"/>
      <c r="G1" s="1532" t="s">
        <v>715</v>
      </c>
      <c r="H1" s="500"/>
      <c r="I1" s="500"/>
      <c r="J1" s="500"/>
      <c r="K1" s="501"/>
      <c r="L1" s="3200"/>
      <c r="M1" s="3201"/>
      <c r="N1" s="3201"/>
      <c r="O1" s="3201"/>
      <c r="P1" s="3264"/>
      <c r="Q1" s="2014"/>
      <c r="R1" s="2014"/>
      <c r="S1" s="2014"/>
      <c r="T1" s="2014"/>
      <c r="U1" s="2014"/>
      <c r="V1" s="2014"/>
      <c r="W1" s="2014"/>
      <c r="X1" s="2014"/>
      <c r="Y1" s="2014"/>
      <c r="Z1" s="2014"/>
      <c r="AA1" s="2014"/>
      <c r="AB1" s="2014"/>
      <c r="AC1" s="320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64"/>
      <c r="Q2" s="2014"/>
      <c r="R2" s="2014"/>
      <c r="S2" s="2014"/>
      <c r="T2" s="2014"/>
      <c r="U2" s="2014"/>
      <c r="V2" s="2014"/>
      <c r="W2" s="2014"/>
      <c r="X2" s="2014"/>
      <c r="Y2" s="2014"/>
      <c r="Z2" s="2014"/>
      <c r="AA2" s="2014"/>
      <c r="AB2" s="2014"/>
      <c r="AC2" s="3202"/>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64"/>
      <c r="Q3" s="2014"/>
      <c r="R3" s="2014"/>
      <c r="S3" s="2014"/>
      <c r="T3" s="2014"/>
      <c r="U3" s="2014"/>
      <c r="V3" s="2014"/>
      <c r="W3" s="2014"/>
      <c r="X3" s="2014"/>
      <c r="Y3" s="2014"/>
      <c r="Z3" s="2014"/>
      <c r="AA3" s="2014"/>
      <c r="AB3" s="2014"/>
      <c r="AC3" s="3202"/>
    </row>
    <row r="4" spans="1:29" ht="15">
      <c r="A4" s="506" t="s">
        <v>515</v>
      </c>
      <c r="B4" s="507"/>
      <c r="C4" s="3523" t="s">
        <v>516</v>
      </c>
      <c r="D4" s="3524"/>
      <c r="E4" s="3525" t="s">
        <v>517</v>
      </c>
      <c r="F4" s="3526"/>
      <c r="G4" s="3523" t="s">
        <v>518</v>
      </c>
      <c r="H4" s="3524"/>
      <c r="I4" s="3523" t="s">
        <v>519</v>
      </c>
      <c r="J4" s="3524"/>
      <c r="K4" s="508" t="s">
        <v>520</v>
      </c>
      <c r="L4" s="2015"/>
      <c r="M4" s="2016"/>
      <c r="N4" s="2016"/>
      <c r="O4" s="2016"/>
      <c r="P4" s="3644" t="s">
        <v>521</v>
      </c>
      <c r="Q4" s="3528"/>
      <c r="R4" s="3533" t="s">
        <v>517</v>
      </c>
      <c r="S4" s="3534"/>
      <c r="T4" s="3533" t="s">
        <v>518</v>
      </c>
      <c r="U4" s="3534"/>
      <c r="V4" s="3539" t="s">
        <v>519</v>
      </c>
      <c r="W4" s="3539"/>
      <c r="X4" s="1502"/>
      <c r="Y4" s="3533" t="s">
        <v>521</v>
      </c>
      <c r="Z4" s="3534"/>
      <c r="AA4" s="3520" t="s">
        <v>517</v>
      </c>
      <c r="AB4" s="3520" t="s">
        <v>518</v>
      </c>
      <c r="AC4" s="3520" t="s">
        <v>519</v>
      </c>
    </row>
    <row r="5" spans="1:29" ht="15">
      <c r="A5" s="509"/>
      <c r="B5" s="510"/>
      <c r="C5" s="3542" t="s">
        <v>2844</v>
      </c>
      <c r="D5" s="3543"/>
      <c r="E5" s="3540" t="s">
        <v>2845</v>
      </c>
      <c r="F5" s="3541"/>
      <c r="G5" s="3542" t="s">
        <v>2846</v>
      </c>
      <c r="H5" s="3543"/>
      <c r="I5" s="3542" t="s">
        <v>2847</v>
      </c>
      <c r="J5" s="3543"/>
      <c r="K5" s="508"/>
      <c r="L5" s="2015"/>
      <c r="M5" s="2016"/>
      <c r="N5" s="2016"/>
      <c r="O5" s="2016"/>
      <c r="P5" s="3645"/>
      <c r="Q5" s="3530"/>
      <c r="R5" s="3535"/>
      <c r="S5" s="3536"/>
      <c r="T5" s="3535"/>
      <c r="U5" s="3536"/>
      <c r="V5" s="3539"/>
      <c r="W5" s="3539"/>
      <c r="X5" s="1502"/>
      <c r="Y5" s="3535"/>
      <c r="Z5" s="3536"/>
      <c r="AA5" s="3521"/>
      <c r="AB5" s="3521"/>
      <c r="AC5" s="3521"/>
    </row>
    <row r="6" spans="1:29" ht="15.75" thickBot="1">
      <c r="A6" s="511"/>
      <c r="B6" s="512"/>
      <c r="C6" s="3544" t="s">
        <v>2848</v>
      </c>
      <c r="D6" s="3545"/>
      <c r="E6" s="3546" t="s">
        <v>2848</v>
      </c>
      <c r="F6" s="3547"/>
      <c r="G6" s="3544" t="s">
        <v>2848</v>
      </c>
      <c r="H6" s="3545"/>
      <c r="I6" s="3544" t="s">
        <v>2848</v>
      </c>
      <c r="J6" s="3545"/>
      <c r="K6" s="508" t="s">
        <v>522</v>
      </c>
      <c r="L6" s="2015"/>
      <c r="M6" s="2016"/>
      <c r="N6" s="2016"/>
      <c r="O6" s="2016"/>
      <c r="P6" s="3646"/>
      <c r="Q6" s="3532"/>
      <c r="R6" s="3535"/>
      <c r="S6" s="3536"/>
      <c r="T6" s="3537"/>
      <c r="U6" s="3538"/>
      <c r="V6" s="3539"/>
      <c r="W6" s="3539"/>
      <c r="X6" s="1502"/>
      <c r="Y6" s="3537"/>
      <c r="Z6" s="3538"/>
      <c r="AA6" s="3522"/>
      <c r="AB6" s="3522"/>
      <c r="AC6" s="3522"/>
    </row>
    <row r="7" spans="1:29" s="1203" customFormat="1" ht="15.75" thickBot="1">
      <c r="A7" s="2626"/>
      <c r="B7" s="2633" t="s">
        <v>523</v>
      </c>
      <c r="C7" s="513">
        <f>'数据-取费表'!B2</f>
        <v>44097</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52" t="s">
        <v>524</v>
      </c>
      <c r="Q7" s="3552"/>
      <c r="R7" s="1503" t="s">
        <v>8</v>
      </c>
      <c r="S7" s="1504">
        <f t="shared" ref="S7:S15" si="0">F7</f>
        <v>0</v>
      </c>
      <c r="T7" s="1503" t="s">
        <v>8</v>
      </c>
      <c r="U7" s="1504">
        <f t="shared" ref="U7:U15" si="1">H7</f>
        <v>0</v>
      </c>
      <c r="V7" s="1503" t="s">
        <v>8</v>
      </c>
      <c r="W7" s="1504">
        <f t="shared" ref="W7:W15" si="2">J7</f>
        <v>0</v>
      </c>
      <c r="X7" s="1505"/>
      <c r="Y7" s="3550" t="s">
        <v>524</v>
      </c>
      <c r="Z7" s="3551"/>
      <c r="AA7" s="1506" t="e">
        <f>D7/F7</f>
        <v>#DIV/0!</v>
      </c>
      <c r="AB7" s="1506" t="e">
        <f>D7/H7</f>
        <v>#DIV/0!</v>
      </c>
      <c r="AC7" s="1506" t="e">
        <f>D7/J7</f>
        <v>#DIV/0!</v>
      </c>
    </row>
    <row r="8" spans="1:29" s="1203" customFormat="1" ht="15.75" thickBot="1">
      <c r="A8" s="2627"/>
      <c r="B8" s="2634"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52" t="s">
        <v>527</v>
      </c>
      <c r="Q8" s="3551"/>
      <c r="R8" s="1503" t="s">
        <v>8</v>
      </c>
      <c r="S8" s="1504">
        <f t="shared" si="0"/>
        <v>0</v>
      </c>
      <c r="T8" s="1503" t="s">
        <v>8</v>
      </c>
      <c r="U8" s="1504">
        <f t="shared" si="1"/>
        <v>0</v>
      </c>
      <c r="V8" s="1503" t="s">
        <v>8</v>
      </c>
      <c r="W8" s="1504">
        <f t="shared" si="2"/>
        <v>0</v>
      </c>
      <c r="X8" s="1505"/>
      <c r="Y8" s="3550" t="s">
        <v>527</v>
      </c>
      <c r="Z8" s="3551"/>
      <c r="AA8" s="1506" t="e">
        <f t="shared" ref="AA8:AA47" si="3">D8/F8</f>
        <v>#DIV/0!</v>
      </c>
      <c r="AB8" s="1506" t="e">
        <f t="shared" ref="AB8:AB47" si="4">D8/H8</f>
        <v>#DIV/0!</v>
      </c>
      <c r="AC8" s="1506" t="e">
        <f t="shared" ref="AC8:AC47" si="5">D8/J8</f>
        <v>#DIV/0!</v>
      </c>
    </row>
    <row r="9" spans="1:29" s="1203" customFormat="1" ht="15">
      <c r="A9" s="2628"/>
      <c r="B9" s="2635" t="s">
        <v>2689</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554" t="s">
        <v>529</v>
      </c>
      <c r="Q9" s="1134" t="str">
        <f t="shared" ref="Q9:Q15" si="6">B9</f>
        <v>用途</v>
      </c>
      <c r="R9" s="1503" t="s">
        <v>8</v>
      </c>
      <c r="S9" s="1504">
        <f t="shared" si="0"/>
        <v>100</v>
      </c>
      <c r="T9" s="1503" t="s">
        <v>8</v>
      </c>
      <c r="U9" s="1504">
        <f t="shared" si="1"/>
        <v>100</v>
      </c>
      <c r="V9" s="1503" t="s">
        <v>8</v>
      </c>
      <c r="W9" s="1504">
        <f t="shared" si="2"/>
        <v>100</v>
      </c>
      <c r="X9" s="1505"/>
      <c r="Y9" s="3443" t="s">
        <v>530</v>
      </c>
      <c r="Z9" s="1133" t="str">
        <f t="shared" ref="Z9:Z15" si="7">Q9</f>
        <v>用途</v>
      </c>
      <c r="AA9" s="1506">
        <f t="shared" si="3"/>
        <v>1</v>
      </c>
      <c r="AB9" s="1506">
        <f t="shared" si="4"/>
        <v>1</v>
      </c>
      <c r="AC9" s="1506">
        <f t="shared" si="5"/>
        <v>1</v>
      </c>
    </row>
    <row r="10" spans="1:29" s="1292" customFormat="1" ht="27">
      <c r="A10" s="2629"/>
      <c r="B10" s="2634" t="s">
        <v>2690</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554"/>
      <c r="Q10" s="1134" t="str">
        <f t="shared" si="6"/>
        <v>土地使用年限（年）</v>
      </c>
      <c r="R10" s="1503" t="s">
        <v>8</v>
      </c>
      <c r="S10" s="1504">
        <f t="shared" si="0"/>
        <v>100</v>
      </c>
      <c r="T10" s="1503" t="s">
        <v>8</v>
      </c>
      <c r="U10" s="1504">
        <f t="shared" si="1"/>
        <v>100</v>
      </c>
      <c r="V10" s="1503" t="s">
        <v>8</v>
      </c>
      <c r="W10" s="1504">
        <f t="shared" si="2"/>
        <v>100</v>
      </c>
      <c r="X10" s="1505"/>
      <c r="Y10" s="3443"/>
      <c r="Z10" s="1133" t="str">
        <f t="shared" si="7"/>
        <v>土地使用年限（年）</v>
      </c>
      <c r="AA10" s="1506">
        <f t="shared" si="3"/>
        <v>1</v>
      </c>
      <c r="AB10" s="1506">
        <f t="shared" si="4"/>
        <v>1</v>
      </c>
      <c r="AC10" s="1506">
        <f t="shared" si="5"/>
        <v>1</v>
      </c>
    </row>
    <row r="11" spans="1:29" ht="15">
      <c r="A11" s="2630"/>
      <c r="B11" s="2634" t="s">
        <v>2691</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554"/>
      <c r="Q11" s="1134" t="str">
        <f t="shared" si="6"/>
        <v>容积率</v>
      </c>
      <c r="R11" s="1503" t="s">
        <v>8</v>
      </c>
      <c r="S11" s="1504" t="e">
        <f t="shared" si="0"/>
        <v>#N/A</v>
      </c>
      <c r="T11" s="1503" t="s">
        <v>8</v>
      </c>
      <c r="U11" s="1504" t="e">
        <f t="shared" si="1"/>
        <v>#N/A</v>
      </c>
      <c r="V11" s="1503" t="s">
        <v>8</v>
      </c>
      <c r="W11" s="1504" t="e">
        <f t="shared" si="2"/>
        <v>#N/A</v>
      </c>
      <c r="X11" s="1505"/>
      <c r="Y11" s="3443"/>
      <c r="Z11" s="1133" t="str">
        <f t="shared" si="7"/>
        <v>容积率</v>
      </c>
      <c r="AA11" s="1506" t="e">
        <f t="shared" si="3"/>
        <v>#N/A</v>
      </c>
      <c r="AB11" s="1506" t="e">
        <f t="shared" si="4"/>
        <v>#N/A</v>
      </c>
      <c r="AC11" s="1506" t="e">
        <f t="shared" si="5"/>
        <v>#N/A</v>
      </c>
    </row>
    <row r="12" spans="1:29" s="1203" customFormat="1" ht="15">
      <c r="A12" s="2631"/>
      <c r="B12" s="2637">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554"/>
      <c r="Q12" s="1134">
        <f t="shared" si="6"/>
        <v>111</v>
      </c>
      <c r="R12" s="1503" t="s">
        <v>8</v>
      </c>
      <c r="S12" s="1504">
        <f t="shared" si="0"/>
        <v>100</v>
      </c>
      <c r="T12" s="1503" t="s">
        <v>8</v>
      </c>
      <c r="U12" s="1504">
        <f t="shared" si="1"/>
        <v>100</v>
      </c>
      <c r="V12" s="1503" t="s">
        <v>8</v>
      </c>
      <c r="W12" s="1504">
        <f t="shared" si="2"/>
        <v>100</v>
      </c>
      <c r="X12" s="1505"/>
      <c r="Y12" s="3443"/>
      <c r="Z12" s="1133">
        <f t="shared" si="7"/>
        <v>111</v>
      </c>
      <c r="AA12" s="1506">
        <f>D12/F12</f>
        <v>1</v>
      </c>
      <c r="AB12" s="1506">
        <f>D12/H12</f>
        <v>1</v>
      </c>
      <c r="AC12" s="1506">
        <f>D12/J12</f>
        <v>1</v>
      </c>
    </row>
    <row r="13" spans="1:29" ht="15">
      <c r="A13" s="2631"/>
      <c r="B13" s="2637">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554"/>
      <c r="Q13" s="1134">
        <f t="shared" si="6"/>
        <v>111</v>
      </c>
      <c r="R13" s="1503" t="s">
        <v>8</v>
      </c>
      <c r="S13" s="1504">
        <f t="shared" si="0"/>
        <v>100</v>
      </c>
      <c r="T13" s="1503" t="s">
        <v>8</v>
      </c>
      <c r="U13" s="1504">
        <f t="shared" si="1"/>
        <v>100</v>
      </c>
      <c r="V13" s="1503" t="s">
        <v>8</v>
      </c>
      <c r="W13" s="1504">
        <f t="shared" si="2"/>
        <v>100</v>
      </c>
      <c r="X13" s="1505"/>
      <c r="Y13" s="3443"/>
      <c r="Z13" s="1133">
        <f t="shared" si="7"/>
        <v>111</v>
      </c>
      <c r="AA13" s="1506">
        <f t="shared" si="3"/>
        <v>1</v>
      </c>
      <c r="AB13" s="1506">
        <f t="shared" si="4"/>
        <v>1</v>
      </c>
      <c r="AC13" s="1506">
        <f t="shared" si="5"/>
        <v>1</v>
      </c>
    </row>
    <row r="14" spans="1:29" ht="15.75" thickBot="1">
      <c r="A14" s="2632"/>
      <c r="B14" s="2638">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554"/>
      <c r="Q14" s="1134">
        <f t="shared" si="6"/>
        <v>111</v>
      </c>
      <c r="R14" s="1503" t="s">
        <v>8</v>
      </c>
      <c r="S14" s="1504">
        <f t="shared" si="0"/>
        <v>100</v>
      </c>
      <c r="T14" s="1503" t="s">
        <v>8</v>
      </c>
      <c r="U14" s="1504">
        <f t="shared" si="1"/>
        <v>100</v>
      </c>
      <c r="V14" s="1503" t="s">
        <v>8</v>
      </c>
      <c r="W14" s="1504">
        <f t="shared" si="2"/>
        <v>100</v>
      </c>
      <c r="X14" s="1505"/>
      <c r="Y14" s="3443"/>
      <c r="Z14" s="1133">
        <f t="shared" si="7"/>
        <v>111</v>
      </c>
      <c r="AA14" s="1506">
        <f t="shared" si="3"/>
        <v>1</v>
      </c>
      <c r="AB14" s="1506">
        <f t="shared" si="4"/>
        <v>1</v>
      </c>
      <c r="AC14" s="1506">
        <f t="shared" si="5"/>
        <v>1</v>
      </c>
    </row>
    <row r="15" spans="1:29" ht="71.25">
      <c r="A15" s="2624" t="s">
        <v>2687</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548" t="s">
        <v>534</v>
      </c>
      <c r="Q15" s="1507" t="str">
        <f t="shared" si="6"/>
        <v>办公集聚程度</v>
      </c>
      <c r="R15" s="1508" t="s">
        <v>8</v>
      </c>
      <c r="S15" s="1509">
        <f t="shared" si="0"/>
        <v>100</v>
      </c>
      <c r="T15" s="1508" t="s">
        <v>8</v>
      </c>
      <c r="U15" s="1509">
        <f t="shared" si="1"/>
        <v>100</v>
      </c>
      <c r="V15" s="1508" t="s">
        <v>8</v>
      </c>
      <c r="W15" s="1509">
        <f t="shared" si="2"/>
        <v>100</v>
      </c>
      <c r="X15" s="1502"/>
      <c r="Y15" s="3548"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4"/>
      <c r="M16" s="2016"/>
      <c r="N16" s="2016"/>
      <c r="O16" s="2016"/>
      <c r="P16" s="3549"/>
      <c r="Q16" s="1507"/>
      <c r="R16" s="1508"/>
      <c r="S16" s="1509"/>
      <c r="T16" s="1508"/>
      <c r="U16" s="1509"/>
      <c r="V16" s="1508"/>
      <c r="W16" s="1509"/>
      <c r="X16" s="1502"/>
      <c r="Y16" s="3549"/>
      <c r="Z16" s="1510"/>
      <c r="AA16" s="1511">
        <v>1</v>
      </c>
      <c r="AB16" s="1511">
        <v>1</v>
      </c>
      <c r="AC16" s="1511">
        <v>1</v>
      </c>
    </row>
    <row r="17" spans="1:29" ht="156.75">
      <c r="A17" s="526"/>
      <c r="B17" s="554" t="s">
        <v>296</v>
      </c>
      <c r="C17" s="567" t="str">
        <f>估价对象房地状况!C6</f>
        <v>估价对象周边有顺2路、顺27路、顺28路、顺38路、顺43路、顺59路、顺60路等多条公交线路，距地铁15号线（南法信站）约500米，综合评价交通便捷度较好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549"/>
      <c r="Q17" s="1507" t="str">
        <f>B17</f>
        <v>交通便捷度</v>
      </c>
      <c r="R17" s="1508" t="s">
        <v>8</v>
      </c>
      <c r="S17" s="1509">
        <f>F17</f>
        <v>100</v>
      </c>
      <c r="T17" s="1508" t="s">
        <v>8</v>
      </c>
      <c r="U17" s="1509">
        <f>H17</f>
        <v>100</v>
      </c>
      <c r="V17" s="1508" t="s">
        <v>8</v>
      </c>
      <c r="W17" s="1509">
        <f>J17</f>
        <v>100</v>
      </c>
      <c r="X17" s="1502"/>
      <c r="Y17" s="3549"/>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4"/>
      <c r="M18" s="2016"/>
      <c r="N18" s="2016"/>
      <c r="O18" s="2016"/>
      <c r="P18" s="3549"/>
      <c r="Q18" s="1507"/>
      <c r="R18" s="1508"/>
      <c r="S18" s="1509"/>
      <c r="T18" s="1508"/>
      <c r="U18" s="1509"/>
      <c r="V18" s="1508"/>
      <c r="W18" s="1509"/>
      <c r="X18" s="1502"/>
      <c r="Y18" s="3549"/>
      <c r="Z18" s="1510"/>
      <c r="AA18" s="1511">
        <v>1</v>
      </c>
      <c r="AB18" s="1511">
        <v>1</v>
      </c>
      <c r="AC18" s="1511">
        <v>1</v>
      </c>
    </row>
    <row r="19" spans="1:29" ht="42.75">
      <c r="A19" s="526"/>
      <c r="B19" s="2444" t="s">
        <v>2480</v>
      </c>
      <c r="C19" s="567" t="str">
        <f>估价对象房地状况!C7</f>
        <v>估价对象所在区域公共配套设施齐备情况一般</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549"/>
      <c r="Q19" s="1507" t="str">
        <f>B19</f>
        <v>公共配套设施</v>
      </c>
      <c r="R19" s="1508" t="s">
        <v>8</v>
      </c>
      <c r="S19" s="1509">
        <f>F19</f>
        <v>100</v>
      </c>
      <c r="T19" s="1508" t="s">
        <v>8</v>
      </c>
      <c r="U19" s="1509">
        <f>H19</f>
        <v>100</v>
      </c>
      <c r="V19" s="1508" t="s">
        <v>8</v>
      </c>
      <c r="W19" s="1509">
        <f>J19</f>
        <v>100</v>
      </c>
      <c r="X19" s="1502"/>
      <c r="Y19" s="3549"/>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4"/>
      <c r="M20" s="2016"/>
      <c r="N20" s="2016"/>
      <c r="O20" s="2016"/>
      <c r="P20" s="3549"/>
      <c r="Q20" s="1507"/>
      <c r="R20" s="1508"/>
      <c r="S20" s="1509"/>
      <c r="T20" s="1508"/>
      <c r="U20" s="1509"/>
      <c r="V20" s="1508"/>
      <c r="W20" s="1509"/>
      <c r="X20" s="1502"/>
      <c r="Y20" s="3549"/>
      <c r="Z20" s="1510"/>
      <c r="AA20" s="1511">
        <v>1</v>
      </c>
      <c r="AB20" s="1511">
        <v>1</v>
      </c>
      <c r="AC20" s="1511">
        <v>1</v>
      </c>
    </row>
    <row r="21" spans="1:29" ht="28.5">
      <c r="A21" s="526"/>
      <c r="B21" s="2432" t="s">
        <v>2492</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549"/>
      <c r="Q21" s="2426" t="str">
        <f>B21</f>
        <v>基础设施水平</v>
      </c>
      <c r="R21" s="1508" t="s">
        <v>8</v>
      </c>
      <c r="S21" s="1509">
        <f>F21</f>
        <v>100</v>
      </c>
      <c r="T21" s="1508" t="s">
        <v>8</v>
      </c>
      <c r="U21" s="1509">
        <f>H21</f>
        <v>100</v>
      </c>
      <c r="V21" s="1508" t="s">
        <v>8</v>
      </c>
      <c r="W21" s="1509">
        <f>J21</f>
        <v>100</v>
      </c>
      <c r="X21" s="2428"/>
      <c r="Y21" s="3549"/>
      <c r="Z21" s="2427" t="str">
        <f>Q21</f>
        <v>基础设施水平</v>
      </c>
      <c r="AA21" s="1511">
        <f>D21/F21</f>
        <v>1</v>
      </c>
      <c r="AB21" s="1511">
        <f>D21/H21</f>
        <v>1</v>
      </c>
      <c r="AC21" s="1511">
        <f>D21/J21</f>
        <v>1</v>
      </c>
    </row>
    <row r="22" spans="1:29" ht="15">
      <c r="A22" s="526"/>
      <c r="B22" s="572"/>
      <c r="C22" s="561"/>
      <c r="D22" s="549"/>
      <c r="E22" s="570"/>
      <c r="F22" s="549"/>
      <c r="G22" s="548"/>
      <c r="H22" s="549"/>
      <c r="I22" s="548"/>
      <c r="J22" s="549"/>
      <c r="K22" s="2443"/>
      <c r="L22" s="2024"/>
      <c r="M22" s="2016"/>
      <c r="N22" s="2016"/>
      <c r="O22" s="2016"/>
      <c r="P22" s="3549"/>
      <c r="Q22" s="2426"/>
      <c r="R22" s="1508"/>
      <c r="S22" s="1509"/>
      <c r="T22" s="1508"/>
      <c r="U22" s="1509"/>
      <c r="V22" s="1508"/>
      <c r="W22" s="1509"/>
      <c r="X22" s="2428"/>
      <c r="Y22" s="3549"/>
      <c r="Z22" s="2427"/>
      <c r="AA22" s="1511">
        <v>1</v>
      </c>
      <c r="AB22" s="1511">
        <v>1</v>
      </c>
      <c r="AC22" s="1511">
        <v>1</v>
      </c>
    </row>
    <row r="23" spans="1:29" ht="85.5">
      <c r="A23" s="526"/>
      <c r="B23" s="554" t="s">
        <v>772</v>
      </c>
      <c r="C23" s="567" t="str">
        <f>估价对象房地状况!C9</f>
        <v>区域自然环境：小众和；人文环境：国家新闻出版广电总局研修学院；综合评价环境状况一般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549"/>
      <c r="Q23" s="1507" t="str">
        <f>B23</f>
        <v>环境质量</v>
      </c>
      <c r="R23" s="1508" t="s">
        <v>8</v>
      </c>
      <c r="S23" s="1509">
        <f>F23</f>
        <v>100</v>
      </c>
      <c r="T23" s="1508" t="s">
        <v>8</v>
      </c>
      <c r="U23" s="1509">
        <f>H23</f>
        <v>100</v>
      </c>
      <c r="V23" s="1508" t="s">
        <v>8</v>
      </c>
      <c r="W23" s="1509">
        <f>J23</f>
        <v>100</v>
      </c>
      <c r="X23" s="1502"/>
      <c r="Y23" s="3549"/>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4"/>
      <c r="M24" s="2016"/>
      <c r="N24" s="2016"/>
      <c r="O24" s="2016"/>
      <c r="P24" s="3549"/>
      <c r="Q24" s="1507"/>
      <c r="R24" s="1508"/>
      <c r="S24" s="1509"/>
      <c r="T24" s="1508"/>
      <c r="U24" s="1509"/>
      <c r="V24" s="1508"/>
      <c r="W24" s="1509"/>
      <c r="X24" s="1502"/>
      <c r="Y24" s="3549"/>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549"/>
      <c r="Q25" s="1507" t="str">
        <f>B25</f>
        <v>毗邻道路的类型与等级</v>
      </c>
      <c r="R25" s="1508" t="s">
        <v>8</v>
      </c>
      <c r="S25" s="1509">
        <f>F25</f>
        <v>100</v>
      </c>
      <c r="T25" s="1508" t="s">
        <v>8</v>
      </c>
      <c r="U25" s="1509">
        <f>H25</f>
        <v>100</v>
      </c>
      <c r="V25" s="1508" t="s">
        <v>8</v>
      </c>
      <c r="W25" s="1509">
        <f>J25</f>
        <v>100</v>
      </c>
      <c r="X25" s="1502"/>
      <c r="Y25" s="3549"/>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4"/>
      <c r="M26" s="2016"/>
      <c r="N26" s="2016"/>
      <c r="O26" s="2016"/>
      <c r="P26" s="3549"/>
      <c r="Q26" s="1507"/>
      <c r="R26" s="1508"/>
      <c r="S26" s="1509"/>
      <c r="T26" s="1508"/>
      <c r="U26" s="1509"/>
      <c r="V26" s="1508"/>
      <c r="W26" s="1509"/>
      <c r="X26" s="1502"/>
      <c r="Y26" s="3549"/>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49"/>
      <c r="Q27" s="1507" t="str">
        <f t="shared" ref="Q27:Q47" si="8">B27</f>
        <v>楼层</v>
      </c>
      <c r="R27" s="1508" t="s">
        <v>8</v>
      </c>
      <c r="S27" s="1509">
        <f>F27</f>
        <v>100</v>
      </c>
      <c r="T27" s="1508" t="s">
        <v>8</v>
      </c>
      <c r="U27" s="1509">
        <f>H27</f>
        <v>100</v>
      </c>
      <c r="V27" s="1508" t="s">
        <v>8</v>
      </c>
      <c r="W27" s="1509">
        <f>J27</f>
        <v>100</v>
      </c>
      <c r="X27" s="1502"/>
      <c r="Y27" s="3549"/>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549"/>
      <c r="Q28" s="1134" t="str">
        <f t="shared" si="8"/>
        <v>朝向</v>
      </c>
      <c r="R28" s="1503" t="s">
        <v>8</v>
      </c>
      <c r="S28" s="1504">
        <f>F28</f>
        <v>100</v>
      </c>
      <c r="T28" s="1503" t="s">
        <v>8</v>
      </c>
      <c r="U28" s="1504">
        <f>H28</f>
        <v>100</v>
      </c>
      <c r="V28" s="1503" t="s">
        <v>8</v>
      </c>
      <c r="W28" s="1504">
        <f>J28</f>
        <v>100</v>
      </c>
      <c r="X28" s="1505"/>
      <c r="Y28" s="3549"/>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549"/>
      <c r="Q29" s="1507">
        <f t="shared" si="8"/>
        <v>111</v>
      </c>
      <c r="R29" s="1508" t="s">
        <v>8</v>
      </c>
      <c r="S29" s="1509">
        <f t="shared" ref="S29:S47" si="9">F29</f>
        <v>100</v>
      </c>
      <c r="T29" s="1508" t="s">
        <v>8</v>
      </c>
      <c r="U29" s="1509">
        <f t="shared" ref="U29:U47" si="10">H29</f>
        <v>100</v>
      </c>
      <c r="V29" s="1508" t="s">
        <v>8</v>
      </c>
      <c r="W29" s="1509">
        <f t="shared" ref="W29:W47" si="11">J29</f>
        <v>100</v>
      </c>
      <c r="X29" s="1502"/>
      <c r="Y29" s="3549"/>
      <c r="Z29" s="1510">
        <f t="shared" ref="Z29:Z47" si="12">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549"/>
      <c r="Q30" s="1507">
        <f t="shared" si="8"/>
        <v>111</v>
      </c>
      <c r="R30" s="1508" t="s">
        <v>8</v>
      </c>
      <c r="S30" s="1509">
        <f t="shared" si="9"/>
        <v>100</v>
      </c>
      <c r="T30" s="1508" t="s">
        <v>8</v>
      </c>
      <c r="U30" s="1509">
        <f t="shared" si="10"/>
        <v>100</v>
      </c>
      <c r="V30" s="1508" t="s">
        <v>8</v>
      </c>
      <c r="W30" s="1509">
        <f t="shared" si="11"/>
        <v>100</v>
      </c>
      <c r="X30" s="1502"/>
      <c r="Y30" s="3549"/>
      <c r="Z30" s="1510">
        <f t="shared" si="12"/>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549"/>
      <c r="Q31" s="1507">
        <f t="shared" si="8"/>
        <v>111</v>
      </c>
      <c r="R31" s="1508" t="s">
        <v>8</v>
      </c>
      <c r="S31" s="1509">
        <f t="shared" si="9"/>
        <v>100</v>
      </c>
      <c r="T31" s="1508" t="s">
        <v>8</v>
      </c>
      <c r="U31" s="1509">
        <f t="shared" si="10"/>
        <v>100</v>
      </c>
      <c r="V31" s="1508" t="s">
        <v>8</v>
      </c>
      <c r="W31" s="1509">
        <f t="shared" si="11"/>
        <v>100</v>
      </c>
      <c r="X31" s="1502"/>
      <c r="Y31" s="3549"/>
      <c r="Z31" s="1510">
        <f t="shared" si="12"/>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549"/>
      <c r="Q32" s="1507">
        <f t="shared" si="8"/>
        <v>111</v>
      </c>
      <c r="R32" s="1508" t="s">
        <v>8</v>
      </c>
      <c r="S32" s="1509">
        <f t="shared" si="9"/>
        <v>100</v>
      </c>
      <c r="T32" s="1508" t="s">
        <v>8</v>
      </c>
      <c r="U32" s="1509">
        <f t="shared" si="10"/>
        <v>100</v>
      </c>
      <c r="V32" s="1508" t="s">
        <v>8</v>
      </c>
      <c r="W32" s="1509">
        <f t="shared" si="11"/>
        <v>100</v>
      </c>
      <c r="X32" s="1502"/>
      <c r="Y32" s="3549"/>
      <c r="Z32" s="1510">
        <f t="shared" si="12"/>
        <v>111</v>
      </c>
      <c r="AA32" s="1511">
        <f t="shared" si="3"/>
        <v>1</v>
      </c>
      <c r="AB32" s="1511">
        <f t="shared" si="4"/>
        <v>1</v>
      </c>
      <c r="AC32" s="1511">
        <f t="shared" si="5"/>
        <v>1</v>
      </c>
    </row>
    <row r="33" spans="1:29" ht="15">
      <c r="A33" s="2621" t="s">
        <v>2688</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555" t="s">
        <v>544</v>
      </c>
      <c r="Q33" s="1507" t="str">
        <f t="shared" si="8"/>
        <v>建筑类型</v>
      </c>
      <c r="R33" s="1508" t="s">
        <v>8</v>
      </c>
      <c r="S33" s="1509">
        <f t="shared" si="9"/>
        <v>100</v>
      </c>
      <c r="T33" s="1508" t="s">
        <v>8</v>
      </c>
      <c r="U33" s="1509">
        <f t="shared" si="10"/>
        <v>100</v>
      </c>
      <c r="V33" s="1508" t="s">
        <v>8</v>
      </c>
      <c r="W33" s="1509">
        <f t="shared" si="11"/>
        <v>100</v>
      </c>
      <c r="X33" s="1502"/>
      <c r="Y33" s="3553" t="s">
        <v>544</v>
      </c>
      <c r="Z33" s="1510" t="str">
        <f t="shared" si="12"/>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53"/>
      <c r="Q34" s="1536" t="str">
        <f t="shared" si="8"/>
        <v>项目建筑规模</v>
      </c>
      <c r="R34" s="1512" t="s">
        <v>8</v>
      </c>
      <c r="S34" s="1513" t="e">
        <f t="shared" si="9"/>
        <v>#N/A</v>
      </c>
      <c r="T34" s="1512" t="s">
        <v>8</v>
      </c>
      <c r="U34" s="1513" t="e">
        <f t="shared" si="10"/>
        <v>#N/A</v>
      </c>
      <c r="V34" s="1512" t="s">
        <v>8</v>
      </c>
      <c r="W34" s="1513" t="e">
        <f t="shared" si="11"/>
        <v>#N/A</v>
      </c>
      <c r="X34" s="1514"/>
      <c r="Y34" s="3553"/>
      <c r="Z34" s="1515" t="str">
        <f t="shared" si="12"/>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53"/>
      <c r="Q35" s="1507" t="str">
        <f t="shared" si="8"/>
        <v>建筑结构</v>
      </c>
      <c r="R35" s="1508" t="s">
        <v>8</v>
      </c>
      <c r="S35" s="1509">
        <f t="shared" si="9"/>
        <v>100</v>
      </c>
      <c r="T35" s="1508" t="s">
        <v>8</v>
      </c>
      <c r="U35" s="1509">
        <f t="shared" si="10"/>
        <v>100</v>
      </c>
      <c r="V35" s="1508" t="s">
        <v>8</v>
      </c>
      <c r="W35" s="1509">
        <f t="shared" si="11"/>
        <v>100</v>
      </c>
      <c r="X35" s="1502"/>
      <c r="Y35" s="3553"/>
      <c r="Z35" s="1510" t="str">
        <f t="shared" si="12"/>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53"/>
      <c r="Q36" s="1507" t="str">
        <f t="shared" si="8"/>
        <v>公共部分装修</v>
      </c>
      <c r="R36" s="1508" t="s">
        <v>8</v>
      </c>
      <c r="S36" s="1509">
        <f t="shared" si="9"/>
        <v>100</v>
      </c>
      <c r="T36" s="1508" t="s">
        <v>8</v>
      </c>
      <c r="U36" s="1509">
        <f t="shared" si="10"/>
        <v>100</v>
      </c>
      <c r="V36" s="1508" t="s">
        <v>8</v>
      </c>
      <c r="W36" s="1509">
        <f t="shared" si="11"/>
        <v>100</v>
      </c>
      <c r="X36" s="1502"/>
      <c r="Y36" s="3553"/>
      <c r="Z36" s="1510" t="str">
        <f t="shared" si="12"/>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553"/>
      <c r="Q37" s="1507" t="str">
        <f t="shared" si="8"/>
        <v>成新度</v>
      </c>
      <c r="R37" s="1508" t="s">
        <v>8</v>
      </c>
      <c r="S37" s="1509" t="e">
        <f t="shared" si="9"/>
        <v>#N/A</v>
      </c>
      <c r="T37" s="1508" t="s">
        <v>8</v>
      </c>
      <c r="U37" s="1509" t="e">
        <f t="shared" si="10"/>
        <v>#N/A</v>
      </c>
      <c r="V37" s="1508" t="s">
        <v>8</v>
      </c>
      <c r="W37" s="1509" t="e">
        <f t="shared" si="11"/>
        <v>#N/A</v>
      </c>
      <c r="X37" s="1502"/>
      <c r="Y37" s="3553"/>
      <c r="Z37" s="1510" t="str">
        <f t="shared" si="12"/>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53"/>
      <c r="Q38" s="1134" t="str">
        <f t="shared" si="8"/>
        <v>写字楼等级</v>
      </c>
      <c r="R38" s="1503" t="s">
        <v>8</v>
      </c>
      <c r="S38" s="1504">
        <f t="shared" si="9"/>
        <v>100</v>
      </c>
      <c r="T38" s="1503" t="s">
        <v>8</v>
      </c>
      <c r="U38" s="1504">
        <f t="shared" si="10"/>
        <v>100</v>
      </c>
      <c r="V38" s="1503" t="s">
        <v>8</v>
      </c>
      <c r="W38" s="1504">
        <f t="shared" si="11"/>
        <v>100</v>
      </c>
      <c r="X38" s="1505"/>
      <c r="Y38" s="3553"/>
      <c r="Z38" s="1133" t="str">
        <f t="shared" si="12"/>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53" t="s">
        <v>544</v>
      </c>
      <c r="Q39" s="1507" t="str">
        <f t="shared" si="8"/>
        <v>物业管理</v>
      </c>
      <c r="R39" s="1508" t="s">
        <v>8</v>
      </c>
      <c r="S39" s="1509">
        <f t="shared" si="9"/>
        <v>100</v>
      </c>
      <c r="T39" s="1508" t="s">
        <v>8</v>
      </c>
      <c r="U39" s="1509">
        <f t="shared" si="10"/>
        <v>100</v>
      </c>
      <c r="V39" s="1508" t="s">
        <v>8</v>
      </c>
      <c r="W39" s="1509">
        <f t="shared" si="11"/>
        <v>100</v>
      </c>
      <c r="X39" s="1502"/>
      <c r="Y39" s="3553" t="s">
        <v>544</v>
      </c>
      <c r="Z39" s="1510" t="str">
        <f t="shared" si="12"/>
        <v>物业管理</v>
      </c>
      <c r="AA39" s="1511">
        <f t="shared" si="3"/>
        <v>1</v>
      </c>
      <c r="AB39" s="1511">
        <f t="shared" si="4"/>
        <v>1</v>
      </c>
      <c r="AC39" s="1511">
        <f t="shared" si="5"/>
        <v>1</v>
      </c>
    </row>
    <row r="40" spans="1:29" ht="15">
      <c r="A40" s="588"/>
      <c r="B40" s="1809" t="s">
        <v>2499</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53"/>
      <c r="Q40" s="1507" t="str">
        <f t="shared" si="8"/>
        <v>市政基础设施</v>
      </c>
      <c r="R40" s="1508" t="s">
        <v>8</v>
      </c>
      <c r="S40" s="1509">
        <f t="shared" si="9"/>
        <v>100</v>
      </c>
      <c r="T40" s="1508" t="s">
        <v>8</v>
      </c>
      <c r="U40" s="1509">
        <f t="shared" si="10"/>
        <v>100</v>
      </c>
      <c r="V40" s="1508" t="s">
        <v>8</v>
      </c>
      <c r="W40" s="1509">
        <f t="shared" si="11"/>
        <v>100</v>
      </c>
      <c r="X40" s="1502"/>
      <c r="Y40" s="3553"/>
      <c r="Z40" s="1510" t="str">
        <f t="shared" si="12"/>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53"/>
      <c r="Q41" s="1507" t="str">
        <f t="shared" si="8"/>
        <v>层高</v>
      </c>
      <c r="R41" s="1508" t="s">
        <v>8</v>
      </c>
      <c r="S41" s="1509">
        <f t="shared" si="9"/>
        <v>100</v>
      </c>
      <c r="T41" s="1508" t="s">
        <v>8</v>
      </c>
      <c r="U41" s="1509">
        <f t="shared" si="10"/>
        <v>100</v>
      </c>
      <c r="V41" s="1508" t="s">
        <v>8</v>
      </c>
      <c r="W41" s="1509">
        <f t="shared" si="11"/>
        <v>100</v>
      </c>
      <c r="X41" s="1502"/>
      <c r="Y41" s="3553"/>
      <c r="Z41" s="1510" t="str">
        <f t="shared" si="12"/>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53"/>
      <c r="Q42" s="1536" t="str">
        <f t="shared" si="8"/>
        <v>单套建筑面积</v>
      </c>
      <c r="R42" s="1512" t="s">
        <v>8</v>
      </c>
      <c r="S42" s="1513">
        <f t="shared" si="9"/>
        <v>100</v>
      </c>
      <c r="T42" s="1512" t="s">
        <v>8</v>
      </c>
      <c r="U42" s="1513">
        <f t="shared" si="10"/>
        <v>100</v>
      </c>
      <c r="V42" s="1512" t="s">
        <v>8</v>
      </c>
      <c r="W42" s="1513">
        <f t="shared" si="11"/>
        <v>100</v>
      </c>
      <c r="X42" s="1514"/>
      <c r="Y42" s="3553"/>
      <c r="Z42" s="1515" t="str">
        <f t="shared" si="12"/>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53"/>
      <c r="Q43" s="1507" t="str">
        <f t="shared" si="8"/>
        <v>内部装修</v>
      </c>
      <c r="R43" s="1508" t="s">
        <v>8</v>
      </c>
      <c r="S43" s="1509">
        <f t="shared" si="9"/>
        <v>100</v>
      </c>
      <c r="T43" s="1508" t="s">
        <v>8</v>
      </c>
      <c r="U43" s="1509">
        <f t="shared" si="10"/>
        <v>100</v>
      </c>
      <c r="V43" s="1508" t="s">
        <v>8</v>
      </c>
      <c r="W43" s="1509">
        <f t="shared" si="11"/>
        <v>100</v>
      </c>
      <c r="X43" s="1502"/>
      <c r="Y43" s="3553"/>
      <c r="Z43" s="1510" t="str">
        <f t="shared" si="12"/>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53"/>
      <c r="Q44" s="1507" t="str">
        <f t="shared" si="8"/>
        <v>内部装修维护情况</v>
      </c>
      <c r="R44" s="1508" t="s">
        <v>8</v>
      </c>
      <c r="S44" s="1509">
        <f t="shared" si="9"/>
        <v>100</v>
      </c>
      <c r="T44" s="1508" t="s">
        <v>8</v>
      </c>
      <c r="U44" s="1509">
        <f t="shared" si="10"/>
        <v>100</v>
      </c>
      <c r="V44" s="1508" t="s">
        <v>8</v>
      </c>
      <c r="W44" s="1509">
        <f t="shared" si="11"/>
        <v>100</v>
      </c>
      <c r="X44" s="1502"/>
      <c r="Y44" s="3553"/>
      <c r="Z44" s="1510" t="str">
        <f t="shared" si="12"/>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53"/>
      <c r="Q45" s="1134">
        <f t="shared" si="8"/>
        <v>111</v>
      </c>
      <c r="R45" s="1503" t="s">
        <v>8</v>
      </c>
      <c r="S45" s="1504">
        <f t="shared" si="9"/>
        <v>100</v>
      </c>
      <c r="T45" s="1503" t="s">
        <v>8</v>
      </c>
      <c r="U45" s="1504">
        <f t="shared" si="10"/>
        <v>100</v>
      </c>
      <c r="V45" s="1503" t="s">
        <v>8</v>
      </c>
      <c r="W45" s="1504">
        <f t="shared" si="11"/>
        <v>100</v>
      </c>
      <c r="X45" s="1505"/>
      <c r="Y45" s="3553"/>
      <c r="Z45" s="1133">
        <f t="shared" si="12"/>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53"/>
      <c r="Q46" s="1507">
        <f t="shared" si="8"/>
        <v>111</v>
      </c>
      <c r="R46" s="1508" t="s">
        <v>8</v>
      </c>
      <c r="S46" s="1509">
        <f t="shared" si="9"/>
        <v>100</v>
      </c>
      <c r="T46" s="1508" t="s">
        <v>8</v>
      </c>
      <c r="U46" s="1509">
        <f t="shared" si="10"/>
        <v>100</v>
      </c>
      <c r="V46" s="1508" t="s">
        <v>8</v>
      </c>
      <c r="W46" s="1509">
        <f t="shared" si="11"/>
        <v>100</v>
      </c>
      <c r="X46" s="1502"/>
      <c r="Y46" s="3553"/>
      <c r="Z46" s="1510">
        <f t="shared" si="12"/>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42"/>
      <c r="Q47" s="1507">
        <f t="shared" si="8"/>
        <v>111</v>
      </c>
      <c r="R47" s="1508" t="s">
        <v>8</v>
      </c>
      <c r="S47" s="1509">
        <f t="shared" si="9"/>
        <v>100</v>
      </c>
      <c r="T47" s="1508" t="s">
        <v>8</v>
      </c>
      <c r="U47" s="1509">
        <f t="shared" si="10"/>
        <v>100</v>
      </c>
      <c r="V47" s="1508" t="s">
        <v>8</v>
      </c>
      <c r="W47" s="1509">
        <f t="shared" si="11"/>
        <v>100</v>
      </c>
      <c r="X47" s="1502"/>
      <c r="Y47" s="3642"/>
      <c r="Z47" s="1510">
        <f t="shared" si="12"/>
        <v>111</v>
      </c>
      <c r="AA47" s="1511">
        <f t="shared" si="3"/>
        <v>1</v>
      </c>
      <c r="AB47" s="1511">
        <f t="shared" si="4"/>
        <v>1</v>
      </c>
      <c r="AC47" s="1511">
        <f t="shared" si="5"/>
        <v>1</v>
      </c>
    </row>
    <row r="48" spans="1:29" ht="15">
      <c r="A48" s="601" t="s">
        <v>730</v>
      </c>
      <c r="B48" s="876"/>
      <c r="C48" s="2467" t="s">
        <v>1</v>
      </c>
      <c r="D48" s="2468"/>
      <c r="E48" s="2469"/>
      <c r="F48" s="2470"/>
      <c r="G48" s="2471"/>
      <c r="H48" s="2472"/>
      <c r="I48" s="2469"/>
      <c r="J48" s="2472"/>
      <c r="K48" s="1541"/>
      <c r="L48" s="2026"/>
      <c r="M48" s="2016"/>
      <c r="N48" s="2016"/>
      <c r="O48" s="2016"/>
      <c r="P48" s="3558" t="str">
        <f>A48</f>
        <v>成交单价（元/平方米）</v>
      </c>
      <c r="Q48" s="3554"/>
      <c r="R48" s="3640">
        <f>E48</f>
        <v>0</v>
      </c>
      <c r="S48" s="3640"/>
      <c r="T48" s="3640">
        <f>G48</f>
        <v>0</v>
      </c>
      <c r="U48" s="3640"/>
      <c r="V48" s="3640">
        <f>I48</f>
        <v>0</v>
      </c>
      <c r="W48" s="3640"/>
      <c r="X48" s="1497"/>
      <c r="Y48" s="1516"/>
      <c r="Z48" s="1497"/>
      <c r="AA48" s="1497"/>
      <c r="AB48" s="1497"/>
      <c r="AC48" s="1497"/>
    </row>
    <row r="49" spans="1:29" ht="15.75" thickBot="1">
      <c r="A49" s="609" t="s">
        <v>2693</v>
      </c>
      <c r="B49" s="877"/>
      <c r="C49" s="2473" t="e">
        <f>R50</f>
        <v>#DIV/0!</v>
      </c>
      <c r="D49" s="3008" t="s">
        <v>2915</v>
      </c>
      <c r="E49" s="2474" t="e">
        <f>R49</f>
        <v>#DIV/0!</v>
      </c>
      <c r="F49" s="3009"/>
      <c r="G49" s="2473" t="e">
        <f>T49</f>
        <v>#DIV/0!</v>
      </c>
      <c r="H49" s="3009"/>
      <c r="I49" s="2474" t="e">
        <f>V49</f>
        <v>#DIV/0!</v>
      </c>
      <c r="J49" s="3009"/>
      <c r="K49" s="3016">
        <f>F49+H49+J49</f>
        <v>0</v>
      </c>
      <c r="L49" s="2026"/>
      <c r="M49" s="2016"/>
      <c r="N49" s="2016"/>
      <c r="O49" s="2016"/>
      <c r="P49" s="3558" t="str">
        <f>A49</f>
        <v>比较价格（元/平方米）</v>
      </c>
      <c r="Q49" s="3554"/>
      <c r="R49" s="3640" t="e">
        <f>IF(F1="售价",ROUND(PRODUCT(R48,AA7:AA47),0),ROUND(PRODUCT(R48,AA7:AA47),1))</f>
        <v>#DIV/0!</v>
      </c>
      <c r="S49" s="3640"/>
      <c r="T49" s="3640" t="e">
        <f>IF(F1="售价",ROUND(PRODUCT(T48,AB7:AB47),0),ROUND(PRODUCT(T48,AB7:AB47),1))</f>
        <v>#DIV/0!</v>
      </c>
      <c r="U49" s="3640"/>
      <c r="V49" s="3640" t="e">
        <f>IF(F1="售价",ROUND(PRODUCT(V48,AC7:AC47),0),ROUND(PRODUCT(V48,AC7:AC47),1))</f>
        <v>#DIV/0!</v>
      </c>
      <c r="W49" s="3640"/>
      <c r="X49" s="1497"/>
      <c r="Y49" s="1497"/>
      <c r="Z49" s="1497"/>
      <c r="AA49" s="1497"/>
      <c r="AB49" s="1497"/>
      <c r="AC49" s="1497"/>
    </row>
    <row r="50" spans="1:29" ht="15.75" thickBot="1">
      <c r="A50" s="613" t="s">
        <v>2850</v>
      </c>
      <c r="B50" s="614"/>
      <c r="C50" s="2475" t="e">
        <f>R50</f>
        <v>#DIV/0!</v>
      </c>
      <c r="D50" s="2475"/>
      <c r="E50" s="2475"/>
      <c r="F50" s="2475"/>
      <c r="G50" s="2475"/>
      <c r="H50" s="2475"/>
      <c r="I50" s="2475"/>
      <c r="J50" s="2475"/>
      <c r="K50" s="1542"/>
      <c r="L50" s="2026"/>
      <c r="M50" s="2016"/>
      <c r="N50" s="2016"/>
      <c r="O50" s="2016"/>
      <c r="P50" s="3643" t="str">
        <f>A50</f>
        <v>估价对象XX用房的比较价格（楼面单价，元/平方米）</v>
      </c>
      <c r="Q50" s="3558"/>
      <c r="R50" s="3641" t="e">
        <f>IF(F1="售价",ROUND(IF(D49="简单平均",AVERAGE(R49:V49),R49*F49+T49*H49+V49*J49),0),ROUND(IF(D49="简单平均",AVERAGE(R49:V49),R49*F49+T49*H49+V49*J49),1))</f>
        <v>#DIV/0!</v>
      </c>
      <c r="S50" s="3641"/>
      <c r="T50" s="3641"/>
      <c r="U50" s="3641"/>
      <c r="V50" s="3641"/>
      <c r="W50" s="3641"/>
      <c r="X50" s="1497"/>
      <c r="Y50" s="1497"/>
      <c r="Z50" s="1497"/>
      <c r="AA50" s="1497"/>
      <c r="AB50" s="1497"/>
      <c r="AC50" s="1497"/>
    </row>
    <row r="51" spans="1:29">
      <c r="A51" s="3204"/>
      <c r="B51" s="3204"/>
      <c r="C51" s="3204"/>
      <c r="D51" s="3204"/>
      <c r="E51" s="3204"/>
      <c r="F51" s="3204"/>
      <c r="G51" s="3206"/>
      <c r="H51" s="3204"/>
      <c r="I51" s="3204"/>
      <c r="J51" s="3204"/>
      <c r="K51" s="3207"/>
      <c r="L51" s="2031"/>
      <c r="M51" s="2027"/>
      <c r="N51" s="2027"/>
      <c r="O51" s="2027"/>
      <c r="P51" s="2088"/>
      <c r="Q51" s="2027"/>
      <c r="R51" s="2027"/>
      <c r="S51" s="2027"/>
      <c r="T51" s="2027"/>
      <c r="U51" s="2027"/>
      <c r="V51" s="2027"/>
      <c r="W51" s="2027"/>
      <c r="X51" s="2027"/>
      <c r="Y51" s="2027"/>
      <c r="Z51" s="2027"/>
      <c r="AA51" s="2027"/>
      <c r="AB51" s="2027"/>
      <c r="AC51" s="2027"/>
    </row>
    <row r="52" spans="1:29">
      <c r="A52" s="3204"/>
      <c r="B52" s="3204"/>
      <c r="C52" s="3204"/>
      <c r="D52" s="3204"/>
      <c r="E52" s="3204"/>
      <c r="F52" s="3204"/>
      <c r="G52" s="3204"/>
      <c r="H52" s="3204"/>
      <c r="I52" s="3204"/>
      <c r="J52" s="3204"/>
      <c r="K52" s="320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04"/>
      <c r="B53" s="320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0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04"/>
      <c r="B54" s="320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07"/>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05"/>
      <c r="B55" s="320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08"/>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9" t="s">
        <v>568</v>
      </c>
      <c r="B58" s="1497"/>
      <c r="C58" s="1518"/>
      <c r="D58" s="1518"/>
      <c r="E58" s="1518"/>
      <c r="F58" s="1520"/>
      <c r="G58" s="1520"/>
      <c r="H58" s="1518"/>
      <c r="I58" s="1518"/>
      <c r="J58" s="1518"/>
      <c r="K58" s="1521"/>
      <c r="L58" s="1517"/>
      <c r="M58" s="1518"/>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6" t="str">
        <f>YEAR(C7)&amp;"-"&amp;MONTH(C7)</f>
        <v>2020-9</v>
      </c>
      <c r="D59" s="2518">
        <f>EDATE(C59,-1)</f>
        <v>44044</v>
      </c>
      <c r="E59" s="2518">
        <f t="shared" ref="E59:O59" si="13">EDATE(D59,-1)</f>
        <v>44013</v>
      </c>
      <c r="F59" s="2518">
        <f t="shared" si="13"/>
        <v>43983</v>
      </c>
      <c r="G59" s="2518">
        <f t="shared" si="13"/>
        <v>43952</v>
      </c>
      <c r="H59" s="2518">
        <f t="shared" si="13"/>
        <v>43922</v>
      </c>
      <c r="I59" s="2518">
        <f t="shared" si="13"/>
        <v>43891</v>
      </c>
      <c r="J59" s="2518">
        <f t="shared" si="13"/>
        <v>43862</v>
      </c>
      <c r="K59" s="2518">
        <f t="shared" si="13"/>
        <v>43831</v>
      </c>
      <c r="L59" s="2518">
        <f t="shared" si="13"/>
        <v>43800</v>
      </c>
      <c r="M59" s="2518">
        <f t="shared" si="13"/>
        <v>43770</v>
      </c>
      <c r="N59" s="2518">
        <f t="shared" si="13"/>
        <v>43739</v>
      </c>
      <c r="O59" s="2518">
        <f t="shared" si="13"/>
        <v>43709</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4">D69&amp;"（含）"&amp;"-"&amp;E69</f>
        <v>（含）-</v>
      </c>
      <c r="E68" s="674" t="str">
        <f t="shared" si="14"/>
        <v>（含）-</v>
      </c>
      <c r="F68" s="674" t="str">
        <f t="shared" si="14"/>
        <v>（含）-</v>
      </c>
      <c r="G68" s="674" t="str">
        <f t="shared" si="14"/>
        <v>（含）-</v>
      </c>
      <c r="H68" s="674" t="str">
        <f t="shared" si="14"/>
        <v>（含）-</v>
      </c>
      <c r="I68" s="674" t="str">
        <f t="shared" si="14"/>
        <v>（含）-</v>
      </c>
      <c r="J68" s="674" t="str">
        <f t="shared" si="14"/>
        <v>（含）-</v>
      </c>
      <c r="K68" s="674" t="str">
        <f t="shared" si="14"/>
        <v>（含）-</v>
      </c>
      <c r="L68" s="674" t="str">
        <f t="shared" si="14"/>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5">C70-$K11</f>
        <v>100</v>
      </c>
      <c r="E70" s="671">
        <f t="shared" si="15"/>
        <v>100</v>
      </c>
      <c r="F70" s="671">
        <f t="shared" si="15"/>
        <v>100</v>
      </c>
      <c r="G70" s="671">
        <f t="shared" si="15"/>
        <v>100</v>
      </c>
      <c r="H70" s="671">
        <f t="shared" si="15"/>
        <v>100</v>
      </c>
      <c r="I70" s="671">
        <f t="shared" si="15"/>
        <v>100</v>
      </c>
      <c r="J70" s="671">
        <f t="shared" si="15"/>
        <v>100</v>
      </c>
      <c r="K70" s="671">
        <f t="shared" si="15"/>
        <v>100</v>
      </c>
      <c r="L70" s="671">
        <f t="shared" si="15"/>
        <v>100</v>
      </c>
      <c r="M70" s="672">
        <f t="shared" si="15"/>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2491</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38" t="s">
        <v>2492</v>
      </c>
      <c r="C83" s="2439" t="s">
        <v>2493</v>
      </c>
      <c r="D83" s="2439" t="s">
        <v>2494</v>
      </c>
      <c r="E83" s="2439" t="s">
        <v>2495</v>
      </c>
      <c r="F83" s="2439" t="s">
        <v>2496</v>
      </c>
      <c r="G83" s="2439" t="s">
        <v>2497</v>
      </c>
      <c r="H83" s="666"/>
      <c r="I83" s="666"/>
      <c r="J83" s="666"/>
      <c r="K83" s="666"/>
      <c r="L83" s="666"/>
      <c r="M83" s="2442"/>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6">C88-$K25</f>
        <v>100</v>
      </c>
      <c r="E88" s="671">
        <f t="shared" si="16"/>
        <v>100</v>
      </c>
      <c r="F88" s="671">
        <f t="shared" si="16"/>
        <v>100</v>
      </c>
      <c r="G88" s="671">
        <f t="shared" si="16"/>
        <v>100</v>
      </c>
      <c r="H88" s="671">
        <f t="shared" si="16"/>
        <v>100</v>
      </c>
      <c r="I88" s="671">
        <f t="shared" si="16"/>
        <v>100</v>
      </c>
      <c r="J88" s="671">
        <f t="shared" si="16"/>
        <v>100</v>
      </c>
      <c r="K88" s="671">
        <f t="shared" si="16"/>
        <v>100</v>
      </c>
      <c r="L88" s="671">
        <f t="shared" si="16"/>
        <v>100</v>
      </c>
      <c r="M88" s="671">
        <f t="shared" si="16"/>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17">D90-$K27</f>
        <v>100</v>
      </c>
      <c r="F90" s="671">
        <f t="shared" si="17"/>
        <v>100</v>
      </c>
      <c r="G90" s="671">
        <f t="shared" si="17"/>
        <v>100</v>
      </c>
      <c r="H90" s="671">
        <f t="shared" si="17"/>
        <v>100</v>
      </c>
      <c r="I90" s="671">
        <f t="shared" si="17"/>
        <v>100</v>
      </c>
      <c r="J90" s="671">
        <f t="shared" si="17"/>
        <v>100</v>
      </c>
      <c r="K90" s="671">
        <f t="shared" si="17"/>
        <v>100</v>
      </c>
      <c r="L90" s="671">
        <f t="shared" si="17"/>
        <v>100</v>
      </c>
      <c r="M90" s="671">
        <f t="shared" si="17"/>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18">C92-$K28</f>
        <v>100</v>
      </c>
      <c r="E92" s="671">
        <f t="shared" si="18"/>
        <v>100</v>
      </c>
      <c r="F92" s="671">
        <f t="shared" si="18"/>
        <v>100</v>
      </c>
      <c r="G92" s="671">
        <f t="shared" si="18"/>
        <v>100</v>
      </c>
      <c r="H92" s="671">
        <f t="shared" si="18"/>
        <v>100</v>
      </c>
      <c r="I92" s="671">
        <f t="shared" si="18"/>
        <v>100</v>
      </c>
      <c r="J92" s="671">
        <f t="shared" si="18"/>
        <v>100</v>
      </c>
      <c r="K92" s="671">
        <f t="shared" si="18"/>
        <v>100</v>
      </c>
      <c r="L92" s="671">
        <f t="shared" si="18"/>
        <v>100</v>
      </c>
      <c r="M92" s="671">
        <f t="shared" si="18"/>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19">C102-$K33</f>
        <v>100</v>
      </c>
      <c r="E102" s="671">
        <f t="shared" si="19"/>
        <v>100</v>
      </c>
      <c r="F102" s="671">
        <f t="shared" si="19"/>
        <v>100</v>
      </c>
      <c r="G102" s="671">
        <f t="shared" si="19"/>
        <v>100</v>
      </c>
      <c r="H102" s="671">
        <f t="shared" si="19"/>
        <v>100</v>
      </c>
      <c r="I102" s="671">
        <f t="shared" si="19"/>
        <v>100</v>
      </c>
      <c r="J102" s="671">
        <f t="shared" si="19"/>
        <v>100</v>
      </c>
      <c r="K102" s="671">
        <f t="shared" si="19"/>
        <v>100</v>
      </c>
      <c r="L102" s="671">
        <f t="shared" si="19"/>
        <v>100</v>
      </c>
      <c r="M102" s="672">
        <f t="shared" si="19"/>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0">D104&amp;"(含)"&amp;"-"&amp;E104</f>
        <v>(含)-</v>
      </c>
      <c r="E103" s="700" t="str">
        <f t="shared" si="20"/>
        <v>(含)-</v>
      </c>
      <c r="F103" s="700" t="str">
        <f t="shared" si="20"/>
        <v>(含)-</v>
      </c>
      <c r="G103" s="700" t="str">
        <f t="shared" si="20"/>
        <v>(含)-</v>
      </c>
      <c r="H103" s="700" t="str">
        <f t="shared" si="20"/>
        <v>(含)-</v>
      </c>
      <c r="I103" s="700" t="str">
        <f t="shared" si="20"/>
        <v>(含)-</v>
      </c>
      <c r="J103" s="700" t="str">
        <f t="shared" si="20"/>
        <v>(含)-</v>
      </c>
      <c r="K103" s="700" t="str">
        <f t="shared" si="20"/>
        <v>(含)-</v>
      </c>
      <c r="L103" s="700" t="str">
        <f t="shared" si="20"/>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1">C107-$K35</f>
        <v>100</v>
      </c>
      <c r="E107" s="671">
        <f t="shared" si="21"/>
        <v>100</v>
      </c>
      <c r="F107" s="671">
        <f t="shared" si="21"/>
        <v>100</v>
      </c>
      <c r="G107" s="671">
        <f t="shared" si="21"/>
        <v>100</v>
      </c>
      <c r="H107" s="671">
        <f t="shared" si="21"/>
        <v>100</v>
      </c>
      <c r="I107" s="671">
        <f t="shared" si="21"/>
        <v>100</v>
      </c>
      <c r="J107" s="671">
        <f t="shared" si="21"/>
        <v>100</v>
      </c>
      <c r="K107" s="671">
        <f t="shared" si="21"/>
        <v>100</v>
      </c>
      <c r="L107" s="671">
        <f t="shared" si="21"/>
        <v>100</v>
      </c>
      <c r="M107" s="672">
        <f t="shared" si="21"/>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2">C109-$K36</f>
        <v>100</v>
      </c>
      <c r="E109" s="671">
        <f t="shared" si="22"/>
        <v>100</v>
      </c>
      <c r="F109" s="671">
        <f t="shared" si="22"/>
        <v>100</v>
      </c>
      <c r="G109" s="671">
        <f t="shared" si="22"/>
        <v>100</v>
      </c>
      <c r="H109" s="671">
        <f t="shared" si="22"/>
        <v>100</v>
      </c>
      <c r="I109" s="671">
        <f t="shared" si="22"/>
        <v>100</v>
      </c>
      <c r="J109" s="671">
        <f t="shared" si="22"/>
        <v>100</v>
      </c>
      <c r="K109" s="671">
        <f t="shared" si="22"/>
        <v>100</v>
      </c>
      <c r="L109" s="671">
        <f t="shared" si="22"/>
        <v>100</v>
      </c>
      <c r="M109" s="672">
        <f t="shared" si="22"/>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3">D112+$K37</f>
        <v>100</v>
      </c>
      <c r="F112" s="671">
        <f t="shared" si="23"/>
        <v>100</v>
      </c>
      <c r="G112" s="671">
        <f t="shared" si="23"/>
        <v>100</v>
      </c>
      <c r="H112" s="671">
        <f t="shared" si="23"/>
        <v>100</v>
      </c>
      <c r="I112" s="671">
        <f t="shared" si="23"/>
        <v>100</v>
      </c>
      <c r="J112" s="671">
        <f t="shared" si="23"/>
        <v>100</v>
      </c>
      <c r="K112" s="671">
        <f t="shared" si="23"/>
        <v>100</v>
      </c>
      <c r="L112" s="671">
        <f t="shared" si="23"/>
        <v>100</v>
      </c>
      <c r="M112" s="671">
        <f t="shared" si="23"/>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4">D114-$K38</f>
        <v>100</v>
      </c>
      <c r="F114" s="671">
        <f t="shared" si="24"/>
        <v>100</v>
      </c>
      <c r="G114" s="671">
        <f t="shared" si="24"/>
        <v>100</v>
      </c>
      <c r="H114" s="671">
        <f t="shared" si="24"/>
        <v>100</v>
      </c>
      <c r="I114" s="671">
        <f t="shared" si="24"/>
        <v>100</v>
      </c>
      <c r="J114" s="671">
        <f t="shared" si="24"/>
        <v>100</v>
      </c>
      <c r="K114" s="671">
        <f t="shared" si="24"/>
        <v>100</v>
      </c>
      <c r="L114" s="671">
        <f t="shared" si="24"/>
        <v>100</v>
      </c>
      <c r="M114" s="671">
        <f t="shared" si="24"/>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5">C116-$K39</f>
        <v>100</v>
      </c>
      <c r="E116" s="671">
        <f t="shared" si="25"/>
        <v>100</v>
      </c>
      <c r="F116" s="671">
        <f t="shared" si="25"/>
        <v>100</v>
      </c>
      <c r="G116" s="671">
        <f t="shared" si="25"/>
        <v>100</v>
      </c>
      <c r="H116" s="671">
        <f t="shared" si="25"/>
        <v>100</v>
      </c>
      <c r="I116" s="671">
        <f t="shared" si="25"/>
        <v>100</v>
      </c>
      <c r="J116" s="671">
        <f t="shared" si="25"/>
        <v>100</v>
      </c>
      <c r="K116" s="671">
        <f t="shared" si="25"/>
        <v>100</v>
      </c>
      <c r="L116" s="671">
        <f t="shared" si="25"/>
        <v>100</v>
      </c>
      <c r="M116" s="672">
        <f t="shared" si="25"/>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2490</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6">D120-$K41</f>
        <v>100</v>
      </c>
      <c r="F120" s="671">
        <f t="shared" si="26"/>
        <v>100</v>
      </c>
      <c r="G120" s="671">
        <f t="shared" si="26"/>
        <v>100</v>
      </c>
      <c r="H120" s="671">
        <f t="shared" si="26"/>
        <v>100</v>
      </c>
      <c r="I120" s="671">
        <f t="shared" si="26"/>
        <v>100</v>
      </c>
      <c r="J120" s="671">
        <f t="shared" si="26"/>
        <v>100</v>
      </c>
      <c r="K120" s="671">
        <f t="shared" si="26"/>
        <v>100</v>
      </c>
      <c r="L120" s="671">
        <f t="shared" si="26"/>
        <v>100</v>
      </c>
      <c r="M120" s="671">
        <f t="shared" si="26"/>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C124-$K43</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9:P14"/>
    <mergeCell ref="Y9:Y14"/>
    <mergeCell ref="Y7:Z7"/>
    <mergeCell ref="R4:S6"/>
    <mergeCell ref="AC4:AC6"/>
    <mergeCell ref="T4:U6"/>
    <mergeCell ref="V4:W6"/>
    <mergeCell ref="AB4:AB6"/>
    <mergeCell ref="AA4:AA6"/>
    <mergeCell ref="P8:Q8"/>
    <mergeCell ref="Y8:Z8"/>
    <mergeCell ref="Y4:Z6"/>
    <mergeCell ref="P7:Q7"/>
    <mergeCell ref="C4:D4"/>
    <mergeCell ref="E4:F4"/>
    <mergeCell ref="G4:H4"/>
    <mergeCell ref="I4:J4"/>
    <mergeCell ref="P4:Q6"/>
    <mergeCell ref="E5:F5"/>
    <mergeCell ref="C5:D5"/>
    <mergeCell ref="C6:D6"/>
    <mergeCell ref="I5:J5"/>
    <mergeCell ref="E6:F6"/>
    <mergeCell ref="G6:H6"/>
    <mergeCell ref="I6:J6"/>
    <mergeCell ref="G5:H5"/>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5" type="noConversion"/>
  <conditionalFormatting sqref="F53 H53">
    <cfRule type="containsText" dxfId="55" priority="20" stopIfTrue="1" operator="containsText" text="超过">
      <formula>NOT(ISERROR(SEARCH("超过",F53)))</formula>
    </cfRule>
  </conditionalFormatting>
  <conditionalFormatting sqref="H55">
    <cfRule type="containsText" dxfId="54" priority="19" stopIfTrue="1" operator="containsText" text="超过">
      <formula>NOT(ISERROR(SEARCH("超过",H55)))</formula>
    </cfRule>
  </conditionalFormatting>
  <conditionalFormatting sqref="F55">
    <cfRule type="containsText" dxfId="53" priority="18" stopIfTrue="1" operator="containsText" text="超过">
      <formula>NOT(ISERROR(SEARCH("超过",F55)))</formula>
    </cfRule>
  </conditionalFormatting>
  <conditionalFormatting sqref="F54 H54">
    <cfRule type="containsText" dxfId="52" priority="17" stopIfTrue="1" operator="containsText" text="超过">
      <formula>NOT(ISERROR(SEARCH("超过",F54)))</formula>
    </cfRule>
  </conditionalFormatting>
  <conditionalFormatting sqref="E53">
    <cfRule type="expression" dxfId="51" priority="16" stopIfTrue="1">
      <formula>$F$53="超过30%"</formula>
    </cfRule>
  </conditionalFormatting>
  <conditionalFormatting sqref="E54">
    <cfRule type="expression" dxfId="50" priority="15" stopIfTrue="1">
      <formula>$F$54="超过20%"</formula>
    </cfRule>
  </conditionalFormatting>
  <conditionalFormatting sqref="E55">
    <cfRule type="expression" dxfId="49" priority="14" stopIfTrue="1">
      <formula>$F$55="超过30%"</formula>
    </cfRule>
  </conditionalFormatting>
  <conditionalFormatting sqref="G55">
    <cfRule type="expression" dxfId="48" priority="13" stopIfTrue="1">
      <formula>$H$55="超过30%"</formula>
    </cfRule>
  </conditionalFormatting>
  <conditionalFormatting sqref="G53">
    <cfRule type="expression" dxfId="47" priority="12" stopIfTrue="1">
      <formula>$H$53="超过30%"</formula>
    </cfRule>
  </conditionalFormatting>
  <conditionalFormatting sqref="G54">
    <cfRule type="expression" dxfId="46" priority="11" stopIfTrue="1">
      <formula>$H$54="超过20%"</formula>
    </cfRule>
  </conditionalFormatting>
  <conditionalFormatting sqref="J53">
    <cfRule type="containsText" dxfId="45" priority="10" stopIfTrue="1" operator="containsText" text="超过">
      <formula>NOT(ISERROR(SEARCH("超过",J53)))</formula>
    </cfRule>
  </conditionalFormatting>
  <conditionalFormatting sqref="J55">
    <cfRule type="containsText" dxfId="44" priority="9" stopIfTrue="1" operator="containsText" text="超过">
      <formula>NOT(ISERROR(SEARCH("超过",J55)))</formula>
    </cfRule>
  </conditionalFormatting>
  <conditionalFormatting sqref="J54">
    <cfRule type="containsText" dxfId="43" priority="8" stopIfTrue="1" operator="containsText" text="超过">
      <formula>NOT(ISERROR(SEARCH("超过",J54)))</formula>
    </cfRule>
  </conditionalFormatting>
  <conditionalFormatting sqref="I53">
    <cfRule type="expression" dxfId="42" priority="7" stopIfTrue="1">
      <formula>$J$53="超过30%"</formula>
    </cfRule>
  </conditionalFormatting>
  <conditionalFormatting sqref="I54">
    <cfRule type="expression" dxfId="41" priority="6" stopIfTrue="1">
      <formula>$J$53+$J$54="超过20%"</formula>
    </cfRule>
  </conditionalFormatting>
  <conditionalFormatting sqref="I55">
    <cfRule type="expression" dxfId="40" priority="5" stopIfTrue="1">
      <formula>$J$55="超过30%"</formula>
    </cfRule>
  </conditionalFormatting>
  <conditionalFormatting sqref="F49">
    <cfRule type="expression" dxfId="39" priority="4">
      <formula>$D$49="简单平均"</formula>
    </cfRule>
  </conditionalFormatting>
  <conditionalFormatting sqref="H49">
    <cfRule type="expression" dxfId="38" priority="3">
      <formula>$D$49="简单平均"</formula>
    </cfRule>
  </conditionalFormatting>
  <conditionalFormatting sqref="J49">
    <cfRule type="expression" dxfId="37" priority="2">
      <formula>$D$49="简单平均"</formula>
    </cfRule>
  </conditionalFormatting>
  <conditionalFormatting sqref="F7:F47 H7:H47 J7:J47">
    <cfRule type="cellIs" dxfId="3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C7:Q36"/>
    </sheetView>
  </sheetViews>
  <sheetFormatPr defaultColWidth="9" defaultRowHeight="14.25"/>
  <cols>
    <col min="1" max="1" width="10.5" style="1291" customWidth="1"/>
    <col min="2" max="2" width="15.625" style="1291" customWidth="1"/>
    <col min="3" max="3" width="14.375" style="1291" customWidth="1"/>
    <col min="4" max="4" width="12.125" style="1291" customWidth="1"/>
    <col min="5" max="5" width="14.375" style="1291" customWidth="1"/>
    <col min="6" max="6" width="12.125" style="1291" customWidth="1"/>
    <col min="7" max="7" width="14.5" style="1291" customWidth="1"/>
    <col min="8" max="8" width="12.125" style="1291" customWidth="1"/>
    <col min="9" max="9" width="14.5" style="1291" customWidth="1"/>
    <col min="10" max="10" width="12.125" style="1291" customWidth="1"/>
    <col min="11" max="11" width="12.125" style="1296" customWidth="1"/>
    <col min="12" max="12" width="12.125" style="1297" customWidth="1"/>
    <col min="13" max="15" width="12.125" style="1291" customWidth="1"/>
    <col min="16" max="16" width="4.625" style="1291" customWidth="1"/>
    <col min="17" max="17" width="19.5" style="1291" customWidth="1"/>
    <col min="18" max="22" width="6.125" style="1291" customWidth="1"/>
    <col min="23" max="23" width="5.625" style="1291" customWidth="1"/>
    <col min="24" max="24" width="4.125" style="1291" customWidth="1"/>
    <col min="25" max="25" width="3.5" style="1291" customWidth="1"/>
    <col min="26" max="26" width="19.625" style="1291" customWidth="1"/>
    <col min="27" max="28" width="9.375" style="1291" customWidth="1"/>
    <col min="29" max="16384" width="9" style="1291"/>
  </cols>
  <sheetData>
    <row r="1" spans="1:29" s="1290" customFormat="1" ht="28.5" customHeight="1">
      <c r="A1" s="496" t="s">
        <v>712</v>
      </c>
      <c r="B1" s="912"/>
      <c r="C1" s="498" t="s">
        <v>786</v>
      </c>
      <c r="D1" s="838"/>
      <c r="E1" s="500"/>
      <c r="F1" s="2521"/>
      <c r="G1" s="1532" t="s">
        <v>787</v>
      </c>
      <c r="H1" s="500"/>
      <c r="I1" s="500"/>
      <c r="J1" s="500"/>
      <c r="K1" s="501"/>
      <c r="L1" s="3200"/>
      <c r="M1" s="3201"/>
      <c r="N1" s="3201"/>
      <c r="O1" s="3201"/>
      <c r="P1" s="2014"/>
      <c r="Q1" s="2014"/>
      <c r="R1" s="2014"/>
      <c r="S1" s="2014"/>
      <c r="T1" s="2014"/>
      <c r="U1" s="2014"/>
      <c r="V1" s="2014"/>
      <c r="W1" s="2014"/>
      <c r="X1" s="2014"/>
      <c r="Y1" s="2014"/>
      <c r="Z1" s="2014"/>
      <c r="AA1" s="2014"/>
      <c r="AB1" s="2014"/>
      <c r="AC1" s="3202"/>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02"/>
    </row>
    <row r="3" spans="1:29" s="1290" customFormat="1" ht="28.5" customHeight="1" thickBot="1">
      <c r="A3" s="503" t="s">
        <v>789</v>
      </c>
      <c r="B3" s="504" t="e">
        <f>IF(B37="元/平方米",C39,ROUND(B2*10000/D3,0))</f>
        <v>#DIV/0!</v>
      </c>
      <c r="C3" s="841" t="s">
        <v>790</v>
      </c>
      <c r="D3" s="840">
        <f>SUMIF('数据-汇总表'!$C19:$C33,D1,'数据-汇总表'!$E19:$E33)</f>
        <v>0</v>
      </c>
      <c r="E3" s="1762" t="s">
        <v>2023</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03"/>
      <c r="AC3" s="1944"/>
    </row>
    <row r="4" spans="1:29" ht="15">
      <c r="A4" s="506" t="s">
        <v>791</v>
      </c>
      <c r="B4" s="507"/>
      <c r="C4" s="3523" t="s">
        <v>792</v>
      </c>
      <c r="D4" s="3524"/>
      <c r="E4" s="3523" t="s">
        <v>793</v>
      </c>
      <c r="F4" s="3524"/>
      <c r="G4" s="3523" t="s">
        <v>794</v>
      </c>
      <c r="H4" s="3524"/>
      <c r="I4" s="3523" t="s">
        <v>795</v>
      </c>
      <c r="J4" s="3524"/>
      <c r="K4" s="508" t="s">
        <v>796</v>
      </c>
      <c r="L4" s="2015"/>
      <c r="M4" s="2016"/>
      <c r="N4" s="2016"/>
      <c r="O4" s="2016"/>
      <c r="P4" s="3527" t="s">
        <v>797</v>
      </c>
      <c r="Q4" s="3528"/>
      <c r="R4" s="3533" t="s">
        <v>793</v>
      </c>
      <c r="S4" s="3534"/>
      <c r="T4" s="3533" t="s">
        <v>794</v>
      </c>
      <c r="U4" s="3534"/>
      <c r="V4" s="3539" t="s">
        <v>795</v>
      </c>
      <c r="W4" s="3539"/>
      <c r="X4" s="1502"/>
      <c r="Y4" s="3533" t="s">
        <v>797</v>
      </c>
      <c r="Z4" s="3534"/>
      <c r="AA4" s="3520" t="s">
        <v>793</v>
      </c>
      <c r="AB4" s="3521" t="s">
        <v>794</v>
      </c>
      <c r="AC4" s="3520" t="s">
        <v>795</v>
      </c>
    </row>
    <row r="5" spans="1:29" ht="15">
      <c r="A5" s="509"/>
      <c r="B5" s="510"/>
      <c r="C5" s="3542" t="s">
        <v>2844</v>
      </c>
      <c r="D5" s="3543"/>
      <c r="E5" s="3542" t="s">
        <v>2845</v>
      </c>
      <c r="F5" s="3543"/>
      <c r="G5" s="3542" t="s">
        <v>2846</v>
      </c>
      <c r="H5" s="3543"/>
      <c r="I5" s="3542" t="s">
        <v>2847</v>
      </c>
      <c r="J5" s="3543"/>
      <c r="K5" s="508"/>
      <c r="L5" s="2015"/>
      <c r="M5" s="2016"/>
      <c r="N5" s="2016"/>
      <c r="O5" s="2016"/>
      <c r="P5" s="3529"/>
      <c r="Q5" s="3530"/>
      <c r="R5" s="3535"/>
      <c r="S5" s="3536"/>
      <c r="T5" s="3535"/>
      <c r="U5" s="3536"/>
      <c r="V5" s="3539"/>
      <c r="W5" s="3539"/>
      <c r="X5" s="1502"/>
      <c r="Y5" s="3535"/>
      <c r="Z5" s="3536"/>
      <c r="AA5" s="3521"/>
      <c r="AB5" s="3521"/>
      <c r="AC5" s="3521"/>
    </row>
    <row r="6" spans="1:29" ht="15.75" thickBot="1">
      <c r="A6" s="511"/>
      <c r="B6" s="512"/>
      <c r="C6" s="3544" t="s">
        <v>2848</v>
      </c>
      <c r="D6" s="3545"/>
      <c r="E6" s="3565" t="s">
        <v>2848</v>
      </c>
      <c r="F6" s="3566"/>
      <c r="G6" s="3544" t="s">
        <v>2848</v>
      </c>
      <c r="H6" s="3545"/>
      <c r="I6" s="3544" t="s">
        <v>2848</v>
      </c>
      <c r="J6" s="3545"/>
      <c r="K6" s="508" t="s">
        <v>522</v>
      </c>
      <c r="L6" s="2015"/>
      <c r="M6" s="2016"/>
      <c r="N6" s="2016"/>
      <c r="O6" s="2016"/>
      <c r="P6" s="3531"/>
      <c r="Q6" s="3532"/>
      <c r="R6" s="3535"/>
      <c r="S6" s="3536"/>
      <c r="T6" s="3537"/>
      <c r="U6" s="3538"/>
      <c r="V6" s="3539"/>
      <c r="W6" s="3539"/>
      <c r="X6" s="1502"/>
      <c r="Y6" s="3537"/>
      <c r="Z6" s="3538"/>
      <c r="AA6" s="3522"/>
      <c r="AB6" s="3522"/>
      <c r="AC6" s="3522"/>
    </row>
    <row r="7" spans="1:29" s="1203" customFormat="1" ht="15.75" thickBot="1">
      <c r="A7" s="2626"/>
      <c r="B7" s="2633" t="s">
        <v>523</v>
      </c>
      <c r="C7" s="513">
        <f>'数据-取费表'!B2</f>
        <v>44097</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50" t="s">
        <v>524</v>
      </c>
      <c r="Q7" s="3552"/>
      <c r="R7" s="1503" t="s">
        <v>8</v>
      </c>
      <c r="S7" s="1504">
        <f t="shared" ref="S7:S14" si="0">F7</f>
        <v>0</v>
      </c>
      <c r="T7" s="1503" t="s">
        <v>8</v>
      </c>
      <c r="U7" s="1504">
        <f t="shared" ref="U7:U14" si="1">H7</f>
        <v>0</v>
      </c>
      <c r="V7" s="1503" t="s">
        <v>8</v>
      </c>
      <c r="W7" s="1504">
        <f t="shared" ref="W7:W14" si="2">J7</f>
        <v>0</v>
      </c>
      <c r="X7" s="1505"/>
      <c r="Y7" s="3550" t="s">
        <v>524</v>
      </c>
      <c r="Z7" s="3551"/>
      <c r="AA7" s="1506" t="e">
        <f>D7/F7</f>
        <v>#DIV/0!</v>
      </c>
      <c r="AB7" s="1506" t="e">
        <f>D7/H7</f>
        <v>#DIV/0!</v>
      </c>
      <c r="AC7" s="1506" t="e">
        <f>D7/J7</f>
        <v>#DIV/0!</v>
      </c>
    </row>
    <row r="8" spans="1:29" s="1203" customFormat="1" ht="15.75" thickBot="1">
      <c r="A8" s="2627"/>
      <c r="B8" s="2634"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50" t="s">
        <v>527</v>
      </c>
      <c r="Q8" s="3551"/>
      <c r="R8" s="1503" t="s">
        <v>8</v>
      </c>
      <c r="S8" s="1504">
        <f t="shared" si="0"/>
        <v>0</v>
      </c>
      <c r="T8" s="1503" t="s">
        <v>8</v>
      </c>
      <c r="U8" s="1504">
        <f t="shared" si="1"/>
        <v>0</v>
      </c>
      <c r="V8" s="1503" t="s">
        <v>8</v>
      </c>
      <c r="W8" s="1504">
        <f t="shared" si="2"/>
        <v>0</v>
      </c>
      <c r="X8" s="1505"/>
      <c r="Y8" s="3550" t="s">
        <v>527</v>
      </c>
      <c r="Z8" s="3551"/>
      <c r="AA8" s="1506" t="e">
        <f t="shared" ref="AA8:AA36" si="3">D8/F8</f>
        <v>#DIV/0!</v>
      </c>
      <c r="AB8" s="1506" t="e">
        <f t="shared" ref="AB8:AB36" si="4">D8/H8</f>
        <v>#DIV/0!</v>
      </c>
      <c r="AC8" s="1506" t="e">
        <f t="shared" ref="AC8:AC36" si="5">D8/J8</f>
        <v>#DIV/0!</v>
      </c>
    </row>
    <row r="9" spans="1:29" s="1203" customFormat="1" ht="15">
      <c r="A9" s="2628"/>
      <c r="B9" s="2635" t="s">
        <v>2689</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554" t="s">
        <v>529</v>
      </c>
      <c r="Q9" s="1134" t="str">
        <f t="shared" ref="Q9:Q14" si="6">B9</f>
        <v>用途</v>
      </c>
      <c r="R9" s="1503" t="s">
        <v>8</v>
      </c>
      <c r="S9" s="1504">
        <f t="shared" si="0"/>
        <v>100</v>
      </c>
      <c r="T9" s="1503" t="s">
        <v>8</v>
      </c>
      <c r="U9" s="1504">
        <f t="shared" si="1"/>
        <v>100</v>
      </c>
      <c r="V9" s="1503" t="s">
        <v>8</v>
      </c>
      <c r="W9" s="1504">
        <f t="shared" si="2"/>
        <v>100</v>
      </c>
      <c r="X9" s="1505"/>
      <c r="Y9" s="3443" t="s">
        <v>530</v>
      </c>
      <c r="Z9" s="1133" t="str">
        <f t="shared" ref="Z9:Z14" si="7">Q9</f>
        <v>用途</v>
      </c>
      <c r="AA9" s="1506">
        <f t="shared" si="3"/>
        <v>1</v>
      </c>
      <c r="AB9" s="1506">
        <f t="shared" si="4"/>
        <v>1</v>
      </c>
      <c r="AC9" s="1506">
        <f t="shared" si="5"/>
        <v>1</v>
      </c>
    </row>
    <row r="10" spans="1:29" s="1292" customFormat="1" ht="27">
      <c r="A10" s="2629"/>
      <c r="B10" s="2634" t="s">
        <v>2690</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554"/>
      <c r="Q10" s="1134" t="str">
        <f t="shared" si="6"/>
        <v>土地使用年限（年）</v>
      </c>
      <c r="R10" s="1503" t="s">
        <v>8</v>
      </c>
      <c r="S10" s="1504">
        <f t="shared" si="0"/>
        <v>100</v>
      </c>
      <c r="T10" s="1503" t="s">
        <v>8</v>
      </c>
      <c r="U10" s="1504">
        <f t="shared" si="1"/>
        <v>100</v>
      </c>
      <c r="V10" s="1503" t="s">
        <v>8</v>
      </c>
      <c r="W10" s="1504">
        <f t="shared" si="2"/>
        <v>100</v>
      </c>
      <c r="X10" s="1505"/>
      <c r="Y10" s="3443"/>
      <c r="Z10" s="1133" t="str">
        <f t="shared" si="7"/>
        <v>土地使用年限（年）</v>
      </c>
      <c r="AA10" s="1506">
        <f t="shared" si="3"/>
        <v>1</v>
      </c>
      <c r="AB10" s="1506">
        <f t="shared" si="4"/>
        <v>1</v>
      </c>
      <c r="AC10" s="1506">
        <f t="shared" si="5"/>
        <v>1</v>
      </c>
    </row>
    <row r="11" spans="1:29" ht="15">
      <c r="A11" s="2631"/>
      <c r="B11" s="2637">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554"/>
      <c r="Q11" s="1134">
        <f t="shared" si="6"/>
        <v>111</v>
      </c>
      <c r="R11" s="1503" t="s">
        <v>8</v>
      </c>
      <c r="S11" s="1504">
        <f t="shared" si="0"/>
        <v>100</v>
      </c>
      <c r="T11" s="1503" t="s">
        <v>8</v>
      </c>
      <c r="U11" s="1504">
        <f t="shared" si="1"/>
        <v>100</v>
      </c>
      <c r="V11" s="1503" t="s">
        <v>8</v>
      </c>
      <c r="W11" s="1504">
        <f t="shared" si="2"/>
        <v>100</v>
      </c>
      <c r="X11" s="1505"/>
      <c r="Y11" s="3443"/>
      <c r="Z11" s="1133">
        <f t="shared" si="7"/>
        <v>111</v>
      </c>
      <c r="AA11" s="1506">
        <f t="shared" si="3"/>
        <v>1</v>
      </c>
      <c r="AB11" s="1506">
        <f t="shared" si="4"/>
        <v>1</v>
      </c>
      <c r="AC11" s="1506">
        <f t="shared" si="5"/>
        <v>1</v>
      </c>
    </row>
    <row r="12" spans="1:29" s="1203" customFormat="1" ht="15">
      <c r="A12" s="2631"/>
      <c r="B12" s="2637">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554"/>
      <c r="Q12" s="1134">
        <f t="shared" si="6"/>
        <v>111</v>
      </c>
      <c r="R12" s="1503" t="s">
        <v>8</v>
      </c>
      <c r="S12" s="1504">
        <f t="shared" si="0"/>
        <v>100</v>
      </c>
      <c r="T12" s="1503" t="s">
        <v>8</v>
      </c>
      <c r="U12" s="1504">
        <f t="shared" si="1"/>
        <v>100</v>
      </c>
      <c r="V12" s="1503" t="s">
        <v>8</v>
      </c>
      <c r="W12" s="1504">
        <f t="shared" si="2"/>
        <v>100</v>
      </c>
      <c r="X12" s="1505"/>
      <c r="Y12" s="3443"/>
      <c r="Z12" s="1133">
        <f t="shared" si="7"/>
        <v>111</v>
      </c>
      <c r="AA12" s="1506">
        <f>D12/F12</f>
        <v>1</v>
      </c>
      <c r="AB12" s="1506">
        <f>D12/H12</f>
        <v>1</v>
      </c>
      <c r="AC12" s="1506">
        <f>D12/J12</f>
        <v>1</v>
      </c>
    </row>
    <row r="13" spans="1:29" ht="15.75" thickBot="1">
      <c r="A13" s="2632"/>
      <c r="B13" s="2638">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554"/>
      <c r="Q13" s="1134">
        <f t="shared" si="6"/>
        <v>111</v>
      </c>
      <c r="R13" s="1503" t="s">
        <v>8</v>
      </c>
      <c r="S13" s="1504">
        <f t="shared" si="0"/>
        <v>100</v>
      </c>
      <c r="T13" s="1503" t="s">
        <v>8</v>
      </c>
      <c r="U13" s="1504">
        <f t="shared" si="1"/>
        <v>100</v>
      </c>
      <c r="V13" s="1503" t="s">
        <v>8</v>
      </c>
      <c r="W13" s="1504">
        <f t="shared" si="2"/>
        <v>100</v>
      </c>
      <c r="X13" s="1505"/>
      <c r="Y13" s="3443"/>
      <c r="Z13" s="1133">
        <f t="shared" si="7"/>
        <v>111</v>
      </c>
      <c r="AA13" s="1506">
        <f t="shared" si="3"/>
        <v>1</v>
      </c>
      <c r="AB13" s="1506">
        <f t="shared" si="4"/>
        <v>1</v>
      </c>
      <c r="AC13" s="1506">
        <f t="shared" si="5"/>
        <v>1</v>
      </c>
    </row>
    <row r="14" spans="1:29" ht="156.75">
      <c r="A14" s="2624" t="s">
        <v>2687</v>
      </c>
      <c r="B14" s="541" t="s">
        <v>537</v>
      </c>
      <c r="C14" s="910" t="str">
        <f>IF(B1="工业",估价对象房地状况!G4,估价对象房地状况!C6)</f>
        <v>估价对象周边有顺2路、顺27路、顺28路、顺38路、顺43路、顺59路、顺60路等多条公交线路，距地铁15号线（南法信站）约500米，综合评价交通便捷度较好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548" t="s">
        <v>534</v>
      </c>
      <c r="Q14" s="1507" t="str">
        <f t="shared" si="6"/>
        <v>交通便捷度</v>
      </c>
      <c r="R14" s="1508" t="s">
        <v>8</v>
      </c>
      <c r="S14" s="1509">
        <f t="shared" si="0"/>
        <v>100</v>
      </c>
      <c r="T14" s="1508" t="s">
        <v>8</v>
      </c>
      <c r="U14" s="1509">
        <f t="shared" si="1"/>
        <v>100</v>
      </c>
      <c r="V14" s="1508" t="s">
        <v>8</v>
      </c>
      <c r="W14" s="1509">
        <f t="shared" si="2"/>
        <v>100</v>
      </c>
      <c r="X14" s="1502"/>
      <c r="Y14" s="3548"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4"/>
      <c r="M15" s="2016"/>
      <c r="N15" s="2016"/>
      <c r="O15" s="2023"/>
      <c r="P15" s="3549"/>
      <c r="Q15" s="1507"/>
      <c r="R15" s="1508"/>
      <c r="S15" s="1509"/>
      <c r="T15" s="1508"/>
      <c r="U15" s="1509"/>
      <c r="V15" s="1508"/>
      <c r="W15" s="1509"/>
      <c r="X15" s="1502"/>
      <c r="Y15" s="3549"/>
      <c r="Z15" s="1510"/>
      <c r="AA15" s="1511">
        <v>1</v>
      </c>
      <c r="AB15" s="1511">
        <v>1</v>
      </c>
      <c r="AC15" s="1511">
        <v>1</v>
      </c>
    </row>
    <row r="16" spans="1:29" ht="42.75">
      <c r="A16" s="509"/>
      <c r="B16" s="2444" t="s">
        <v>2480</v>
      </c>
      <c r="C16" s="861" t="str">
        <f>IF(B1="工业",估价对象房地状况!G5,估价对象房地状况!C7)</f>
        <v>估价对象所在区域公共配套设施齐备情况一般</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549"/>
      <c r="Q16" s="1507" t="str">
        <f>B16</f>
        <v>公共配套设施</v>
      </c>
      <c r="R16" s="1508" t="s">
        <v>8</v>
      </c>
      <c r="S16" s="1509">
        <f>F16</f>
        <v>100</v>
      </c>
      <c r="T16" s="1508" t="s">
        <v>8</v>
      </c>
      <c r="U16" s="1509">
        <f>H16</f>
        <v>100</v>
      </c>
      <c r="V16" s="1508" t="s">
        <v>8</v>
      </c>
      <c r="W16" s="1509">
        <f>J16</f>
        <v>100</v>
      </c>
      <c r="X16" s="1502"/>
      <c r="Y16" s="3549"/>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4"/>
      <c r="M17" s="2016"/>
      <c r="N17" s="2016"/>
      <c r="O17" s="2023"/>
      <c r="P17" s="3549"/>
      <c r="Q17" s="1507"/>
      <c r="R17" s="1508"/>
      <c r="S17" s="1509"/>
      <c r="T17" s="1508"/>
      <c r="U17" s="1509"/>
      <c r="V17" s="1508"/>
      <c r="W17" s="1509"/>
      <c r="X17" s="1502"/>
      <c r="Y17" s="3549"/>
      <c r="Z17" s="1510"/>
      <c r="AA17" s="1511">
        <v>1</v>
      </c>
      <c r="AB17" s="1511">
        <v>1</v>
      </c>
      <c r="AC17" s="1511">
        <v>1</v>
      </c>
    </row>
    <row r="18" spans="1:29" ht="28.5">
      <c r="A18" s="509"/>
      <c r="B18" s="2432" t="s">
        <v>2492</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549"/>
      <c r="Q18" s="2426" t="str">
        <f>B18</f>
        <v>基础设施水平</v>
      </c>
      <c r="R18" s="1508" t="s">
        <v>8</v>
      </c>
      <c r="S18" s="1509">
        <f>F18</f>
        <v>100</v>
      </c>
      <c r="T18" s="1508" t="s">
        <v>8</v>
      </c>
      <c r="U18" s="1509">
        <f>H18</f>
        <v>100</v>
      </c>
      <c r="V18" s="1508" t="s">
        <v>8</v>
      </c>
      <c r="W18" s="1509">
        <f>J18</f>
        <v>100</v>
      </c>
      <c r="X18" s="2428"/>
      <c r="Y18" s="3549"/>
      <c r="Z18" s="2427" t="str">
        <f>Q18</f>
        <v>基础设施水平</v>
      </c>
      <c r="AA18" s="1511">
        <f>D18/F18</f>
        <v>1</v>
      </c>
      <c r="AB18" s="1511">
        <f>D18/H18</f>
        <v>1</v>
      </c>
      <c r="AC18" s="1511">
        <f>D18/J18</f>
        <v>1</v>
      </c>
    </row>
    <row r="19" spans="1:29" ht="15">
      <c r="A19" s="509"/>
      <c r="B19" s="572"/>
      <c r="C19" s="862"/>
      <c r="D19" s="553"/>
      <c r="E19" s="570"/>
      <c r="F19" s="551"/>
      <c r="G19" s="570"/>
      <c r="H19" s="549"/>
      <c r="I19" s="570"/>
      <c r="J19" s="549"/>
      <c r="K19" s="2443"/>
      <c r="L19" s="2024"/>
      <c r="M19" s="2016"/>
      <c r="N19" s="2016"/>
      <c r="O19" s="2023"/>
      <c r="P19" s="3549"/>
      <c r="Q19" s="2426"/>
      <c r="R19" s="1508"/>
      <c r="S19" s="1509"/>
      <c r="T19" s="1508"/>
      <c r="U19" s="1509"/>
      <c r="V19" s="1508"/>
      <c r="W19" s="1509"/>
      <c r="X19" s="2428"/>
      <c r="Y19" s="3549"/>
      <c r="Z19" s="2427"/>
      <c r="AA19" s="1511">
        <v>1</v>
      </c>
      <c r="AB19" s="1511">
        <v>1</v>
      </c>
      <c r="AC19" s="1511">
        <v>1</v>
      </c>
    </row>
    <row r="20" spans="1:29" ht="85.5">
      <c r="A20" s="509"/>
      <c r="B20" s="554" t="s">
        <v>798</v>
      </c>
      <c r="C20" s="861" t="str">
        <f>IF(B1="工业",估价对象房地状况!G7,估价对象房地状况!C9)</f>
        <v>区域自然环境：小众和；人文环境：国家新闻出版广电总局研修学院；综合评价环境状况一般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549"/>
      <c r="Q20" s="1507" t="str">
        <f>B20</f>
        <v>自然及人文环境</v>
      </c>
      <c r="R20" s="1508" t="s">
        <v>8</v>
      </c>
      <c r="S20" s="1509">
        <f>F20</f>
        <v>100</v>
      </c>
      <c r="T20" s="1508" t="s">
        <v>8</v>
      </c>
      <c r="U20" s="1509">
        <f>H20</f>
        <v>100</v>
      </c>
      <c r="V20" s="1508" t="s">
        <v>8</v>
      </c>
      <c r="W20" s="1509">
        <f>J20</f>
        <v>100</v>
      </c>
      <c r="X20" s="1502"/>
      <c r="Y20" s="3549"/>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4"/>
      <c r="M21" s="2016"/>
      <c r="N21" s="2016"/>
      <c r="O21" s="2023"/>
      <c r="P21" s="3549"/>
      <c r="Q21" s="1507"/>
      <c r="R21" s="1508"/>
      <c r="S21" s="1509"/>
      <c r="T21" s="1508"/>
      <c r="U21" s="1509"/>
      <c r="V21" s="1508"/>
      <c r="W21" s="1509"/>
      <c r="X21" s="1502"/>
      <c r="Y21" s="3549"/>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49"/>
      <c r="Q22" s="1507" t="str">
        <f>B22</f>
        <v>楼层</v>
      </c>
      <c r="R22" s="1508" t="s">
        <v>8</v>
      </c>
      <c r="S22" s="1509">
        <f>F22</f>
        <v>100</v>
      </c>
      <c r="T22" s="1508" t="s">
        <v>8</v>
      </c>
      <c r="U22" s="1509">
        <f>H22</f>
        <v>100</v>
      </c>
      <c r="V22" s="1508" t="s">
        <v>8</v>
      </c>
      <c r="W22" s="1509">
        <f>J22</f>
        <v>100</v>
      </c>
      <c r="X22" s="1502"/>
      <c r="Y22" s="3549"/>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49"/>
      <c r="Q23" s="1507">
        <f>B23</f>
        <v>111</v>
      </c>
      <c r="R23" s="1508" t="s">
        <v>8</v>
      </c>
      <c r="S23" s="1509">
        <f>F23</f>
        <v>100</v>
      </c>
      <c r="T23" s="1508" t="s">
        <v>8</v>
      </c>
      <c r="U23" s="1509">
        <f>H23</f>
        <v>100</v>
      </c>
      <c r="V23" s="1508" t="s">
        <v>8</v>
      </c>
      <c r="W23" s="1509">
        <f>J23</f>
        <v>100</v>
      </c>
      <c r="X23" s="1502"/>
      <c r="Y23" s="3549"/>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49"/>
      <c r="Q24" s="1507">
        <f t="shared" ref="Q24:Q36" si="8">B24</f>
        <v>111</v>
      </c>
      <c r="R24" s="1508" t="s">
        <v>8</v>
      </c>
      <c r="S24" s="1509">
        <f>F24</f>
        <v>100</v>
      </c>
      <c r="T24" s="1508" t="s">
        <v>8</v>
      </c>
      <c r="U24" s="1509">
        <f>H24</f>
        <v>100</v>
      </c>
      <c r="V24" s="1508" t="s">
        <v>8</v>
      </c>
      <c r="W24" s="1509">
        <f>J24</f>
        <v>100</v>
      </c>
      <c r="X24" s="1502"/>
      <c r="Y24" s="3549"/>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549"/>
      <c r="Q25" s="1134">
        <f t="shared" si="8"/>
        <v>111</v>
      </c>
      <c r="R25" s="1503" t="s">
        <v>8</v>
      </c>
      <c r="S25" s="1504">
        <f>F25</f>
        <v>100</v>
      </c>
      <c r="T25" s="1503" t="s">
        <v>8</v>
      </c>
      <c r="U25" s="1504">
        <f>H25</f>
        <v>100</v>
      </c>
      <c r="V25" s="1503" t="s">
        <v>8</v>
      </c>
      <c r="W25" s="1504">
        <f>J25</f>
        <v>100</v>
      </c>
      <c r="X25" s="1505"/>
      <c r="Y25" s="3549"/>
      <c r="Z25" s="1133">
        <f>Q25</f>
        <v>111</v>
      </c>
      <c r="AA25" s="1511">
        <f>D25/F25</f>
        <v>1</v>
      </c>
      <c r="AB25" s="1511">
        <f>D25/H25</f>
        <v>1</v>
      </c>
      <c r="AC25" s="1511">
        <f>D25/J25</f>
        <v>1</v>
      </c>
    </row>
    <row r="26" spans="1:29" ht="15">
      <c r="A26" s="2621" t="s">
        <v>2688</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55" t="s">
        <v>544</v>
      </c>
      <c r="Q26" s="1507" t="str">
        <f t="shared" si="8"/>
        <v>配套类型</v>
      </c>
      <c r="R26" s="1508" t="s">
        <v>8</v>
      </c>
      <c r="S26" s="1509">
        <f t="shared" ref="S26:S36" si="9">F26</f>
        <v>100</v>
      </c>
      <c r="T26" s="1508" t="s">
        <v>8</v>
      </c>
      <c r="U26" s="1509">
        <f t="shared" ref="U26:U36" si="10">H26</f>
        <v>100</v>
      </c>
      <c r="V26" s="1508" t="s">
        <v>8</v>
      </c>
      <c r="W26" s="1509">
        <f t="shared" ref="W26:W36" si="11">J26</f>
        <v>100</v>
      </c>
      <c r="X26" s="1502"/>
      <c r="Y26" s="3553" t="s">
        <v>544</v>
      </c>
      <c r="Z26" s="1510" t="str">
        <f t="shared" ref="Z26:Z36" si="12">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553"/>
      <c r="Q27" s="1536" t="str">
        <f t="shared" si="8"/>
        <v>项目停车位配比</v>
      </c>
      <c r="R27" s="1512" t="s">
        <v>8</v>
      </c>
      <c r="S27" s="1513">
        <f t="shared" si="9"/>
        <v>100</v>
      </c>
      <c r="T27" s="1512" t="s">
        <v>8</v>
      </c>
      <c r="U27" s="1513">
        <f t="shared" si="10"/>
        <v>100</v>
      </c>
      <c r="V27" s="1512" t="s">
        <v>8</v>
      </c>
      <c r="W27" s="1513">
        <f t="shared" si="11"/>
        <v>100</v>
      </c>
      <c r="X27" s="1514"/>
      <c r="Y27" s="3553"/>
      <c r="Z27" s="1515" t="str">
        <f t="shared" si="12"/>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53"/>
      <c r="Q28" s="1507" t="str">
        <f t="shared" si="8"/>
        <v>公共部分装修</v>
      </c>
      <c r="R28" s="1508" t="s">
        <v>8</v>
      </c>
      <c r="S28" s="1509">
        <f t="shared" si="9"/>
        <v>100</v>
      </c>
      <c r="T28" s="1508" t="s">
        <v>8</v>
      </c>
      <c r="U28" s="1509">
        <f t="shared" si="10"/>
        <v>100</v>
      </c>
      <c r="V28" s="1508" t="s">
        <v>8</v>
      </c>
      <c r="W28" s="1509">
        <f t="shared" si="11"/>
        <v>100</v>
      </c>
      <c r="X28" s="1502"/>
      <c r="Y28" s="3553"/>
      <c r="Z28" s="1510" t="str">
        <f t="shared" si="12"/>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553"/>
      <c r="Q29" s="1507" t="str">
        <f t="shared" si="8"/>
        <v>成新率</v>
      </c>
      <c r="R29" s="1508" t="s">
        <v>8</v>
      </c>
      <c r="S29" s="1509" t="e">
        <f t="shared" si="9"/>
        <v>#N/A</v>
      </c>
      <c r="T29" s="1508" t="s">
        <v>8</v>
      </c>
      <c r="U29" s="1509" t="e">
        <f t="shared" si="10"/>
        <v>#N/A</v>
      </c>
      <c r="V29" s="1508" t="s">
        <v>8</v>
      </c>
      <c r="W29" s="1509" t="e">
        <f t="shared" si="11"/>
        <v>#N/A</v>
      </c>
      <c r="X29" s="1502"/>
      <c r="Y29" s="3553"/>
      <c r="Z29" s="1510" t="str">
        <f t="shared" si="12"/>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553"/>
      <c r="Q30" s="1507" t="str">
        <f t="shared" si="8"/>
        <v>物业等级</v>
      </c>
      <c r="R30" s="1508" t="s">
        <v>8</v>
      </c>
      <c r="S30" s="1509">
        <f t="shared" si="9"/>
        <v>100</v>
      </c>
      <c r="T30" s="1508" t="s">
        <v>8</v>
      </c>
      <c r="U30" s="1509">
        <f t="shared" si="10"/>
        <v>100</v>
      </c>
      <c r="V30" s="1508" t="s">
        <v>8</v>
      </c>
      <c r="W30" s="1509">
        <f t="shared" si="11"/>
        <v>100</v>
      </c>
      <c r="X30" s="1502"/>
      <c r="Y30" s="3553"/>
      <c r="Z30" s="1510" t="str">
        <f t="shared" si="12"/>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553"/>
      <c r="Q31" s="1134" t="str">
        <f t="shared" si="8"/>
        <v>停车位面积</v>
      </c>
      <c r="R31" s="1503" t="s">
        <v>8</v>
      </c>
      <c r="S31" s="1504" t="e">
        <f t="shared" si="9"/>
        <v>#N/A</v>
      </c>
      <c r="T31" s="1503" t="s">
        <v>8</v>
      </c>
      <c r="U31" s="1504" t="e">
        <f t="shared" si="10"/>
        <v>#N/A</v>
      </c>
      <c r="V31" s="1503" t="s">
        <v>8</v>
      </c>
      <c r="W31" s="1504" t="e">
        <f t="shared" si="11"/>
        <v>#N/A</v>
      </c>
      <c r="X31" s="1505"/>
      <c r="Y31" s="3553"/>
      <c r="Z31" s="1133" t="str">
        <f t="shared" si="12"/>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53" t="s">
        <v>544</v>
      </c>
      <c r="Q32" s="1507" t="str">
        <f t="shared" si="8"/>
        <v>车位类型</v>
      </c>
      <c r="R32" s="1508" t="s">
        <v>8</v>
      </c>
      <c r="S32" s="1509">
        <f t="shared" si="9"/>
        <v>100</v>
      </c>
      <c r="T32" s="1508" t="s">
        <v>8</v>
      </c>
      <c r="U32" s="1509">
        <f t="shared" si="10"/>
        <v>100</v>
      </c>
      <c r="V32" s="1508" t="s">
        <v>8</v>
      </c>
      <c r="W32" s="1509">
        <f t="shared" si="11"/>
        <v>100</v>
      </c>
      <c r="X32" s="1502"/>
      <c r="Y32" s="3553" t="s">
        <v>544</v>
      </c>
      <c r="Z32" s="1510" t="str">
        <f t="shared" si="12"/>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53"/>
      <c r="Q33" s="1507" t="str">
        <f t="shared" si="8"/>
        <v>是否直接入户</v>
      </c>
      <c r="R33" s="1508" t="s">
        <v>8</v>
      </c>
      <c r="S33" s="1509">
        <f t="shared" si="9"/>
        <v>100</v>
      </c>
      <c r="T33" s="1508" t="s">
        <v>8</v>
      </c>
      <c r="U33" s="1509">
        <f t="shared" si="10"/>
        <v>100</v>
      </c>
      <c r="V33" s="1508" t="s">
        <v>8</v>
      </c>
      <c r="W33" s="1509">
        <f t="shared" si="11"/>
        <v>100</v>
      </c>
      <c r="X33" s="1502"/>
      <c r="Y33" s="3553"/>
      <c r="Z33" s="1510" t="str">
        <f t="shared" si="12"/>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53"/>
      <c r="Q34" s="1507">
        <f t="shared" si="8"/>
        <v>111</v>
      </c>
      <c r="R34" s="1508" t="s">
        <v>8</v>
      </c>
      <c r="S34" s="1509">
        <f t="shared" si="9"/>
        <v>100</v>
      </c>
      <c r="T34" s="1508" t="s">
        <v>8</v>
      </c>
      <c r="U34" s="1509">
        <f t="shared" si="10"/>
        <v>100</v>
      </c>
      <c r="V34" s="1508" t="s">
        <v>8</v>
      </c>
      <c r="W34" s="1509">
        <f t="shared" si="11"/>
        <v>100</v>
      </c>
      <c r="X34" s="1502"/>
      <c r="Y34" s="3553"/>
      <c r="Z34" s="1510">
        <f t="shared" si="12"/>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53"/>
      <c r="Q35" s="1536">
        <f t="shared" si="8"/>
        <v>111</v>
      </c>
      <c r="R35" s="1512" t="s">
        <v>8</v>
      </c>
      <c r="S35" s="1513">
        <f t="shared" si="9"/>
        <v>100</v>
      </c>
      <c r="T35" s="1512" t="s">
        <v>8</v>
      </c>
      <c r="U35" s="1513">
        <f t="shared" si="10"/>
        <v>100</v>
      </c>
      <c r="V35" s="1512" t="s">
        <v>8</v>
      </c>
      <c r="W35" s="1513">
        <f t="shared" si="11"/>
        <v>100</v>
      </c>
      <c r="X35" s="1514"/>
      <c r="Y35" s="3553"/>
      <c r="Z35" s="1515">
        <f t="shared" si="12"/>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53"/>
      <c r="Q36" s="1507">
        <f t="shared" si="8"/>
        <v>111</v>
      </c>
      <c r="R36" s="1508" t="s">
        <v>8</v>
      </c>
      <c r="S36" s="1509">
        <f t="shared" si="9"/>
        <v>100</v>
      </c>
      <c r="T36" s="1508" t="s">
        <v>8</v>
      </c>
      <c r="U36" s="1509">
        <f t="shared" si="10"/>
        <v>100</v>
      </c>
      <c r="V36" s="1508" t="s">
        <v>8</v>
      </c>
      <c r="W36" s="1509">
        <f t="shared" si="11"/>
        <v>100</v>
      </c>
      <c r="X36" s="1502"/>
      <c r="Y36" s="3553"/>
      <c r="Z36" s="1510">
        <f t="shared" si="12"/>
        <v>111</v>
      </c>
      <c r="AA36" s="1511">
        <f t="shared" si="3"/>
        <v>1</v>
      </c>
      <c r="AB36" s="1511">
        <f t="shared" si="4"/>
        <v>1</v>
      </c>
      <c r="AC36" s="1511">
        <f t="shared" si="5"/>
        <v>1</v>
      </c>
    </row>
    <row r="37" spans="1:29" ht="15">
      <c r="A37" s="1760" t="s">
        <v>2024</v>
      </c>
      <c r="B37" s="1761" t="s">
        <v>2025</v>
      </c>
      <c r="C37" s="2467" t="s">
        <v>1</v>
      </c>
      <c r="D37" s="2468"/>
      <c r="E37" s="2469"/>
      <c r="F37" s="2470"/>
      <c r="G37" s="2471"/>
      <c r="H37" s="2472"/>
      <c r="I37" s="2469"/>
      <c r="J37" s="2472"/>
      <c r="K37" s="1541"/>
      <c r="L37" s="2026"/>
      <c r="M37" s="2027"/>
      <c r="N37" s="2016"/>
      <c r="O37" s="2027"/>
      <c r="P37" s="3554" t="str">
        <f>A37</f>
        <v>成交单价</v>
      </c>
      <c r="Q37" s="3554"/>
      <c r="R37" s="3640">
        <f>E37</f>
        <v>0</v>
      </c>
      <c r="S37" s="3640"/>
      <c r="T37" s="3640">
        <f>G37</f>
        <v>0</v>
      </c>
      <c r="U37" s="3640"/>
      <c r="V37" s="3640">
        <f>I37</f>
        <v>0</v>
      </c>
      <c r="W37" s="3640"/>
      <c r="X37" s="1497"/>
      <c r="Y37" s="1516"/>
      <c r="Z37" s="1497"/>
      <c r="AA37" s="1497"/>
      <c r="AB37" s="1497"/>
      <c r="AC37" s="1497"/>
    </row>
    <row r="38" spans="1:29" ht="15.75" thickBot="1">
      <c r="A38" s="609" t="s">
        <v>2693</v>
      </c>
      <c r="B38" s="877"/>
      <c r="C38" s="2473" t="e">
        <f>R39</f>
        <v>#DIV/0!</v>
      </c>
      <c r="D38" s="3008" t="s">
        <v>2915</v>
      </c>
      <c r="E38" s="2474" t="e">
        <f>R38</f>
        <v>#DIV/0!</v>
      </c>
      <c r="F38" s="3009"/>
      <c r="G38" s="2473" t="e">
        <f>T38</f>
        <v>#DIV/0!</v>
      </c>
      <c r="H38" s="3009"/>
      <c r="I38" s="2474" t="e">
        <f>V38</f>
        <v>#DIV/0!</v>
      </c>
      <c r="J38" s="3009"/>
      <c r="K38" s="3016">
        <f>F38+H38+J38</f>
        <v>0</v>
      </c>
      <c r="L38" s="2026"/>
      <c r="M38" s="2027"/>
      <c r="N38" s="2027"/>
      <c r="O38" s="2027"/>
      <c r="P38" s="3554" t="str">
        <f>A38</f>
        <v>比较价格（元/平方米）</v>
      </c>
      <c r="Q38" s="3554"/>
      <c r="R38" s="3640" t="e">
        <f>IF(F1="售价",ROUND(PRODUCT(R37,AA7:AA36),0),ROUND(PRODUCT(R37,AA7:AA36),1))</f>
        <v>#DIV/0!</v>
      </c>
      <c r="S38" s="3640"/>
      <c r="T38" s="3640" t="e">
        <f>IF(F1="售价",ROUND(PRODUCT(T37,AB7:AB36),0),ROUND(PRODUCT(T37,AB7:AB36),1))</f>
        <v>#DIV/0!</v>
      </c>
      <c r="U38" s="3640"/>
      <c r="V38" s="3640" t="e">
        <f>IF(F1="售价",ROUND(PRODUCT(V37,AC7:AC36),0),ROUND(PRODUCT(V37,AC7:AC36),1))</f>
        <v>#DIV/0!</v>
      </c>
      <c r="W38" s="3640"/>
      <c r="X38" s="1497"/>
      <c r="Y38" s="1497"/>
      <c r="Z38" s="1497"/>
      <c r="AA38" s="1497"/>
      <c r="AB38" s="1497"/>
      <c r="AC38" s="1497"/>
    </row>
    <row r="39" spans="1:29" ht="15.75" thickBot="1">
      <c r="A39" s="613" t="s">
        <v>2850</v>
      </c>
      <c r="B39" s="614"/>
      <c r="C39" s="2475" t="e">
        <f>R39</f>
        <v>#DIV/0!</v>
      </c>
      <c r="D39" s="2475"/>
      <c r="E39" s="2475"/>
      <c r="F39" s="2475"/>
      <c r="G39" s="2475"/>
      <c r="H39" s="2475"/>
      <c r="I39" s="2475"/>
      <c r="J39" s="2475"/>
      <c r="K39" s="1542"/>
      <c r="L39" s="2026"/>
      <c r="M39" s="2027"/>
      <c r="N39" s="2027"/>
      <c r="O39" s="2027"/>
      <c r="P39" s="3557" t="str">
        <f>A39</f>
        <v>估价对象XX用房的比较价格（楼面单价，元/平方米）</v>
      </c>
      <c r="Q39" s="3558"/>
      <c r="R39" s="3641" t="e">
        <f>IF(F1="售价",ROUND(IF(D38="简单平均",AVERAGE(R38:W38),R38*F38+T38*H38+V38*J38),0),ROUND(IF(D38="简单平均",AVERAGE(R38:V38),R38*F38+T38*H38+V38*J38),1))</f>
        <v>#DIV/0!</v>
      </c>
      <c r="S39" s="3641"/>
      <c r="T39" s="3641"/>
      <c r="U39" s="3641"/>
      <c r="V39" s="3641"/>
      <c r="W39" s="3641"/>
      <c r="X39" s="1497"/>
      <c r="Y39" s="1497"/>
      <c r="Z39" s="1497"/>
      <c r="AA39" s="1497"/>
      <c r="AB39" s="1497"/>
      <c r="AC39" s="1497"/>
    </row>
    <row r="40" spans="1:29">
      <c r="A40" s="3204"/>
      <c r="B40" s="3204"/>
      <c r="C40" s="3204"/>
      <c r="D40" s="3204"/>
      <c r="E40" s="3204"/>
      <c r="F40" s="3204"/>
      <c r="G40" s="3206"/>
      <c r="H40" s="3204"/>
      <c r="I40" s="3204"/>
      <c r="J40" s="3204"/>
      <c r="K40" s="3207"/>
      <c r="L40" s="2031"/>
      <c r="M40" s="2027"/>
      <c r="N40" s="2027"/>
      <c r="O40" s="2027"/>
      <c r="P40" s="2027"/>
      <c r="Q40" s="2027"/>
      <c r="R40" s="2027"/>
      <c r="S40" s="2027"/>
      <c r="T40" s="2027"/>
      <c r="U40" s="2027"/>
      <c r="V40" s="2027"/>
      <c r="W40" s="2027"/>
      <c r="X40" s="2027"/>
      <c r="Y40" s="2027"/>
      <c r="Z40" s="2027"/>
      <c r="AA40" s="2027"/>
      <c r="AB40" s="2027"/>
      <c r="AC40" s="2027"/>
    </row>
    <row r="41" spans="1:29">
      <c r="A41" s="3204"/>
      <c r="B41" s="3204"/>
      <c r="C41" s="3204"/>
      <c r="D41" s="3204"/>
      <c r="E41" s="3204"/>
      <c r="F41" s="3204"/>
      <c r="G41" s="3204"/>
      <c r="H41" s="3204"/>
      <c r="I41" s="3204"/>
      <c r="J41" s="3204"/>
      <c r="K41" s="320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04"/>
      <c r="B42" s="320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0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04"/>
      <c r="B43" s="320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07"/>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05"/>
      <c r="B44" s="320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08"/>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9" t="s">
        <v>568</v>
      </c>
      <c r="B47" s="1497"/>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6" t="str">
        <f>YEAR(C7)&amp;"-"&amp;MONTH(C7)</f>
        <v>2020-9</v>
      </c>
      <c r="D48" s="2518">
        <f>EDATE(C48,-1)</f>
        <v>44044</v>
      </c>
      <c r="E48" s="2518">
        <f t="shared" ref="E48:O48" si="13">EDATE(D48,-1)</f>
        <v>44013</v>
      </c>
      <c r="F48" s="2518">
        <f t="shared" si="13"/>
        <v>43983</v>
      </c>
      <c r="G48" s="2518">
        <f t="shared" si="13"/>
        <v>43952</v>
      </c>
      <c r="H48" s="2518">
        <f t="shared" si="13"/>
        <v>43922</v>
      </c>
      <c r="I48" s="2518">
        <f t="shared" si="13"/>
        <v>43891</v>
      </c>
      <c r="J48" s="2518">
        <f t="shared" si="13"/>
        <v>43862</v>
      </c>
      <c r="K48" s="2518">
        <f t="shared" si="13"/>
        <v>43831</v>
      </c>
      <c r="L48" s="2518">
        <f t="shared" si="13"/>
        <v>43800</v>
      </c>
      <c r="M48" s="2518">
        <f t="shared" si="13"/>
        <v>43770</v>
      </c>
      <c r="N48" s="2518">
        <f t="shared" si="13"/>
        <v>43739</v>
      </c>
      <c r="O48" s="2518">
        <f t="shared" si="13"/>
        <v>43709</v>
      </c>
      <c r="P48" s="2041"/>
      <c r="Q48" s="2042"/>
      <c r="R48" s="2042"/>
      <c r="S48" s="2042"/>
      <c r="T48" s="2042"/>
      <c r="U48" s="2042"/>
      <c r="V48" s="2042"/>
      <c r="W48" s="2042"/>
      <c r="X48" s="2042"/>
      <c r="Y48" s="2042"/>
      <c r="Z48" s="2042"/>
      <c r="AA48" s="2042"/>
      <c r="AB48" s="2042"/>
      <c r="AC48" s="2042"/>
    </row>
    <row r="49" spans="1:29" s="1203" customFormat="1" ht="15">
      <c r="A49" s="639"/>
      <c r="B49" s="640"/>
      <c r="C49" s="2517">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2491</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38" t="s">
        <v>2492</v>
      </c>
      <c r="C67" s="2439" t="s">
        <v>2493</v>
      </c>
      <c r="D67" s="2439" t="s">
        <v>2494</v>
      </c>
      <c r="E67" s="2439" t="s">
        <v>2495</v>
      </c>
      <c r="F67" s="2439" t="s">
        <v>2496</v>
      </c>
      <c r="G67" s="2439" t="s">
        <v>2497</v>
      </c>
      <c r="H67" s="666"/>
      <c r="I67" s="666"/>
      <c r="J67" s="666"/>
      <c r="K67" s="666"/>
      <c r="L67" s="666"/>
      <c r="M67" s="2442"/>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4">C80-$K26</f>
        <v>100</v>
      </c>
      <c r="E80" s="671">
        <f t="shared" si="14"/>
        <v>100</v>
      </c>
      <c r="F80" s="671">
        <f t="shared" si="14"/>
        <v>100</v>
      </c>
      <c r="G80" s="671">
        <f t="shared" si="14"/>
        <v>100</v>
      </c>
      <c r="H80" s="671">
        <f t="shared" si="14"/>
        <v>100</v>
      </c>
      <c r="I80" s="671">
        <f t="shared" si="14"/>
        <v>100</v>
      </c>
      <c r="J80" s="671">
        <f t="shared" si="14"/>
        <v>100</v>
      </c>
      <c r="K80" s="671">
        <f t="shared" si="14"/>
        <v>100</v>
      </c>
      <c r="L80" s="671">
        <f t="shared" si="14"/>
        <v>100</v>
      </c>
      <c r="M80" s="672">
        <f t="shared" si="14"/>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5">C84-$K28</f>
        <v>100</v>
      </c>
      <c r="E84" s="671">
        <f t="shared" si="15"/>
        <v>100</v>
      </c>
      <c r="F84" s="671">
        <f t="shared" si="15"/>
        <v>100</v>
      </c>
      <c r="G84" s="671">
        <f t="shared" si="15"/>
        <v>100</v>
      </c>
      <c r="H84" s="671">
        <f t="shared" si="15"/>
        <v>100</v>
      </c>
      <c r="I84" s="671">
        <f t="shared" si="15"/>
        <v>100</v>
      </c>
      <c r="J84" s="671">
        <f t="shared" si="15"/>
        <v>100</v>
      </c>
      <c r="K84" s="671">
        <f t="shared" si="15"/>
        <v>100</v>
      </c>
      <c r="L84" s="671">
        <f t="shared" si="15"/>
        <v>100</v>
      </c>
      <c r="M84" s="672">
        <f t="shared" si="15"/>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6">D87+$K$29</f>
        <v>100</v>
      </c>
      <c r="F87" s="671">
        <f t="shared" si="16"/>
        <v>100</v>
      </c>
      <c r="G87" s="671">
        <f t="shared" si="16"/>
        <v>100</v>
      </c>
      <c r="H87" s="671">
        <f t="shared" si="16"/>
        <v>100</v>
      </c>
      <c r="I87" s="671">
        <f t="shared" si="16"/>
        <v>100</v>
      </c>
      <c r="J87" s="671">
        <f t="shared" si="16"/>
        <v>100</v>
      </c>
      <c r="K87" s="671">
        <f t="shared" si="16"/>
        <v>100</v>
      </c>
      <c r="L87" s="671">
        <f t="shared" si="16"/>
        <v>100</v>
      </c>
      <c r="M87" s="671">
        <f t="shared" si="16"/>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17">C89+$K30</f>
        <v>100</v>
      </c>
      <c r="E89" s="671">
        <f t="shared" si="17"/>
        <v>100</v>
      </c>
      <c r="F89" s="671">
        <f t="shared" si="17"/>
        <v>100</v>
      </c>
      <c r="G89" s="671">
        <f t="shared" si="17"/>
        <v>100</v>
      </c>
      <c r="H89" s="671">
        <f t="shared" si="17"/>
        <v>100</v>
      </c>
      <c r="I89" s="671">
        <f t="shared" si="17"/>
        <v>100</v>
      </c>
      <c r="J89" s="671">
        <f t="shared" si="17"/>
        <v>100</v>
      </c>
      <c r="K89" s="671">
        <f t="shared" si="17"/>
        <v>100</v>
      </c>
      <c r="L89" s="671">
        <f t="shared" si="17"/>
        <v>100</v>
      </c>
      <c r="M89" s="671">
        <f t="shared" si="17"/>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18">D91&amp;"(含)"&amp;"-"&amp;E91</f>
        <v>(含)-</v>
      </c>
      <c r="E90" s="700" t="str">
        <f t="shared" si="18"/>
        <v>(含)-</v>
      </c>
      <c r="F90" s="700" t="str">
        <f t="shared" si="18"/>
        <v>(含)-</v>
      </c>
      <c r="G90" s="700" t="str">
        <f t="shared" si="18"/>
        <v>(含)-</v>
      </c>
      <c r="H90" s="700" t="str">
        <f t="shared" si="18"/>
        <v>(含)-</v>
      </c>
      <c r="I90" s="700" t="str">
        <f t="shared" si="18"/>
        <v>(含)-</v>
      </c>
      <c r="J90" s="700" t="str">
        <f t="shared" si="18"/>
        <v>(含)-</v>
      </c>
      <c r="K90" s="700" t="str">
        <f t="shared" si="18"/>
        <v>(含)-</v>
      </c>
      <c r="L90" s="700" t="str">
        <f t="shared" si="18"/>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19">C94-$K32</f>
        <v>100</v>
      </c>
      <c r="E94" s="671">
        <f t="shared" si="19"/>
        <v>100</v>
      </c>
      <c r="F94" s="671">
        <f t="shared" si="19"/>
        <v>100</v>
      </c>
      <c r="G94" s="671">
        <f t="shared" si="19"/>
        <v>100</v>
      </c>
      <c r="H94" s="671">
        <f t="shared" si="19"/>
        <v>100</v>
      </c>
      <c r="I94" s="671">
        <f t="shared" si="19"/>
        <v>100</v>
      </c>
      <c r="J94" s="671">
        <f t="shared" si="19"/>
        <v>100</v>
      </c>
      <c r="K94" s="671">
        <f t="shared" si="19"/>
        <v>100</v>
      </c>
      <c r="L94" s="671">
        <f t="shared" si="19"/>
        <v>100</v>
      </c>
      <c r="M94" s="672">
        <f t="shared" si="19"/>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9:P13"/>
    <mergeCell ref="Y9:Y13"/>
    <mergeCell ref="Y7:Z7"/>
    <mergeCell ref="R4:S6"/>
    <mergeCell ref="AC4:AC6"/>
    <mergeCell ref="T4:U6"/>
    <mergeCell ref="V4:W6"/>
    <mergeCell ref="AB4:AB6"/>
    <mergeCell ref="AA4:AA6"/>
    <mergeCell ref="P8:Q8"/>
    <mergeCell ref="Y8:Z8"/>
    <mergeCell ref="Y4:Z6"/>
    <mergeCell ref="P7:Q7"/>
    <mergeCell ref="C4:D4"/>
    <mergeCell ref="E4:F4"/>
    <mergeCell ref="G4:H4"/>
    <mergeCell ref="I4:J4"/>
    <mergeCell ref="P4:Q6"/>
    <mergeCell ref="E5:F5"/>
    <mergeCell ref="C5:D5"/>
    <mergeCell ref="C6:D6"/>
    <mergeCell ref="I5:J5"/>
    <mergeCell ref="E6:F6"/>
    <mergeCell ref="G6:H6"/>
    <mergeCell ref="I6:J6"/>
    <mergeCell ref="G5:H5"/>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5"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36" sqref="C7:Q36"/>
    </sheetView>
  </sheetViews>
  <sheetFormatPr defaultColWidth="9" defaultRowHeight="14.25"/>
  <cols>
    <col min="1" max="1" width="10.5" style="1291" customWidth="1"/>
    <col min="2" max="2" width="15.625" style="1291" customWidth="1"/>
    <col min="3" max="3" width="14.375" style="1291" customWidth="1"/>
    <col min="4" max="4" width="12.125" style="1291" customWidth="1"/>
    <col min="5" max="5" width="14.375" style="1291" customWidth="1"/>
    <col min="6" max="6" width="12.125" style="1291" customWidth="1"/>
    <col min="7" max="7" width="14.5" style="1291" customWidth="1"/>
    <col min="8" max="8" width="12.125" style="1291" customWidth="1"/>
    <col min="9" max="9" width="14.5" style="1291" customWidth="1"/>
    <col min="10" max="10" width="12.125" style="1291" customWidth="1"/>
    <col min="11" max="11" width="12.125" style="1296" customWidth="1"/>
    <col min="12" max="12" width="12.125" style="1297" customWidth="1"/>
    <col min="13" max="15" width="12.125" style="1291" customWidth="1"/>
    <col min="16" max="16" width="4.625" style="1291" customWidth="1"/>
    <col min="17" max="17" width="19.5" style="1291" customWidth="1"/>
    <col min="18" max="22" width="6.125" style="1291" customWidth="1"/>
    <col min="23" max="23" width="5.625" style="1291" customWidth="1"/>
    <col min="24" max="24" width="4.125" style="1291" customWidth="1"/>
    <col min="25" max="25" width="3.5" style="1291" customWidth="1"/>
    <col min="26" max="26" width="19.625" style="1291" customWidth="1"/>
    <col min="27" max="28" width="9.375" style="1291" customWidth="1"/>
    <col min="29" max="16384" width="9" style="1291"/>
  </cols>
  <sheetData>
    <row r="1" spans="1:29" s="1290" customFormat="1" ht="28.5" customHeight="1">
      <c r="A1" s="496" t="s">
        <v>712</v>
      </c>
      <c r="B1" s="912"/>
      <c r="C1" s="498" t="s">
        <v>786</v>
      </c>
      <c r="D1" s="838"/>
      <c r="E1" s="500"/>
      <c r="F1" s="2521"/>
      <c r="G1" s="1532" t="s">
        <v>787</v>
      </c>
      <c r="H1" s="500"/>
      <c r="I1" s="500"/>
      <c r="J1" s="500"/>
      <c r="K1" s="501"/>
      <c r="L1" s="3200"/>
      <c r="M1" s="3201"/>
      <c r="N1" s="3201"/>
      <c r="O1" s="3201"/>
      <c r="P1" s="2014"/>
      <c r="Q1" s="2014"/>
      <c r="R1" s="2014"/>
      <c r="S1" s="2014"/>
      <c r="T1" s="2014"/>
      <c r="U1" s="2014"/>
      <c r="V1" s="2014"/>
      <c r="W1" s="2014"/>
      <c r="X1" s="2014"/>
      <c r="Y1" s="2014"/>
      <c r="Z1" s="2014"/>
      <c r="AA1" s="2014"/>
      <c r="AB1" s="2014"/>
      <c r="AC1" s="3202"/>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02"/>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03"/>
      <c r="AC3" s="1944"/>
    </row>
    <row r="4" spans="1:29" ht="15">
      <c r="A4" s="506" t="s">
        <v>791</v>
      </c>
      <c r="B4" s="507"/>
      <c r="C4" s="3523" t="s">
        <v>792</v>
      </c>
      <c r="D4" s="3524"/>
      <c r="E4" s="3525" t="s">
        <v>793</v>
      </c>
      <c r="F4" s="3526"/>
      <c r="G4" s="3523" t="s">
        <v>794</v>
      </c>
      <c r="H4" s="3524"/>
      <c r="I4" s="3523" t="s">
        <v>795</v>
      </c>
      <c r="J4" s="3524"/>
      <c r="K4" s="508" t="s">
        <v>796</v>
      </c>
      <c r="L4" s="2015"/>
      <c r="M4" s="2016"/>
      <c r="N4" s="2016"/>
      <c r="O4" s="2016"/>
      <c r="P4" s="3527" t="s">
        <v>797</v>
      </c>
      <c r="Q4" s="3528"/>
      <c r="R4" s="3533" t="s">
        <v>793</v>
      </c>
      <c r="S4" s="3534"/>
      <c r="T4" s="3533" t="s">
        <v>794</v>
      </c>
      <c r="U4" s="3534"/>
      <c r="V4" s="3539" t="s">
        <v>795</v>
      </c>
      <c r="W4" s="3539"/>
      <c r="X4" s="1502"/>
      <c r="Y4" s="3533" t="s">
        <v>797</v>
      </c>
      <c r="Z4" s="3534"/>
      <c r="AA4" s="3520" t="s">
        <v>793</v>
      </c>
      <c r="AB4" s="3521" t="s">
        <v>794</v>
      </c>
      <c r="AC4" s="3520" t="s">
        <v>795</v>
      </c>
    </row>
    <row r="5" spans="1:29" ht="15">
      <c r="A5" s="509"/>
      <c r="B5" s="510"/>
      <c r="C5" s="3542" t="s">
        <v>2844</v>
      </c>
      <c r="D5" s="3543"/>
      <c r="E5" s="3540" t="s">
        <v>2845</v>
      </c>
      <c r="F5" s="3541"/>
      <c r="G5" s="3542" t="s">
        <v>2846</v>
      </c>
      <c r="H5" s="3543"/>
      <c r="I5" s="3542" t="s">
        <v>2847</v>
      </c>
      <c r="J5" s="3543"/>
      <c r="K5" s="508"/>
      <c r="L5" s="2015"/>
      <c r="M5" s="2016"/>
      <c r="N5" s="2016"/>
      <c r="O5" s="2016"/>
      <c r="P5" s="3529"/>
      <c r="Q5" s="3530"/>
      <c r="R5" s="3535"/>
      <c r="S5" s="3536"/>
      <c r="T5" s="3535"/>
      <c r="U5" s="3536"/>
      <c r="V5" s="3539"/>
      <c r="W5" s="3539"/>
      <c r="X5" s="1502"/>
      <c r="Y5" s="3535"/>
      <c r="Z5" s="3536"/>
      <c r="AA5" s="3521"/>
      <c r="AB5" s="3521"/>
      <c r="AC5" s="3521"/>
    </row>
    <row r="6" spans="1:29" ht="15.75" thickBot="1">
      <c r="A6" s="511"/>
      <c r="B6" s="512"/>
      <c r="C6" s="3544" t="s">
        <v>2848</v>
      </c>
      <c r="D6" s="3545"/>
      <c r="E6" s="3546" t="s">
        <v>2848</v>
      </c>
      <c r="F6" s="3547"/>
      <c r="G6" s="3544" t="s">
        <v>2848</v>
      </c>
      <c r="H6" s="3545"/>
      <c r="I6" s="3544" t="s">
        <v>2848</v>
      </c>
      <c r="J6" s="3545"/>
      <c r="K6" s="508" t="s">
        <v>522</v>
      </c>
      <c r="L6" s="2015"/>
      <c r="M6" s="2016"/>
      <c r="N6" s="2016"/>
      <c r="O6" s="2016"/>
      <c r="P6" s="3531"/>
      <c r="Q6" s="3532"/>
      <c r="R6" s="3535"/>
      <c r="S6" s="3536"/>
      <c r="T6" s="3537"/>
      <c r="U6" s="3538"/>
      <c r="V6" s="3539"/>
      <c r="W6" s="3539"/>
      <c r="X6" s="1502"/>
      <c r="Y6" s="3537"/>
      <c r="Z6" s="3538"/>
      <c r="AA6" s="3522"/>
      <c r="AB6" s="3522"/>
      <c r="AC6" s="3522"/>
    </row>
    <row r="7" spans="1:29" s="1203" customFormat="1" ht="15.75" thickBot="1">
      <c r="A7" s="2626"/>
      <c r="B7" s="2633" t="s">
        <v>523</v>
      </c>
      <c r="C7" s="513">
        <f>'数据-取费表'!B2</f>
        <v>44097</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50" t="s">
        <v>524</v>
      </c>
      <c r="Q7" s="3552"/>
      <c r="R7" s="1503" t="s">
        <v>8</v>
      </c>
      <c r="S7" s="1504">
        <f t="shared" ref="S7:S14" si="0">F7</f>
        <v>0</v>
      </c>
      <c r="T7" s="1503" t="s">
        <v>8</v>
      </c>
      <c r="U7" s="1504">
        <f t="shared" ref="U7:U14" si="1">H7</f>
        <v>0</v>
      </c>
      <c r="V7" s="1503" t="s">
        <v>8</v>
      </c>
      <c r="W7" s="1504">
        <f t="shared" ref="W7:W14" si="2">J7</f>
        <v>0</v>
      </c>
      <c r="X7" s="1505"/>
      <c r="Y7" s="3550" t="s">
        <v>524</v>
      </c>
      <c r="Z7" s="3551"/>
      <c r="AA7" s="1506" t="e">
        <f>D7/F7</f>
        <v>#DIV/0!</v>
      </c>
      <c r="AB7" s="1506" t="e">
        <f>D7/H7</f>
        <v>#DIV/0!</v>
      </c>
      <c r="AC7" s="1506" t="e">
        <f>D7/J7</f>
        <v>#DIV/0!</v>
      </c>
    </row>
    <row r="8" spans="1:29" s="1203" customFormat="1" ht="15.75" thickBot="1">
      <c r="A8" s="2627"/>
      <c r="B8" s="2634"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50" t="s">
        <v>527</v>
      </c>
      <c r="Q8" s="3551"/>
      <c r="R8" s="1503" t="s">
        <v>8</v>
      </c>
      <c r="S8" s="1504">
        <f t="shared" si="0"/>
        <v>0</v>
      </c>
      <c r="T8" s="1503" t="s">
        <v>8</v>
      </c>
      <c r="U8" s="1504">
        <f t="shared" si="1"/>
        <v>0</v>
      </c>
      <c r="V8" s="1503" t="s">
        <v>8</v>
      </c>
      <c r="W8" s="1504">
        <f t="shared" si="2"/>
        <v>0</v>
      </c>
      <c r="X8" s="1505"/>
      <c r="Y8" s="3550" t="s">
        <v>527</v>
      </c>
      <c r="Z8" s="3551"/>
      <c r="AA8" s="1506" t="e">
        <f t="shared" ref="AA8:AA34" si="3">D8/F8</f>
        <v>#DIV/0!</v>
      </c>
      <c r="AB8" s="1506" t="e">
        <f t="shared" ref="AB8:AB34" si="4">D8/H8</f>
        <v>#DIV/0!</v>
      </c>
      <c r="AC8" s="1506" t="e">
        <f t="shared" ref="AC8:AC34" si="5">D8/J8</f>
        <v>#DIV/0!</v>
      </c>
    </row>
    <row r="9" spans="1:29" s="1203" customFormat="1" ht="15">
      <c r="A9" s="2628"/>
      <c r="B9" s="2635" t="s">
        <v>2689</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554" t="s">
        <v>529</v>
      </c>
      <c r="Q9" s="1134" t="str">
        <f t="shared" ref="Q9:Q14" si="6">B9</f>
        <v>用途</v>
      </c>
      <c r="R9" s="1503" t="s">
        <v>8</v>
      </c>
      <c r="S9" s="1504">
        <f t="shared" si="0"/>
        <v>100</v>
      </c>
      <c r="T9" s="1503" t="s">
        <v>8</v>
      </c>
      <c r="U9" s="1504">
        <f t="shared" si="1"/>
        <v>100</v>
      </c>
      <c r="V9" s="1503" t="s">
        <v>8</v>
      </c>
      <c r="W9" s="1504">
        <f t="shared" si="2"/>
        <v>100</v>
      </c>
      <c r="X9" s="1505"/>
      <c r="Y9" s="3443" t="s">
        <v>530</v>
      </c>
      <c r="Z9" s="1133" t="str">
        <f t="shared" ref="Z9:Z14" si="7">Q9</f>
        <v>用途</v>
      </c>
      <c r="AA9" s="1506">
        <f t="shared" si="3"/>
        <v>1</v>
      </c>
      <c r="AB9" s="1506">
        <f t="shared" si="4"/>
        <v>1</v>
      </c>
      <c r="AC9" s="1506">
        <f t="shared" si="5"/>
        <v>1</v>
      </c>
    </row>
    <row r="10" spans="1:29" s="1292" customFormat="1" ht="27">
      <c r="A10" s="2629"/>
      <c r="B10" s="2634" t="s">
        <v>2690</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554"/>
      <c r="Q10" s="1134" t="str">
        <f t="shared" si="6"/>
        <v>土地使用年限（年）</v>
      </c>
      <c r="R10" s="1503" t="s">
        <v>8</v>
      </c>
      <c r="S10" s="1504">
        <f t="shared" si="0"/>
        <v>100</v>
      </c>
      <c r="T10" s="1503" t="s">
        <v>8</v>
      </c>
      <c r="U10" s="1504">
        <f t="shared" si="1"/>
        <v>100</v>
      </c>
      <c r="V10" s="1503" t="s">
        <v>8</v>
      </c>
      <c r="W10" s="1504">
        <f t="shared" si="2"/>
        <v>100</v>
      </c>
      <c r="X10" s="1505"/>
      <c r="Y10" s="3443"/>
      <c r="Z10" s="1133" t="str">
        <f t="shared" si="7"/>
        <v>土地使用年限（年）</v>
      </c>
      <c r="AA10" s="1506">
        <f t="shared" si="3"/>
        <v>1</v>
      </c>
      <c r="AB10" s="1506">
        <f t="shared" si="4"/>
        <v>1</v>
      </c>
      <c r="AC10" s="1506">
        <f t="shared" si="5"/>
        <v>1</v>
      </c>
    </row>
    <row r="11" spans="1:29" ht="15">
      <c r="A11" s="2631"/>
      <c r="B11" s="2637">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554"/>
      <c r="Q11" s="1134">
        <f t="shared" si="6"/>
        <v>111</v>
      </c>
      <c r="R11" s="1503" t="s">
        <v>8</v>
      </c>
      <c r="S11" s="1504">
        <f t="shared" si="0"/>
        <v>100</v>
      </c>
      <c r="T11" s="1503" t="s">
        <v>8</v>
      </c>
      <c r="U11" s="1504">
        <f t="shared" si="1"/>
        <v>100</v>
      </c>
      <c r="V11" s="1503" t="s">
        <v>8</v>
      </c>
      <c r="W11" s="1504">
        <f t="shared" si="2"/>
        <v>100</v>
      </c>
      <c r="X11" s="1505"/>
      <c r="Y11" s="3443"/>
      <c r="Z11" s="1133">
        <f t="shared" si="7"/>
        <v>111</v>
      </c>
      <c r="AA11" s="1506">
        <f t="shared" si="3"/>
        <v>1</v>
      </c>
      <c r="AB11" s="1506">
        <f t="shared" si="4"/>
        <v>1</v>
      </c>
      <c r="AC11" s="1506">
        <f t="shared" si="5"/>
        <v>1</v>
      </c>
    </row>
    <row r="12" spans="1:29" s="1203" customFormat="1" ht="15">
      <c r="A12" s="2631"/>
      <c r="B12" s="2637">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554"/>
      <c r="Q12" s="1134">
        <f t="shared" si="6"/>
        <v>111</v>
      </c>
      <c r="R12" s="1503" t="s">
        <v>8</v>
      </c>
      <c r="S12" s="1504">
        <f t="shared" si="0"/>
        <v>100</v>
      </c>
      <c r="T12" s="1503" t="s">
        <v>8</v>
      </c>
      <c r="U12" s="1504">
        <f t="shared" si="1"/>
        <v>100</v>
      </c>
      <c r="V12" s="1503" t="s">
        <v>8</v>
      </c>
      <c r="W12" s="1504">
        <f t="shared" si="2"/>
        <v>100</v>
      </c>
      <c r="X12" s="1505"/>
      <c r="Y12" s="3443"/>
      <c r="Z12" s="1133">
        <f t="shared" si="7"/>
        <v>111</v>
      </c>
      <c r="AA12" s="1506">
        <f>D12/F12</f>
        <v>1</v>
      </c>
      <c r="AB12" s="1506">
        <f>D12/H12</f>
        <v>1</v>
      </c>
      <c r="AC12" s="1506">
        <f>D12/J12</f>
        <v>1</v>
      </c>
    </row>
    <row r="13" spans="1:29" ht="15.75" thickBot="1">
      <c r="A13" s="2632"/>
      <c r="B13" s="2638">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554"/>
      <c r="Q13" s="1134">
        <f t="shared" si="6"/>
        <v>111</v>
      </c>
      <c r="R13" s="1503" t="s">
        <v>8</v>
      </c>
      <c r="S13" s="1504">
        <f t="shared" si="0"/>
        <v>100</v>
      </c>
      <c r="T13" s="1503" t="s">
        <v>8</v>
      </c>
      <c r="U13" s="1504">
        <f t="shared" si="1"/>
        <v>100</v>
      </c>
      <c r="V13" s="1503" t="s">
        <v>8</v>
      </c>
      <c r="W13" s="1504">
        <f t="shared" si="2"/>
        <v>100</v>
      </c>
      <c r="X13" s="1505"/>
      <c r="Y13" s="3443"/>
      <c r="Z13" s="1133">
        <f t="shared" si="7"/>
        <v>111</v>
      </c>
      <c r="AA13" s="1506">
        <f t="shared" si="3"/>
        <v>1</v>
      </c>
      <c r="AB13" s="1506">
        <f t="shared" si="4"/>
        <v>1</v>
      </c>
      <c r="AC13" s="1506">
        <f t="shared" si="5"/>
        <v>1</v>
      </c>
    </row>
    <row r="14" spans="1:29" ht="156.75">
      <c r="A14" s="2624" t="s">
        <v>2687</v>
      </c>
      <c r="B14" s="164" t="s">
        <v>537</v>
      </c>
      <c r="C14" s="910" t="str">
        <f>IF(B1="工业",估价对象房地状况!G4,估价对象房地状况!C6)</f>
        <v>估价对象周边有顺2路、顺27路、顺28路、顺38路、顺43路、顺59路、顺60路等多条公交线路，距地铁15号线（南法信站）约500米，综合评价交通便捷度较好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548" t="s">
        <v>534</v>
      </c>
      <c r="Q14" s="1507" t="str">
        <f t="shared" si="6"/>
        <v>交通便捷度</v>
      </c>
      <c r="R14" s="1508" t="s">
        <v>8</v>
      </c>
      <c r="S14" s="1509">
        <f t="shared" si="0"/>
        <v>100</v>
      </c>
      <c r="T14" s="1508" t="s">
        <v>8</v>
      </c>
      <c r="U14" s="1509">
        <f t="shared" si="1"/>
        <v>100</v>
      </c>
      <c r="V14" s="1508" t="s">
        <v>8</v>
      </c>
      <c r="W14" s="1509">
        <f t="shared" si="2"/>
        <v>100</v>
      </c>
      <c r="X14" s="1502"/>
      <c r="Y14" s="3548"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4"/>
      <c r="M15" s="2016"/>
      <c r="N15" s="2016"/>
      <c r="O15" s="2023"/>
      <c r="P15" s="3549"/>
      <c r="Q15" s="1507"/>
      <c r="R15" s="1508"/>
      <c r="S15" s="1509"/>
      <c r="T15" s="1508"/>
      <c r="U15" s="1509"/>
      <c r="V15" s="1508"/>
      <c r="W15" s="1509"/>
      <c r="X15" s="1502"/>
      <c r="Y15" s="3549"/>
      <c r="Z15" s="1510"/>
      <c r="AA15" s="1511">
        <v>1</v>
      </c>
      <c r="AB15" s="1511">
        <v>1</v>
      </c>
      <c r="AC15" s="1511">
        <v>1</v>
      </c>
    </row>
    <row r="16" spans="1:29" ht="42.75">
      <c r="A16" s="526"/>
      <c r="B16" s="2444" t="s">
        <v>2480</v>
      </c>
      <c r="C16" s="861" t="str">
        <f>IF(B1="工业",估价对象房地状况!G5,估价对象房地状况!C7)</f>
        <v>估价对象所在区域公共配套设施齐备情况一般</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549"/>
      <c r="Q16" s="1507" t="str">
        <f>B16</f>
        <v>公共配套设施</v>
      </c>
      <c r="R16" s="1508" t="s">
        <v>8</v>
      </c>
      <c r="S16" s="1509">
        <f>F16</f>
        <v>100</v>
      </c>
      <c r="T16" s="1508" t="s">
        <v>8</v>
      </c>
      <c r="U16" s="1509">
        <f>H16</f>
        <v>100</v>
      </c>
      <c r="V16" s="1508" t="s">
        <v>8</v>
      </c>
      <c r="W16" s="1509">
        <f>J16</f>
        <v>100</v>
      </c>
      <c r="X16" s="1502"/>
      <c r="Y16" s="3549"/>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4"/>
      <c r="M17" s="2016"/>
      <c r="N17" s="2016"/>
      <c r="O17" s="2023"/>
      <c r="P17" s="3549"/>
      <c r="Q17" s="1507"/>
      <c r="R17" s="1508"/>
      <c r="S17" s="1509"/>
      <c r="T17" s="1508"/>
      <c r="U17" s="1509"/>
      <c r="V17" s="1508"/>
      <c r="W17" s="1509"/>
      <c r="X17" s="1502"/>
      <c r="Y17" s="3549"/>
      <c r="Z17" s="1510"/>
      <c r="AA17" s="1511">
        <v>1</v>
      </c>
      <c r="AB17" s="1511">
        <v>1</v>
      </c>
      <c r="AC17" s="1511">
        <v>1</v>
      </c>
    </row>
    <row r="18" spans="1:29" ht="28.5">
      <c r="A18" s="526"/>
      <c r="B18" s="2432" t="s">
        <v>2492</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549"/>
      <c r="Q18" s="2426" t="str">
        <f>B18</f>
        <v>基础设施水平</v>
      </c>
      <c r="R18" s="1508" t="s">
        <v>8</v>
      </c>
      <c r="S18" s="1509">
        <f>F18</f>
        <v>100</v>
      </c>
      <c r="T18" s="1508" t="s">
        <v>8</v>
      </c>
      <c r="U18" s="1509">
        <f>H18</f>
        <v>100</v>
      </c>
      <c r="V18" s="1508" t="s">
        <v>8</v>
      </c>
      <c r="W18" s="1509">
        <f>J18</f>
        <v>100</v>
      </c>
      <c r="X18" s="2428"/>
      <c r="Y18" s="3549"/>
      <c r="Z18" s="2427" t="str">
        <f>Q18</f>
        <v>基础设施水平</v>
      </c>
      <c r="AA18" s="1511">
        <f>D18/F18</f>
        <v>1</v>
      </c>
      <c r="AB18" s="1511">
        <f>D18/H18</f>
        <v>1</v>
      </c>
      <c r="AC18" s="1511">
        <f>D18/J18</f>
        <v>1</v>
      </c>
    </row>
    <row r="19" spans="1:29" ht="15">
      <c r="A19" s="526"/>
      <c r="B19" s="572"/>
      <c r="C19" s="862"/>
      <c r="D19" s="553"/>
      <c r="E19" s="862"/>
      <c r="F19" s="557"/>
      <c r="G19" s="862"/>
      <c r="H19" s="549"/>
      <c r="I19" s="570"/>
      <c r="J19" s="549"/>
      <c r="K19" s="2443"/>
      <c r="L19" s="2024"/>
      <c r="M19" s="2016"/>
      <c r="N19" s="2016"/>
      <c r="O19" s="2023"/>
      <c r="P19" s="3549"/>
      <c r="Q19" s="2426"/>
      <c r="R19" s="1508"/>
      <c r="S19" s="1509"/>
      <c r="T19" s="1508"/>
      <c r="U19" s="1509"/>
      <c r="V19" s="1508"/>
      <c r="W19" s="1509"/>
      <c r="X19" s="2428"/>
      <c r="Y19" s="3549"/>
      <c r="Z19" s="2427"/>
      <c r="AA19" s="1511">
        <v>1</v>
      </c>
      <c r="AB19" s="1511">
        <v>1</v>
      </c>
      <c r="AC19" s="1511">
        <v>1</v>
      </c>
    </row>
    <row r="20" spans="1:29" ht="85.5">
      <c r="A20" s="526"/>
      <c r="B20" s="860" t="s">
        <v>798</v>
      </c>
      <c r="C20" s="861" t="str">
        <f>IF(B1="工业",估价对象房地状况!G7,估价对象房地状况!C9)</f>
        <v>区域自然环境：小众和；人文环境：国家新闻出版广电总局研修学院；综合评价环境状况一般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549"/>
      <c r="Q20" s="1507" t="str">
        <f>B20</f>
        <v>自然及人文环境</v>
      </c>
      <c r="R20" s="1508" t="s">
        <v>8</v>
      </c>
      <c r="S20" s="1509">
        <f>F20</f>
        <v>100</v>
      </c>
      <c r="T20" s="1508" t="s">
        <v>8</v>
      </c>
      <c r="U20" s="1509">
        <f>H20</f>
        <v>100</v>
      </c>
      <c r="V20" s="1508" t="s">
        <v>8</v>
      </c>
      <c r="W20" s="1509">
        <f>J20</f>
        <v>100</v>
      </c>
      <c r="X20" s="1502"/>
      <c r="Y20" s="3549"/>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4"/>
      <c r="M21" s="2016"/>
      <c r="N21" s="2016"/>
      <c r="O21" s="2023"/>
      <c r="P21" s="3549"/>
      <c r="Q21" s="1507"/>
      <c r="R21" s="1508"/>
      <c r="S21" s="1509"/>
      <c r="T21" s="1508"/>
      <c r="U21" s="1509"/>
      <c r="V21" s="1508"/>
      <c r="W21" s="1509"/>
      <c r="X21" s="1502"/>
      <c r="Y21" s="3549"/>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49"/>
      <c r="Q22" s="1507" t="str">
        <f>B22</f>
        <v>楼层</v>
      </c>
      <c r="R22" s="1508" t="s">
        <v>8</v>
      </c>
      <c r="S22" s="1509">
        <f>F22</f>
        <v>100</v>
      </c>
      <c r="T22" s="1508" t="s">
        <v>8</v>
      </c>
      <c r="U22" s="1509">
        <f>H22</f>
        <v>100</v>
      </c>
      <c r="V22" s="1508" t="s">
        <v>8</v>
      </c>
      <c r="W22" s="1509">
        <f>J22</f>
        <v>100</v>
      </c>
      <c r="X22" s="1502"/>
      <c r="Y22" s="3549"/>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49"/>
      <c r="Q23" s="1507">
        <f>B23</f>
        <v>111</v>
      </c>
      <c r="R23" s="1508" t="s">
        <v>8</v>
      </c>
      <c r="S23" s="1509">
        <f>F23</f>
        <v>100</v>
      </c>
      <c r="T23" s="1508" t="s">
        <v>8</v>
      </c>
      <c r="U23" s="1509">
        <f>H23</f>
        <v>100</v>
      </c>
      <c r="V23" s="1508" t="s">
        <v>8</v>
      </c>
      <c r="W23" s="1509">
        <f>J23</f>
        <v>100</v>
      </c>
      <c r="X23" s="1502"/>
      <c r="Y23" s="3549"/>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49"/>
      <c r="Q24" s="1507">
        <f t="shared" ref="Q24:Q34" si="8">B24</f>
        <v>111</v>
      </c>
      <c r="R24" s="1508" t="s">
        <v>8</v>
      </c>
      <c r="S24" s="1509">
        <f>F24</f>
        <v>100</v>
      </c>
      <c r="T24" s="1508" t="s">
        <v>8</v>
      </c>
      <c r="U24" s="1509">
        <f>H24</f>
        <v>100</v>
      </c>
      <c r="V24" s="1508" t="s">
        <v>8</v>
      </c>
      <c r="W24" s="1509">
        <f>J24</f>
        <v>100</v>
      </c>
      <c r="X24" s="1502"/>
      <c r="Y24" s="3549"/>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549"/>
      <c r="Q25" s="1134">
        <f t="shared" si="8"/>
        <v>111</v>
      </c>
      <c r="R25" s="1503" t="s">
        <v>8</v>
      </c>
      <c r="S25" s="1504">
        <f>F25</f>
        <v>100</v>
      </c>
      <c r="T25" s="1503" t="s">
        <v>8</v>
      </c>
      <c r="U25" s="1504">
        <f>H25</f>
        <v>100</v>
      </c>
      <c r="V25" s="1503" t="s">
        <v>8</v>
      </c>
      <c r="W25" s="1504">
        <f>J25</f>
        <v>100</v>
      </c>
      <c r="X25" s="1505"/>
      <c r="Y25" s="3549"/>
      <c r="Z25" s="1133">
        <f>Q25</f>
        <v>111</v>
      </c>
      <c r="AA25" s="1511">
        <f>D25/F25</f>
        <v>1</v>
      </c>
      <c r="AB25" s="1511">
        <f>D25/H25</f>
        <v>1</v>
      </c>
      <c r="AC25" s="1511">
        <f>D25/J25</f>
        <v>1</v>
      </c>
    </row>
    <row r="26" spans="1:29" ht="15">
      <c r="A26" s="2621" t="s">
        <v>2688</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555" t="s">
        <v>815</v>
      </c>
      <c r="Q26" s="1507" t="str">
        <f t="shared" si="8"/>
        <v>公共部分装修</v>
      </c>
      <c r="R26" s="1508" t="s">
        <v>8</v>
      </c>
      <c r="S26" s="1509">
        <f t="shared" ref="S26:S34" si="9">F26</f>
        <v>100</v>
      </c>
      <c r="T26" s="1508" t="s">
        <v>8</v>
      </c>
      <c r="U26" s="1509">
        <f t="shared" ref="U26:U34" si="10">H26</f>
        <v>100</v>
      </c>
      <c r="V26" s="1508" t="s">
        <v>8</v>
      </c>
      <c r="W26" s="1509">
        <f t="shared" ref="W26:W34" si="11">J26</f>
        <v>100</v>
      </c>
      <c r="X26" s="1502"/>
      <c r="Y26" s="3553" t="s">
        <v>815</v>
      </c>
      <c r="Z26" s="1510" t="str">
        <f t="shared" ref="Z26:Z34" si="12">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553"/>
      <c r="Q27" s="1536" t="str">
        <f t="shared" si="8"/>
        <v>成新率</v>
      </c>
      <c r="R27" s="1512" t="s">
        <v>8</v>
      </c>
      <c r="S27" s="1513" t="e">
        <f t="shared" si="9"/>
        <v>#N/A</v>
      </c>
      <c r="T27" s="1512" t="s">
        <v>8</v>
      </c>
      <c r="U27" s="1513" t="e">
        <f t="shared" si="10"/>
        <v>#N/A</v>
      </c>
      <c r="V27" s="1512" t="s">
        <v>8</v>
      </c>
      <c r="W27" s="1513" t="e">
        <f t="shared" si="11"/>
        <v>#N/A</v>
      </c>
      <c r="X27" s="1514"/>
      <c r="Y27" s="3553"/>
      <c r="Z27" s="1515" t="str">
        <f t="shared" si="12"/>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53"/>
      <c r="Q28" s="1507" t="str">
        <f t="shared" si="8"/>
        <v>物业等级</v>
      </c>
      <c r="R28" s="1508" t="s">
        <v>8</v>
      </c>
      <c r="S28" s="1509">
        <f t="shared" si="9"/>
        <v>100</v>
      </c>
      <c r="T28" s="1508" t="s">
        <v>8</v>
      </c>
      <c r="U28" s="1509">
        <f t="shared" si="10"/>
        <v>100</v>
      </c>
      <c r="V28" s="1508" t="s">
        <v>8</v>
      </c>
      <c r="W28" s="1509">
        <f t="shared" si="11"/>
        <v>100</v>
      </c>
      <c r="X28" s="1502"/>
      <c r="Y28" s="3553"/>
      <c r="Z28" s="1510" t="str">
        <f t="shared" si="12"/>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553"/>
      <c r="Q29" s="1507" t="str">
        <f t="shared" si="8"/>
        <v>有无电梯</v>
      </c>
      <c r="R29" s="1508" t="s">
        <v>8</v>
      </c>
      <c r="S29" s="1509">
        <f t="shared" si="9"/>
        <v>100</v>
      </c>
      <c r="T29" s="1508" t="s">
        <v>8</v>
      </c>
      <c r="U29" s="1509">
        <f t="shared" si="10"/>
        <v>100</v>
      </c>
      <c r="V29" s="1508" t="s">
        <v>8</v>
      </c>
      <c r="W29" s="1509">
        <f t="shared" si="11"/>
        <v>100</v>
      </c>
      <c r="X29" s="1502"/>
      <c r="Y29" s="3553"/>
      <c r="Z29" s="1510" t="str">
        <f t="shared" si="12"/>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553"/>
      <c r="Q30" s="1507" t="str">
        <f t="shared" si="8"/>
        <v>建筑面积</v>
      </c>
      <c r="R30" s="1508" t="s">
        <v>8</v>
      </c>
      <c r="S30" s="1509" t="e">
        <f t="shared" si="9"/>
        <v>#N/A</v>
      </c>
      <c r="T30" s="1508" t="s">
        <v>8</v>
      </c>
      <c r="U30" s="1509" t="e">
        <f t="shared" si="10"/>
        <v>#N/A</v>
      </c>
      <c r="V30" s="1508" t="s">
        <v>8</v>
      </c>
      <c r="W30" s="1509" t="e">
        <f t="shared" si="11"/>
        <v>#N/A</v>
      </c>
      <c r="X30" s="1502"/>
      <c r="Y30" s="3553"/>
      <c r="Z30" s="1510" t="str">
        <f t="shared" si="12"/>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553"/>
      <c r="Q31" s="1134" t="str">
        <f t="shared" si="8"/>
        <v>是否封闭</v>
      </c>
      <c r="R31" s="1503" t="s">
        <v>8</v>
      </c>
      <c r="S31" s="1504">
        <f t="shared" si="9"/>
        <v>100</v>
      </c>
      <c r="T31" s="1503" t="s">
        <v>8</v>
      </c>
      <c r="U31" s="1504">
        <f t="shared" si="10"/>
        <v>100</v>
      </c>
      <c r="V31" s="1503" t="s">
        <v>8</v>
      </c>
      <c r="W31" s="1504">
        <f t="shared" si="11"/>
        <v>100</v>
      </c>
      <c r="X31" s="1505"/>
      <c r="Y31" s="3553"/>
      <c r="Z31" s="1133" t="str">
        <f t="shared" si="12"/>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553" t="s">
        <v>544</v>
      </c>
      <c r="Q32" s="1507">
        <f t="shared" si="8"/>
        <v>111</v>
      </c>
      <c r="R32" s="1508" t="s">
        <v>8</v>
      </c>
      <c r="S32" s="1509">
        <f t="shared" si="9"/>
        <v>100</v>
      </c>
      <c r="T32" s="1508" t="s">
        <v>8</v>
      </c>
      <c r="U32" s="1509">
        <f t="shared" si="10"/>
        <v>100</v>
      </c>
      <c r="V32" s="1508" t="s">
        <v>8</v>
      </c>
      <c r="W32" s="1509">
        <f t="shared" si="11"/>
        <v>100</v>
      </c>
      <c r="X32" s="1502"/>
      <c r="Y32" s="3553" t="s">
        <v>544</v>
      </c>
      <c r="Z32" s="1510">
        <f t="shared" si="12"/>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553"/>
      <c r="Q33" s="1507">
        <f t="shared" si="8"/>
        <v>111</v>
      </c>
      <c r="R33" s="1508" t="s">
        <v>8</v>
      </c>
      <c r="S33" s="1509">
        <f t="shared" si="9"/>
        <v>100</v>
      </c>
      <c r="T33" s="1508" t="s">
        <v>8</v>
      </c>
      <c r="U33" s="1509">
        <f t="shared" si="10"/>
        <v>100</v>
      </c>
      <c r="V33" s="1508" t="s">
        <v>8</v>
      </c>
      <c r="W33" s="1509">
        <f t="shared" si="11"/>
        <v>100</v>
      </c>
      <c r="X33" s="1502"/>
      <c r="Y33" s="3553"/>
      <c r="Z33" s="1510">
        <f t="shared" si="12"/>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553"/>
      <c r="Q34" s="1507">
        <f t="shared" si="8"/>
        <v>111</v>
      </c>
      <c r="R34" s="1508" t="s">
        <v>8</v>
      </c>
      <c r="S34" s="1509">
        <f t="shared" si="9"/>
        <v>100</v>
      </c>
      <c r="T34" s="1508" t="s">
        <v>8</v>
      </c>
      <c r="U34" s="1509">
        <f t="shared" si="10"/>
        <v>100</v>
      </c>
      <c r="V34" s="1508" t="s">
        <v>8</v>
      </c>
      <c r="W34" s="1509">
        <f t="shared" si="11"/>
        <v>100</v>
      </c>
      <c r="X34" s="1502"/>
      <c r="Y34" s="3553"/>
      <c r="Z34" s="1510">
        <f t="shared" si="12"/>
        <v>111</v>
      </c>
      <c r="AA34" s="1511">
        <f t="shared" si="3"/>
        <v>1</v>
      </c>
      <c r="AB34" s="1511">
        <f t="shared" si="4"/>
        <v>1</v>
      </c>
      <c r="AC34" s="1511">
        <f t="shared" si="5"/>
        <v>1</v>
      </c>
    </row>
    <row r="35" spans="1:29" ht="15">
      <c r="A35" s="601" t="s">
        <v>730</v>
      </c>
      <c r="B35" s="876"/>
      <c r="C35" s="2467" t="s">
        <v>1</v>
      </c>
      <c r="D35" s="2468"/>
      <c r="E35" s="2469"/>
      <c r="F35" s="2470"/>
      <c r="G35" s="2471"/>
      <c r="H35" s="2472"/>
      <c r="I35" s="2469"/>
      <c r="J35" s="2472"/>
      <c r="K35" s="1541"/>
      <c r="L35" s="2026"/>
      <c r="M35" s="2027"/>
      <c r="N35" s="2016"/>
      <c r="O35" s="2027"/>
      <c r="P35" s="3554" t="str">
        <f>A35</f>
        <v>成交单价（元/平方米）</v>
      </c>
      <c r="Q35" s="3554"/>
      <c r="R35" s="3640">
        <f>E35</f>
        <v>0</v>
      </c>
      <c r="S35" s="3640"/>
      <c r="T35" s="3640">
        <f>G35</f>
        <v>0</v>
      </c>
      <c r="U35" s="3640"/>
      <c r="V35" s="3640">
        <f>I35</f>
        <v>0</v>
      </c>
      <c r="W35" s="3640"/>
      <c r="X35" s="1497"/>
      <c r="Y35" s="1516"/>
      <c r="Z35" s="1497"/>
      <c r="AA35" s="1497"/>
      <c r="AB35" s="1497"/>
      <c r="AC35" s="1497"/>
    </row>
    <row r="36" spans="1:29" ht="15.75" thickBot="1">
      <c r="A36" s="609" t="s">
        <v>2693</v>
      </c>
      <c r="B36" s="877"/>
      <c r="C36" s="2473" t="e">
        <f>R37</f>
        <v>#DIV/0!</v>
      </c>
      <c r="D36" s="3008" t="s">
        <v>2916</v>
      </c>
      <c r="E36" s="2474" t="e">
        <f>R36</f>
        <v>#DIV/0!</v>
      </c>
      <c r="F36" s="3009"/>
      <c r="G36" s="2473" t="e">
        <f>T36</f>
        <v>#DIV/0!</v>
      </c>
      <c r="H36" s="3009"/>
      <c r="I36" s="2474" t="e">
        <f>V36</f>
        <v>#DIV/0!</v>
      </c>
      <c r="J36" s="3009"/>
      <c r="K36" s="3016">
        <f>F36+H36+J36</f>
        <v>0</v>
      </c>
      <c r="L36" s="2026"/>
      <c r="M36" s="2027"/>
      <c r="N36" s="2016"/>
      <c r="O36" s="2027"/>
      <c r="P36" s="3554" t="str">
        <f>A36</f>
        <v>比较价格（元/平方米）</v>
      </c>
      <c r="Q36" s="3554"/>
      <c r="R36" s="3640" t="e">
        <f>IF(F1="售价",ROUND(PRODUCT(R35,AA7:AA34),0),ROUND(PRODUCT(R35,AA7:AA34),1))</f>
        <v>#DIV/0!</v>
      </c>
      <c r="S36" s="3640"/>
      <c r="T36" s="3640" t="e">
        <f>IF(F1="售价",ROUND(PRODUCT(T35,AB7:AB34),0),ROUND(PRODUCT(T35,AB7:AB34),1))</f>
        <v>#DIV/0!</v>
      </c>
      <c r="U36" s="3640"/>
      <c r="V36" s="3640" t="e">
        <f>IF(F1="售价",ROUND(PRODUCT(V35,AC7:AC34),0),ROUND(PRODUCT(V35,AC7:AC34),1))</f>
        <v>#DIV/0!</v>
      </c>
      <c r="W36" s="3640"/>
      <c r="X36" s="1497"/>
      <c r="Y36" s="1497"/>
      <c r="Z36" s="1497"/>
      <c r="AA36" s="1497"/>
      <c r="AB36" s="1497"/>
      <c r="AC36" s="1497"/>
    </row>
    <row r="37" spans="1:29" ht="15.75" thickBot="1">
      <c r="A37" s="613" t="s">
        <v>2850</v>
      </c>
      <c r="B37" s="614"/>
      <c r="C37" s="2475" t="e">
        <f>R37</f>
        <v>#DIV/0!</v>
      </c>
      <c r="D37" s="2475"/>
      <c r="E37" s="2475"/>
      <c r="F37" s="2475"/>
      <c r="G37" s="2475"/>
      <c r="H37" s="2475"/>
      <c r="I37" s="2475"/>
      <c r="J37" s="2475"/>
      <c r="K37" s="1542"/>
      <c r="L37" s="2026"/>
      <c r="M37" s="2027"/>
      <c r="N37" s="2027"/>
      <c r="O37" s="2027"/>
      <c r="P37" s="3557" t="str">
        <f>A37</f>
        <v>估价对象XX用房的比较价格（楼面单价，元/平方米）</v>
      </c>
      <c r="Q37" s="3558"/>
      <c r="R37" s="3641" t="e">
        <f>IF(F1="售价",ROUND(IF(D36="简单平均",AVERAGE(R36:W36),R36*F36+T36*H36+V36*J36),0),ROUND(IF(D36="简单平均",AVERAGE(R36:V36),R36*F36+T36*H36+V36*J36),1))</f>
        <v>#DIV/0!</v>
      </c>
      <c r="S37" s="3641"/>
      <c r="T37" s="3641"/>
      <c r="U37" s="3641"/>
      <c r="V37" s="3641"/>
      <c r="W37" s="3641"/>
      <c r="X37" s="1497"/>
      <c r="Y37" s="1497"/>
      <c r="Z37" s="1497"/>
      <c r="AA37" s="1497"/>
      <c r="AB37" s="1497"/>
      <c r="AC37" s="1497"/>
    </row>
    <row r="38" spans="1:29">
      <c r="A38" s="3204"/>
      <c r="B38" s="3204"/>
      <c r="C38" s="3204"/>
      <c r="D38" s="3204"/>
      <c r="E38" s="3204"/>
      <c r="F38" s="3204"/>
      <c r="G38" s="3206"/>
      <c r="H38" s="3204"/>
      <c r="I38" s="3204"/>
      <c r="J38" s="3204"/>
      <c r="K38" s="3207"/>
      <c r="L38" s="2031"/>
      <c r="M38" s="2027"/>
      <c r="N38" s="2027"/>
      <c r="O38" s="2027"/>
      <c r="P38" s="2027"/>
      <c r="Q38" s="2027"/>
      <c r="R38" s="2027"/>
      <c r="S38" s="2027"/>
      <c r="T38" s="2027"/>
      <c r="U38" s="2027"/>
      <c r="V38" s="2027"/>
      <c r="W38" s="2027"/>
      <c r="X38" s="2027"/>
      <c r="Y38" s="2027"/>
      <c r="Z38" s="2027"/>
      <c r="AA38" s="2027"/>
      <c r="AB38" s="2027"/>
      <c r="AC38" s="2027"/>
    </row>
    <row r="39" spans="1:29">
      <c r="A39" s="3204"/>
      <c r="B39" s="3204"/>
      <c r="C39" s="3204"/>
      <c r="D39" s="3204"/>
      <c r="E39" s="3204"/>
      <c r="F39" s="3204"/>
      <c r="G39" s="3204"/>
      <c r="H39" s="3204"/>
      <c r="I39" s="3204"/>
      <c r="J39" s="3204"/>
      <c r="K39" s="320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04"/>
      <c r="B40" s="320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0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04"/>
      <c r="B41" s="320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07"/>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05"/>
      <c r="B42" s="320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08"/>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9" t="s">
        <v>568</v>
      </c>
      <c r="B45" s="1497"/>
      <c r="C45" s="1518"/>
      <c r="D45" s="1518"/>
      <c r="E45" s="1518"/>
      <c r="F45" s="1520"/>
      <c r="G45" s="1520"/>
      <c r="H45" s="1518"/>
      <c r="I45" s="1518"/>
      <c r="J45" s="1518"/>
      <c r="K45" s="1521"/>
      <c r="L45" s="1517"/>
      <c r="M45" s="1518"/>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6" t="str">
        <f>YEAR(C7)&amp;"-"&amp;MONTH(C7)</f>
        <v>2020-9</v>
      </c>
      <c r="D46" s="2518">
        <f>EDATE(C46,-1)</f>
        <v>44044</v>
      </c>
      <c r="E46" s="2518">
        <f t="shared" ref="E46:O46" si="13">EDATE(D46,-1)</f>
        <v>44013</v>
      </c>
      <c r="F46" s="2518">
        <f t="shared" si="13"/>
        <v>43983</v>
      </c>
      <c r="G46" s="2518">
        <f t="shared" si="13"/>
        <v>43952</v>
      </c>
      <c r="H46" s="2518">
        <f t="shared" si="13"/>
        <v>43922</v>
      </c>
      <c r="I46" s="2518">
        <f t="shared" si="13"/>
        <v>43891</v>
      </c>
      <c r="J46" s="2518">
        <f t="shared" si="13"/>
        <v>43862</v>
      </c>
      <c r="K46" s="2518">
        <f t="shared" si="13"/>
        <v>43831</v>
      </c>
      <c r="L46" s="2518">
        <f t="shared" si="13"/>
        <v>43800</v>
      </c>
      <c r="M46" s="2518">
        <f t="shared" si="13"/>
        <v>43770</v>
      </c>
      <c r="N46" s="2518">
        <f t="shared" si="13"/>
        <v>43739</v>
      </c>
      <c r="O46" s="2518">
        <f t="shared" si="13"/>
        <v>43709</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2491</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38" t="s">
        <v>2492</v>
      </c>
      <c r="C65" s="2439" t="s">
        <v>2493</v>
      </c>
      <c r="D65" s="2439" t="s">
        <v>2494</v>
      </c>
      <c r="E65" s="2439" t="s">
        <v>2495</v>
      </c>
      <c r="F65" s="2439" t="s">
        <v>2496</v>
      </c>
      <c r="G65" s="2439" t="s">
        <v>2497</v>
      </c>
      <c r="H65" s="666"/>
      <c r="I65" s="666"/>
      <c r="J65" s="666"/>
      <c r="K65" s="666"/>
      <c r="L65" s="666"/>
      <c r="M65" s="2442"/>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4">C78-$K26</f>
        <v>100</v>
      </c>
      <c r="E78" s="671">
        <f t="shared" si="14"/>
        <v>100</v>
      </c>
      <c r="F78" s="671">
        <f t="shared" si="14"/>
        <v>100</v>
      </c>
      <c r="G78" s="671">
        <f t="shared" si="14"/>
        <v>100</v>
      </c>
      <c r="H78" s="671">
        <f t="shared" si="14"/>
        <v>100</v>
      </c>
      <c r="I78" s="671">
        <f t="shared" si="14"/>
        <v>100</v>
      </c>
      <c r="J78" s="671">
        <f t="shared" si="14"/>
        <v>100</v>
      </c>
      <c r="K78" s="671">
        <f t="shared" si="14"/>
        <v>100</v>
      </c>
      <c r="L78" s="671">
        <f t="shared" si="14"/>
        <v>100</v>
      </c>
      <c r="M78" s="672">
        <f t="shared" si="14"/>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5">C81+$K27</f>
        <v>100</v>
      </c>
      <c r="E81" s="671">
        <f t="shared" si="15"/>
        <v>100</v>
      </c>
      <c r="F81" s="671">
        <f t="shared" si="15"/>
        <v>100</v>
      </c>
      <c r="G81" s="671">
        <f t="shared" si="15"/>
        <v>100</v>
      </c>
      <c r="H81" s="671">
        <f t="shared" si="15"/>
        <v>100</v>
      </c>
      <c r="I81" s="671">
        <f t="shared" si="15"/>
        <v>100</v>
      </c>
      <c r="J81" s="671">
        <f t="shared" si="15"/>
        <v>100</v>
      </c>
      <c r="K81" s="671">
        <f t="shared" si="15"/>
        <v>100</v>
      </c>
      <c r="L81" s="671">
        <f t="shared" si="15"/>
        <v>100</v>
      </c>
      <c r="M81" s="671">
        <f t="shared" si="15"/>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6">C83-$K28</f>
        <v>100</v>
      </c>
      <c r="E83" s="671">
        <f t="shared" si="16"/>
        <v>100</v>
      </c>
      <c r="F83" s="671">
        <f t="shared" si="16"/>
        <v>100</v>
      </c>
      <c r="G83" s="671">
        <f t="shared" si="16"/>
        <v>100</v>
      </c>
      <c r="H83" s="671">
        <f t="shared" si="16"/>
        <v>100</v>
      </c>
      <c r="I83" s="671">
        <f t="shared" si="16"/>
        <v>100</v>
      </c>
      <c r="J83" s="671">
        <f t="shared" si="16"/>
        <v>100</v>
      </c>
      <c r="K83" s="671">
        <f t="shared" si="16"/>
        <v>100</v>
      </c>
      <c r="L83" s="671">
        <f t="shared" si="16"/>
        <v>100</v>
      </c>
      <c r="M83" s="672">
        <f t="shared" si="16"/>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17">C85+$K29</f>
        <v>100</v>
      </c>
      <c r="E85" s="671">
        <f t="shared" si="17"/>
        <v>100</v>
      </c>
      <c r="F85" s="671">
        <f t="shared" si="17"/>
        <v>100</v>
      </c>
      <c r="G85" s="671">
        <f t="shared" si="17"/>
        <v>100</v>
      </c>
      <c r="H85" s="671">
        <f t="shared" si="17"/>
        <v>100</v>
      </c>
      <c r="I85" s="671">
        <f t="shared" si="17"/>
        <v>100</v>
      </c>
      <c r="J85" s="671">
        <f t="shared" si="17"/>
        <v>100</v>
      </c>
      <c r="K85" s="671">
        <f t="shared" si="17"/>
        <v>100</v>
      </c>
      <c r="L85" s="671">
        <f t="shared" si="17"/>
        <v>100</v>
      </c>
      <c r="M85" s="671">
        <f t="shared" si="17"/>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18">C87&amp;"(含)"&amp;"-"&amp;D87</f>
        <v>(含)-</v>
      </c>
      <c r="D86" s="700" t="str">
        <f t="shared" si="18"/>
        <v>(含)-</v>
      </c>
      <c r="E86" s="700" t="str">
        <f t="shared" si="18"/>
        <v>(含)-</v>
      </c>
      <c r="F86" s="700" t="str">
        <f t="shared" si="18"/>
        <v>(含)-</v>
      </c>
      <c r="G86" s="700" t="str">
        <f t="shared" si="18"/>
        <v>(含)-</v>
      </c>
      <c r="H86" s="700" t="str">
        <f t="shared" si="18"/>
        <v>(含)-</v>
      </c>
      <c r="I86" s="700" t="str">
        <f t="shared" si="18"/>
        <v>(含)-</v>
      </c>
      <c r="J86" s="700" t="str">
        <f t="shared" si="18"/>
        <v>(含)-</v>
      </c>
      <c r="K86" s="700" t="str">
        <f t="shared" si="18"/>
        <v>(含)-</v>
      </c>
      <c r="L86" s="700" t="str">
        <f t="shared" si="18"/>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9:P13"/>
    <mergeCell ref="Y9:Y13"/>
    <mergeCell ref="Y7:Z7"/>
    <mergeCell ref="R4:S6"/>
    <mergeCell ref="AC4:AC6"/>
    <mergeCell ref="T4:U6"/>
    <mergeCell ref="V4:W6"/>
    <mergeCell ref="AB4:AB6"/>
    <mergeCell ref="AA4:AA6"/>
    <mergeCell ref="P8:Q8"/>
    <mergeCell ref="Y8:Z8"/>
    <mergeCell ref="Y4:Z6"/>
    <mergeCell ref="P7:Q7"/>
    <mergeCell ref="C4:D4"/>
    <mergeCell ref="E4:F4"/>
    <mergeCell ref="G4:H4"/>
    <mergeCell ref="I4:J4"/>
    <mergeCell ref="P4:Q6"/>
    <mergeCell ref="E5:F5"/>
    <mergeCell ref="C5:D5"/>
    <mergeCell ref="C6:D6"/>
    <mergeCell ref="I5:J5"/>
    <mergeCell ref="E6:F6"/>
    <mergeCell ref="G6:H6"/>
    <mergeCell ref="I6:J6"/>
    <mergeCell ref="G5:H5"/>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5"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activeCell="F36" sqref="F7:F36"/>
      <selection pane="bottomLeft" activeCell="F36" sqref="C7:Q36"/>
    </sheetView>
  </sheetViews>
  <sheetFormatPr defaultColWidth="9" defaultRowHeight="12.75"/>
  <cols>
    <col min="1" max="1" width="11.5" style="1204" customWidth="1"/>
    <col min="2" max="2" width="9.1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4" t="s">
        <v>2245</v>
      </c>
      <c r="C1" s="3650" t="s">
        <v>2246</v>
      </c>
      <c r="D1" s="3651"/>
      <c r="E1" s="3651"/>
      <c r="F1" s="3651"/>
      <c r="G1" s="3651"/>
      <c r="H1" s="3651"/>
      <c r="I1" s="3651"/>
      <c r="J1" s="3651"/>
      <c r="K1" s="3651"/>
      <c r="L1" s="3651"/>
      <c r="M1" s="3651"/>
      <c r="N1" s="3651"/>
      <c r="O1" s="3651"/>
      <c r="P1" s="3651"/>
      <c r="Q1" s="3651"/>
      <c r="R1" s="3651"/>
      <c r="S1" s="3652"/>
      <c r="T1" s="2114" t="s">
        <v>2247</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54" t="s">
        <v>2248</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R2" si="1">M3&amp;"(含)"&amp;"-"&amp;N3</f>
        <v>(含)-</v>
      </c>
      <c r="N2" s="939" t="str">
        <f t="shared" si="1"/>
        <v>(含)-</v>
      </c>
      <c r="O2" s="939" t="str">
        <f t="shared" si="1"/>
        <v>(含)-</v>
      </c>
      <c r="P2" s="939" t="str">
        <f t="shared" si="1"/>
        <v>(含)-</v>
      </c>
      <c r="Q2" s="939" t="str">
        <f t="shared" si="1"/>
        <v>(含)-</v>
      </c>
      <c r="R2" s="939" t="str">
        <f t="shared" si="1"/>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1" t="s">
        <v>2843</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2">D6-$T5</f>
        <v>100</v>
      </c>
      <c r="F6" s="1883">
        <f t="shared" si="2"/>
        <v>100</v>
      </c>
      <c r="G6" s="1883">
        <f t="shared" si="2"/>
        <v>100</v>
      </c>
      <c r="H6" s="1883">
        <f t="shared" si="2"/>
        <v>100</v>
      </c>
      <c r="I6" s="1883">
        <f t="shared" si="2"/>
        <v>100</v>
      </c>
      <c r="J6" s="1883">
        <f t="shared" si="2"/>
        <v>100</v>
      </c>
      <c r="K6" s="1883">
        <f t="shared" si="2"/>
        <v>100</v>
      </c>
      <c r="L6" s="1883">
        <f t="shared" si="2"/>
        <v>100</v>
      </c>
      <c r="M6" s="1883">
        <f t="shared" si="2"/>
        <v>100</v>
      </c>
      <c r="N6" s="1883">
        <f t="shared" si="2"/>
        <v>100</v>
      </c>
      <c r="O6" s="1883">
        <f t="shared" si="2"/>
        <v>100</v>
      </c>
      <c r="P6" s="1883">
        <f t="shared" si="2"/>
        <v>100</v>
      </c>
      <c r="Q6" s="1883">
        <f t="shared" si="2"/>
        <v>100</v>
      </c>
      <c r="R6" s="1883">
        <f t="shared" si="2"/>
        <v>100</v>
      </c>
      <c r="S6" s="1883">
        <f t="shared" si="2"/>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3" t="s">
        <v>2842</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3">D8-$T7</f>
        <v>100</v>
      </c>
      <c r="F8" s="1883">
        <f t="shared" si="3"/>
        <v>100</v>
      </c>
      <c r="G8" s="1883">
        <f t="shared" si="3"/>
        <v>100</v>
      </c>
      <c r="H8" s="1883">
        <f t="shared" si="3"/>
        <v>100</v>
      </c>
      <c r="I8" s="1883">
        <f t="shared" si="3"/>
        <v>100</v>
      </c>
      <c r="J8" s="1883">
        <f t="shared" si="3"/>
        <v>100</v>
      </c>
      <c r="K8" s="1883">
        <f t="shared" si="3"/>
        <v>100</v>
      </c>
      <c r="L8" s="1883">
        <f t="shared" si="3"/>
        <v>100</v>
      </c>
      <c r="M8" s="1883">
        <f t="shared" si="3"/>
        <v>100</v>
      </c>
      <c r="N8" s="1883">
        <f t="shared" si="3"/>
        <v>100</v>
      </c>
      <c r="O8" s="1883">
        <f t="shared" si="3"/>
        <v>100</v>
      </c>
      <c r="P8" s="1883">
        <f t="shared" si="3"/>
        <v>100</v>
      </c>
      <c r="Q8" s="1883">
        <f t="shared" si="3"/>
        <v>100</v>
      </c>
      <c r="R8" s="1883">
        <f t="shared" si="3"/>
        <v>100</v>
      </c>
      <c r="S8" s="1883">
        <f t="shared" si="3"/>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3" t="s">
        <v>2841</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2"/>
      <c r="C10" s="2146">
        <v>100</v>
      </c>
      <c r="D10" s="2147">
        <f>C10-$T9</f>
        <v>100</v>
      </c>
      <c r="E10" s="2147">
        <f t="shared" ref="E10:S10" si="4">D10-$T9</f>
        <v>100</v>
      </c>
      <c r="F10" s="2147">
        <f t="shared" si="4"/>
        <v>100</v>
      </c>
      <c r="G10" s="2147">
        <f t="shared" si="4"/>
        <v>100</v>
      </c>
      <c r="H10" s="2147">
        <f t="shared" si="4"/>
        <v>100</v>
      </c>
      <c r="I10" s="2147">
        <f t="shared" si="4"/>
        <v>100</v>
      </c>
      <c r="J10" s="2147">
        <f t="shared" si="4"/>
        <v>100</v>
      </c>
      <c r="K10" s="2147">
        <f t="shared" si="4"/>
        <v>100</v>
      </c>
      <c r="L10" s="2147">
        <f t="shared" si="4"/>
        <v>100</v>
      </c>
      <c r="M10" s="2147">
        <f t="shared" si="4"/>
        <v>100</v>
      </c>
      <c r="N10" s="2147">
        <f t="shared" si="4"/>
        <v>100</v>
      </c>
      <c r="O10" s="2147">
        <f t="shared" si="4"/>
        <v>100</v>
      </c>
      <c r="P10" s="2147">
        <f t="shared" si="4"/>
        <v>100</v>
      </c>
      <c r="Q10" s="2147">
        <f t="shared" si="4"/>
        <v>100</v>
      </c>
      <c r="R10" s="2147">
        <f t="shared" si="4"/>
        <v>100</v>
      </c>
      <c r="S10" s="2147">
        <f t="shared" si="4"/>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1" t="s">
        <v>2854</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5">D12-$T11</f>
        <v>100</v>
      </c>
      <c r="F12" s="1883">
        <f t="shared" si="5"/>
        <v>100</v>
      </c>
      <c r="G12" s="1883">
        <f t="shared" si="5"/>
        <v>100</v>
      </c>
      <c r="H12" s="1883">
        <f t="shared" si="5"/>
        <v>100</v>
      </c>
      <c r="I12" s="1883">
        <f t="shared" si="5"/>
        <v>100</v>
      </c>
      <c r="J12" s="1883">
        <f t="shared" si="5"/>
        <v>100</v>
      </c>
      <c r="K12" s="1883">
        <f t="shared" si="5"/>
        <v>100</v>
      </c>
      <c r="L12" s="1883">
        <f t="shared" si="5"/>
        <v>100</v>
      </c>
      <c r="M12" s="1883">
        <f t="shared" si="5"/>
        <v>100</v>
      </c>
      <c r="N12" s="1883">
        <f t="shared" si="5"/>
        <v>100</v>
      </c>
      <c r="O12" s="1883">
        <f t="shared" si="5"/>
        <v>100</v>
      </c>
      <c r="P12" s="1883">
        <f t="shared" si="5"/>
        <v>100</v>
      </c>
      <c r="Q12" s="1883">
        <f t="shared" si="5"/>
        <v>100</v>
      </c>
      <c r="R12" s="1883">
        <f t="shared" si="5"/>
        <v>100</v>
      </c>
      <c r="S12" s="1883">
        <f t="shared" si="5"/>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1" t="s">
        <v>2840</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1" t="s">
        <v>2839</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2249</v>
      </c>
      <c r="B17" s="2158" t="s">
        <v>2250</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647" t="s">
        <v>20</v>
      </c>
      <c r="D22" s="3648"/>
      <c r="E22" s="3648"/>
      <c r="F22" s="3648"/>
      <c r="G22" s="3648"/>
      <c r="H22" s="3648"/>
      <c r="I22" s="3648"/>
      <c r="J22" s="3648"/>
      <c r="K22" s="3648"/>
      <c r="L22" s="3648"/>
      <c r="M22" s="3648"/>
      <c r="N22" s="3648"/>
      <c r="O22" s="3648"/>
      <c r="P22" s="3648"/>
      <c r="Q22" s="3649"/>
      <c r="R22" s="484" t="e">
        <f>ROUND(S22*10000/B22,0)</f>
        <v>#DIV/0!</v>
      </c>
      <c r="S22" s="53">
        <f>SUM(S24:S10000)</f>
        <v>0</v>
      </c>
    </row>
    <row r="23" spans="1:45" s="1543" customFormat="1" ht="24">
      <c r="A23" s="17" t="s">
        <v>824</v>
      </c>
      <c r="B23" s="2855" t="s">
        <v>2862</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68">
        <v>1</v>
      </c>
      <c r="D24" s="3269"/>
      <c r="E24" s="3268">
        <v>1</v>
      </c>
      <c r="F24" s="3269"/>
      <c r="G24" s="3268">
        <v>1</v>
      </c>
      <c r="H24" s="3269"/>
      <c r="I24" s="3268">
        <v>1</v>
      </c>
      <c r="J24" s="3269"/>
      <c r="K24" s="3268">
        <v>1</v>
      </c>
      <c r="L24" s="3269"/>
      <c r="M24" s="3268">
        <v>1</v>
      </c>
      <c r="N24" s="3269"/>
      <c r="O24" s="3268">
        <v>1</v>
      </c>
      <c r="P24" s="3269"/>
      <c r="Q24" s="3268">
        <v>1</v>
      </c>
      <c r="R24" s="952"/>
      <c r="S24" s="950">
        <f t="shared" ref="S24:S54" si="6">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6"/>
        <v>0</v>
      </c>
    </row>
    <row r="26" spans="1:45">
      <c r="A26" s="953"/>
      <c r="B26" s="136"/>
      <c r="C26" s="53">
        <f t="shared" ref="C26:C89" si="7">IF(B26="",1,(LOOKUP(B26,$3:$3,$4:$4)-LOOKUP($B$24,$3:$3,$4:$4)+100)/100)</f>
        <v>1</v>
      </c>
      <c r="D26" s="951"/>
      <c r="E26" s="53">
        <f t="shared" ref="E26:E89" si="8">(SUMIF($5:$5,D26,$6:$6)-SUMIF($5:$5,$D$24,$6:$6)+100)/100</f>
        <v>1</v>
      </c>
      <c r="F26" s="951"/>
      <c r="G26" s="53">
        <f t="shared" ref="G26:G89" si="9">(SUMIF($7:$7,F26,$8:$8)-SUMIF($7:$7,$F$24,$8:$8)+100)/100</f>
        <v>1</v>
      </c>
      <c r="H26" s="951"/>
      <c r="I26" s="53">
        <f t="shared" ref="I26:I89" si="10">(SUMIF($9:$9,H26,$10:$10)-SUMIF($9:$9,$H$24,$10:$10)+100)/100</f>
        <v>1</v>
      </c>
      <c r="J26" s="951"/>
      <c r="K26" s="53">
        <f t="shared" ref="K26:K89" si="11">(SUMIF($11:$11,J26,$12:$12)-SUMIF($11:$11,$J$24,$12:$12)+100)/100</f>
        <v>1</v>
      </c>
      <c r="L26" s="951"/>
      <c r="M26" s="53">
        <f t="shared" ref="M26:M89" si="12">(SUMIF($13:$13,L26,$14:$14)-SUMIF($13:$13,$L$24,$14:$14)+100)/100</f>
        <v>1</v>
      </c>
      <c r="N26" s="951"/>
      <c r="O26" s="53">
        <f t="shared" ref="O26:O89" si="13">(SUMIF($15:$15,N26,$16:$16)-SUMIF($15:$15,$N$24,$16:$16)+100)/100</f>
        <v>1</v>
      </c>
      <c r="P26" s="951"/>
      <c r="Q26" s="53">
        <f t="shared" ref="Q26:Q89" si="14">(SUMIF($17:$17,P26,$18:$18)-SUMIF($17:$17,$P$24,$18:$18)+100)/100</f>
        <v>1</v>
      </c>
      <c r="R26" s="484">
        <f t="shared" ref="R26:R89" si="15">IF(B26="",0,ROUND($R$24*C26*E26*G26*I26*K26*M26*O26*Q26,0))</f>
        <v>0</v>
      </c>
      <c r="S26" s="789">
        <f t="shared" si="6"/>
        <v>0</v>
      </c>
    </row>
    <row r="27" spans="1:45">
      <c r="A27" s="953"/>
      <c r="B27" s="136"/>
      <c r="C27" s="53">
        <f t="shared" si="7"/>
        <v>1</v>
      </c>
      <c r="D27" s="951"/>
      <c r="E27" s="53">
        <f t="shared" si="8"/>
        <v>1</v>
      </c>
      <c r="F27" s="951"/>
      <c r="G27" s="53">
        <f t="shared" si="9"/>
        <v>1</v>
      </c>
      <c r="H27" s="951"/>
      <c r="I27" s="53">
        <f t="shared" si="10"/>
        <v>1</v>
      </c>
      <c r="J27" s="951"/>
      <c r="K27" s="53">
        <f t="shared" si="11"/>
        <v>1</v>
      </c>
      <c r="L27" s="951"/>
      <c r="M27" s="53">
        <f t="shared" si="12"/>
        <v>1</v>
      </c>
      <c r="N27" s="951"/>
      <c r="O27" s="53">
        <f t="shared" si="13"/>
        <v>1</v>
      </c>
      <c r="P27" s="951"/>
      <c r="Q27" s="53">
        <f t="shared" si="14"/>
        <v>1</v>
      </c>
      <c r="R27" s="484">
        <f t="shared" si="15"/>
        <v>0</v>
      </c>
      <c r="S27" s="789">
        <f t="shared" si="6"/>
        <v>0</v>
      </c>
    </row>
    <row r="28" spans="1:45">
      <c r="A28" s="953"/>
      <c r="B28" s="136"/>
      <c r="C28" s="53">
        <f t="shared" si="7"/>
        <v>1</v>
      </c>
      <c r="D28" s="951"/>
      <c r="E28" s="53">
        <f t="shared" si="8"/>
        <v>1</v>
      </c>
      <c r="F28" s="951"/>
      <c r="G28" s="53">
        <f t="shared" si="9"/>
        <v>1</v>
      </c>
      <c r="H28" s="951"/>
      <c r="I28" s="53">
        <f t="shared" si="10"/>
        <v>1</v>
      </c>
      <c r="J28" s="951"/>
      <c r="K28" s="53">
        <f t="shared" si="11"/>
        <v>1</v>
      </c>
      <c r="L28" s="951"/>
      <c r="M28" s="53">
        <f t="shared" si="12"/>
        <v>1</v>
      </c>
      <c r="N28" s="951"/>
      <c r="O28" s="53">
        <f t="shared" si="13"/>
        <v>1</v>
      </c>
      <c r="P28" s="951"/>
      <c r="Q28" s="53">
        <f t="shared" si="14"/>
        <v>1</v>
      </c>
      <c r="R28" s="484">
        <f t="shared" si="15"/>
        <v>0</v>
      </c>
      <c r="S28" s="789">
        <f t="shared" si="6"/>
        <v>0</v>
      </c>
    </row>
    <row r="29" spans="1:45">
      <c r="A29" s="953"/>
      <c r="B29" s="136"/>
      <c r="C29" s="53">
        <f t="shared" si="7"/>
        <v>1</v>
      </c>
      <c r="D29" s="951"/>
      <c r="E29" s="53">
        <f t="shared" si="8"/>
        <v>1</v>
      </c>
      <c r="F29" s="951"/>
      <c r="G29" s="53">
        <f t="shared" si="9"/>
        <v>1</v>
      </c>
      <c r="H29" s="951"/>
      <c r="I29" s="53">
        <f t="shared" si="10"/>
        <v>1</v>
      </c>
      <c r="J29" s="951"/>
      <c r="K29" s="53">
        <f t="shared" si="11"/>
        <v>1</v>
      </c>
      <c r="L29" s="951"/>
      <c r="M29" s="53">
        <f t="shared" si="12"/>
        <v>1</v>
      </c>
      <c r="N29" s="951"/>
      <c r="O29" s="53">
        <f t="shared" si="13"/>
        <v>1</v>
      </c>
      <c r="P29" s="951"/>
      <c r="Q29" s="53">
        <f t="shared" si="14"/>
        <v>1</v>
      </c>
      <c r="R29" s="484">
        <f t="shared" si="15"/>
        <v>0</v>
      </c>
      <c r="S29" s="789">
        <f t="shared" si="6"/>
        <v>0</v>
      </c>
    </row>
    <row r="30" spans="1:45">
      <c r="A30" s="953"/>
      <c r="B30" s="136"/>
      <c r="C30" s="53">
        <f t="shared" si="7"/>
        <v>1</v>
      </c>
      <c r="D30" s="951"/>
      <c r="E30" s="53">
        <f t="shared" si="8"/>
        <v>1</v>
      </c>
      <c r="F30" s="951"/>
      <c r="G30" s="53">
        <f t="shared" si="9"/>
        <v>1</v>
      </c>
      <c r="H30" s="951"/>
      <c r="I30" s="53">
        <f t="shared" si="10"/>
        <v>1</v>
      </c>
      <c r="J30" s="951"/>
      <c r="K30" s="53">
        <f t="shared" si="11"/>
        <v>1</v>
      </c>
      <c r="L30" s="951"/>
      <c r="M30" s="53">
        <f t="shared" si="12"/>
        <v>1</v>
      </c>
      <c r="N30" s="951"/>
      <c r="O30" s="53">
        <f t="shared" si="13"/>
        <v>1</v>
      </c>
      <c r="P30" s="951"/>
      <c r="Q30" s="53">
        <f t="shared" si="14"/>
        <v>1</v>
      </c>
      <c r="R30" s="484">
        <f t="shared" si="15"/>
        <v>0</v>
      </c>
      <c r="S30" s="789">
        <f t="shared" si="6"/>
        <v>0</v>
      </c>
    </row>
    <row r="31" spans="1:45">
      <c r="A31" s="953"/>
      <c r="B31" s="136"/>
      <c r="C31" s="53">
        <f t="shared" si="7"/>
        <v>1</v>
      </c>
      <c r="D31" s="951"/>
      <c r="E31" s="53">
        <f t="shared" si="8"/>
        <v>1</v>
      </c>
      <c r="F31" s="951"/>
      <c r="G31" s="53">
        <f t="shared" si="9"/>
        <v>1</v>
      </c>
      <c r="H31" s="951"/>
      <c r="I31" s="53">
        <f t="shared" si="10"/>
        <v>1</v>
      </c>
      <c r="J31" s="951"/>
      <c r="K31" s="53">
        <f t="shared" si="11"/>
        <v>1</v>
      </c>
      <c r="L31" s="951"/>
      <c r="M31" s="53">
        <f t="shared" si="12"/>
        <v>1</v>
      </c>
      <c r="N31" s="951"/>
      <c r="O31" s="53">
        <f t="shared" si="13"/>
        <v>1</v>
      </c>
      <c r="P31" s="951"/>
      <c r="Q31" s="53">
        <f t="shared" si="14"/>
        <v>1</v>
      </c>
      <c r="R31" s="484">
        <f t="shared" si="15"/>
        <v>0</v>
      </c>
      <c r="S31" s="789">
        <f t="shared" si="6"/>
        <v>0</v>
      </c>
    </row>
    <row r="32" spans="1:45">
      <c r="A32" s="953"/>
      <c r="B32" s="136"/>
      <c r="C32" s="53">
        <f t="shared" si="7"/>
        <v>1</v>
      </c>
      <c r="D32" s="951"/>
      <c r="E32" s="53">
        <f t="shared" si="8"/>
        <v>1</v>
      </c>
      <c r="F32" s="951"/>
      <c r="G32" s="53">
        <f t="shared" si="9"/>
        <v>1</v>
      </c>
      <c r="H32" s="951"/>
      <c r="I32" s="53">
        <f t="shared" si="10"/>
        <v>1</v>
      </c>
      <c r="J32" s="951"/>
      <c r="K32" s="53">
        <f t="shared" si="11"/>
        <v>1</v>
      </c>
      <c r="L32" s="951"/>
      <c r="M32" s="53">
        <f t="shared" si="12"/>
        <v>1</v>
      </c>
      <c r="N32" s="951"/>
      <c r="O32" s="53">
        <f t="shared" si="13"/>
        <v>1</v>
      </c>
      <c r="P32" s="951"/>
      <c r="Q32" s="53">
        <f t="shared" si="14"/>
        <v>1</v>
      </c>
      <c r="R32" s="484">
        <f t="shared" si="15"/>
        <v>0</v>
      </c>
      <c r="S32" s="789">
        <f t="shared" si="6"/>
        <v>0</v>
      </c>
    </row>
    <row r="33" spans="1:19">
      <c r="A33" s="953"/>
      <c r="B33" s="136"/>
      <c r="C33" s="53">
        <f t="shared" si="7"/>
        <v>1</v>
      </c>
      <c r="D33" s="951"/>
      <c r="E33" s="53">
        <f t="shared" si="8"/>
        <v>1</v>
      </c>
      <c r="F33" s="951"/>
      <c r="G33" s="53">
        <f t="shared" si="9"/>
        <v>1</v>
      </c>
      <c r="H33" s="951"/>
      <c r="I33" s="53">
        <f t="shared" si="10"/>
        <v>1</v>
      </c>
      <c r="J33" s="951"/>
      <c r="K33" s="53">
        <f t="shared" si="11"/>
        <v>1</v>
      </c>
      <c r="L33" s="951"/>
      <c r="M33" s="53">
        <f t="shared" si="12"/>
        <v>1</v>
      </c>
      <c r="N33" s="951"/>
      <c r="O33" s="53">
        <f t="shared" si="13"/>
        <v>1</v>
      </c>
      <c r="P33" s="951"/>
      <c r="Q33" s="53">
        <f t="shared" si="14"/>
        <v>1</v>
      </c>
      <c r="R33" s="484">
        <f t="shared" si="15"/>
        <v>0</v>
      </c>
      <c r="S33" s="789">
        <f t="shared" si="6"/>
        <v>0</v>
      </c>
    </row>
    <row r="34" spans="1:19">
      <c r="A34" s="953"/>
      <c r="B34" s="136"/>
      <c r="C34" s="53">
        <f t="shared" si="7"/>
        <v>1</v>
      </c>
      <c r="D34" s="951"/>
      <c r="E34" s="53">
        <f t="shared" si="8"/>
        <v>1</v>
      </c>
      <c r="F34" s="951"/>
      <c r="G34" s="53">
        <f t="shared" si="9"/>
        <v>1</v>
      </c>
      <c r="H34" s="951"/>
      <c r="I34" s="53">
        <f t="shared" si="10"/>
        <v>1</v>
      </c>
      <c r="J34" s="951"/>
      <c r="K34" s="53">
        <f t="shared" si="11"/>
        <v>1</v>
      </c>
      <c r="L34" s="951"/>
      <c r="M34" s="53">
        <f t="shared" si="12"/>
        <v>1</v>
      </c>
      <c r="N34" s="951"/>
      <c r="O34" s="53">
        <f t="shared" si="13"/>
        <v>1</v>
      </c>
      <c r="P34" s="951"/>
      <c r="Q34" s="53">
        <f t="shared" si="14"/>
        <v>1</v>
      </c>
      <c r="R34" s="484">
        <f t="shared" si="15"/>
        <v>0</v>
      </c>
      <c r="S34" s="789">
        <f t="shared" si="6"/>
        <v>0</v>
      </c>
    </row>
    <row r="35" spans="1:19">
      <c r="A35" s="953"/>
      <c r="B35" s="136"/>
      <c r="C35" s="53">
        <f t="shared" si="7"/>
        <v>1</v>
      </c>
      <c r="D35" s="951"/>
      <c r="E35" s="53">
        <f t="shared" si="8"/>
        <v>1</v>
      </c>
      <c r="F35" s="951"/>
      <c r="G35" s="53">
        <f t="shared" si="9"/>
        <v>1</v>
      </c>
      <c r="H35" s="951"/>
      <c r="I35" s="53">
        <f t="shared" si="10"/>
        <v>1</v>
      </c>
      <c r="J35" s="951"/>
      <c r="K35" s="53">
        <f t="shared" si="11"/>
        <v>1</v>
      </c>
      <c r="L35" s="951"/>
      <c r="M35" s="53">
        <f t="shared" si="12"/>
        <v>1</v>
      </c>
      <c r="N35" s="951"/>
      <c r="O35" s="53">
        <f t="shared" si="13"/>
        <v>1</v>
      </c>
      <c r="P35" s="951"/>
      <c r="Q35" s="53">
        <f t="shared" si="14"/>
        <v>1</v>
      </c>
      <c r="R35" s="484">
        <f t="shared" si="15"/>
        <v>0</v>
      </c>
      <c r="S35" s="789">
        <f t="shared" si="6"/>
        <v>0</v>
      </c>
    </row>
    <row r="36" spans="1:19">
      <c r="A36" s="953"/>
      <c r="B36" s="136"/>
      <c r="C36" s="53">
        <f t="shared" si="7"/>
        <v>1</v>
      </c>
      <c r="D36" s="951"/>
      <c r="E36" s="53">
        <f t="shared" si="8"/>
        <v>1</v>
      </c>
      <c r="F36" s="951"/>
      <c r="G36" s="53">
        <f t="shared" si="9"/>
        <v>1</v>
      </c>
      <c r="H36" s="951"/>
      <c r="I36" s="53">
        <f t="shared" si="10"/>
        <v>1</v>
      </c>
      <c r="J36" s="951"/>
      <c r="K36" s="53">
        <f t="shared" si="11"/>
        <v>1</v>
      </c>
      <c r="L36" s="951"/>
      <c r="M36" s="53">
        <f t="shared" si="12"/>
        <v>1</v>
      </c>
      <c r="N36" s="951"/>
      <c r="O36" s="53">
        <f t="shared" si="13"/>
        <v>1</v>
      </c>
      <c r="P36" s="951"/>
      <c r="Q36" s="53">
        <f t="shared" si="14"/>
        <v>1</v>
      </c>
      <c r="R36" s="484">
        <f t="shared" si="15"/>
        <v>0</v>
      </c>
      <c r="S36" s="789">
        <f t="shared" si="6"/>
        <v>0</v>
      </c>
    </row>
    <row r="37" spans="1:19">
      <c r="A37" s="953"/>
      <c r="B37" s="136"/>
      <c r="C37" s="53">
        <f t="shared" si="7"/>
        <v>1</v>
      </c>
      <c r="D37" s="951"/>
      <c r="E37" s="53">
        <f t="shared" si="8"/>
        <v>1</v>
      </c>
      <c r="F37" s="951"/>
      <c r="G37" s="53">
        <f t="shared" si="9"/>
        <v>1</v>
      </c>
      <c r="H37" s="951"/>
      <c r="I37" s="53">
        <f t="shared" si="10"/>
        <v>1</v>
      </c>
      <c r="J37" s="951"/>
      <c r="K37" s="53">
        <f t="shared" si="11"/>
        <v>1</v>
      </c>
      <c r="L37" s="951"/>
      <c r="M37" s="53">
        <f t="shared" si="12"/>
        <v>1</v>
      </c>
      <c r="N37" s="951"/>
      <c r="O37" s="53">
        <f t="shared" si="13"/>
        <v>1</v>
      </c>
      <c r="P37" s="951"/>
      <c r="Q37" s="53">
        <f t="shared" si="14"/>
        <v>1</v>
      </c>
      <c r="R37" s="484">
        <f t="shared" si="15"/>
        <v>0</v>
      </c>
      <c r="S37" s="789">
        <f t="shared" si="6"/>
        <v>0</v>
      </c>
    </row>
    <row r="38" spans="1:19">
      <c r="A38" s="953"/>
      <c r="B38" s="136"/>
      <c r="C38" s="53">
        <f t="shared" si="7"/>
        <v>1</v>
      </c>
      <c r="D38" s="951"/>
      <c r="E38" s="53">
        <f t="shared" si="8"/>
        <v>1</v>
      </c>
      <c r="F38" s="951"/>
      <c r="G38" s="53">
        <f t="shared" si="9"/>
        <v>1</v>
      </c>
      <c r="H38" s="951"/>
      <c r="I38" s="53">
        <f t="shared" si="10"/>
        <v>1</v>
      </c>
      <c r="J38" s="951"/>
      <c r="K38" s="53">
        <f t="shared" si="11"/>
        <v>1</v>
      </c>
      <c r="L38" s="951"/>
      <c r="M38" s="53">
        <f t="shared" si="12"/>
        <v>1</v>
      </c>
      <c r="N38" s="951"/>
      <c r="O38" s="53">
        <f t="shared" si="13"/>
        <v>1</v>
      </c>
      <c r="P38" s="951"/>
      <c r="Q38" s="53">
        <f t="shared" si="14"/>
        <v>1</v>
      </c>
      <c r="R38" s="484">
        <f t="shared" si="15"/>
        <v>0</v>
      </c>
      <c r="S38" s="789">
        <f t="shared" si="6"/>
        <v>0</v>
      </c>
    </row>
    <row r="39" spans="1:19">
      <c r="A39" s="953"/>
      <c r="B39" s="136"/>
      <c r="C39" s="53">
        <f t="shared" si="7"/>
        <v>1</v>
      </c>
      <c r="D39" s="951"/>
      <c r="E39" s="53">
        <f t="shared" si="8"/>
        <v>1</v>
      </c>
      <c r="F39" s="951"/>
      <c r="G39" s="53">
        <f t="shared" si="9"/>
        <v>1</v>
      </c>
      <c r="H39" s="951"/>
      <c r="I39" s="53">
        <f t="shared" si="10"/>
        <v>1</v>
      </c>
      <c r="J39" s="951"/>
      <c r="K39" s="53">
        <f t="shared" si="11"/>
        <v>1</v>
      </c>
      <c r="L39" s="951"/>
      <c r="M39" s="53">
        <f t="shared" si="12"/>
        <v>1</v>
      </c>
      <c r="N39" s="951"/>
      <c r="O39" s="53">
        <f t="shared" si="13"/>
        <v>1</v>
      </c>
      <c r="P39" s="951"/>
      <c r="Q39" s="53">
        <f t="shared" si="14"/>
        <v>1</v>
      </c>
      <c r="R39" s="484">
        <f t="shared" si="15"/>
        <v>0</v>
      </c>
      <c r="S39" s="789">
        <f t="shared" si="6"/>
        <v>0</v>
      </c>
    </row>
    <row r="40" spans="1:19">
      <c r="A40" s="953"/>
      <c r="B40" s="136"/>
      <c r="C40" s="53">
        <f t="shared" si="7"/>
        <v>1</v>
      </c>
      <c r="D40" s="951"/>
      <c r="E40" s="53">
        <f t="shared" si="8"/>
        <v>1</v>
      </c>
      <c r="F40" s="951"/>
      <c r="G40" s="53">
        <f t="shared" si="9"/>
        <v>1</v>
      </c>
      <c r="H40" s="951"/>
      <c r="I40" s="53">
        <f t="shared" si="10"/>
        <v>1</v>
      </c>
      <c r="J40" s="951"/>
      <c r="K40" s="53">
        <f t="shared" si="11"/>
        <v>1</v>
      </c>
      <c r="L40" s="951"/>
      <c r="M40" s="53">
        <f t="shared" si="12"/>
        <v>1</v>
      </c>
      <c r="N40" s="951"/>
      <c r="O40" s="53">
        <f t="shared" si="13"/>
        <v>1</v>
      </c>
      <c r="P40" s="951"/>
      <c r="Q40" s="53">
        <f t="shared" si="14"/>
        <v>1</v>
      </c>
      <c r="R40" s="484">
        <f t="shared" si="15"/>
        <v>0</v>
      </c>
      <c r="S40" s="789">
        <f t="shared" si="6"/>
        <v>0</v>
      </c>
    </row>
    <row r="41" spans="1:19">
      <c r="A41" s="953"/>
      <c r="B41" s="136"/>
      <c r="C41" s="53">
        <f t="shared" si="7"/>
        <v>1</v>
      </c>
      <c r="D41" s="951"/>
      <c r="E41" s="53">
        <f t="shared" si="8"/>
        <v>1</v>
      </c>
      <c r="F41" s="951"/>
      <c r="G41" s="53">
        <f t="shared" si="9"/>
        <v>1</v>
      </c>
      <c r="H41" s="951"/>
      <c r="I41" s="53">
        <f t="shared" si="10"/>
        <v>1</v>
      </c>
      <c r="J41" s="951"/>
      <c r="K41" s="53">
        <f t="shared" si="11"/>
        <v>1</v>
      </c>
      <c r="L41" s="951"/>
      <c r="M41" s="53">
        <f t="shared" si="12"/>
        <v>1</v>
      </c>
      <c r="N41" s="951"/>
      <c r="O41" s="53">
        <f t="shared" si="13"/>
        <v>1</v>
      </c>
      <c r="P41" s="951"/>
      <c r="Q41" s="53">
        <f t="shared" si="14"/>
        <v>1</v>
      </c>
      <c r="R41" s="484">
        <f t="shared" si="15"/>
        <v>0</v>
      </c>
      <c r="S41" s="789">
        <f t="shared" si="6"/>
        <v>0</v>
      </c>
    </row>
    <row r="42" spans="1:19">
      <c r="A42" s="953"/>
      <c r="B42" s="136"/>
      <c r="C42" s="53">
        <f t="shared" si="7"/>
        <v>1</v>
      </c>
      <c r="D42" s="951"/>
      <c r="E42" s="53">
        <f t="shared" si="8"/>
        <v>1</v>
      </c>
      <c r="F42" s="951"/>
      <c r="G42" s="53">
        <f t="shared" si="9"/>
        <v>1</v>
      </c>
      <c r="H42" s="951"/>
      <c r="I42" s="53">
        <f t="shared" si="10"/>
        <v>1</v>
      </c>
      <c r="J42" s="951"/>
      <c r="K42" s="53">
        <f t="shared" si="11"/>
        <v>1</v>
      </c>
      <c r="L42" s="951"/>
      <c r="M42" s="53">
        <f t="shared" si="12"/>
        <v>1</v>
      </c>
      <c r="N42" s="951"/>
      <c r="O42" s="53">
        <f t="shared" si="13"/>
        <v>1</v>
      </c>
      <c r="P42" s="951"/>
      <c r="Q42" s="53">
        <f t="shared" si="14"/>
        <v>1</v>
      </c>
      <c r="R42" s="484">
        <f t="shared" si="15"/>
        <v>0</v>
      </c>
      <c r="S42" s="789">
        <f t="shared" si="6"/>
        <v>0</v>
      </c>
    </row>
    <row r="43" spans="1:19">
      <c r="A43" s="953"/>
      <c r="B43" s="136"/>
      <c r="C43" s="53">
        <f t="shared" si="7"/>
        <v>1</v>
      </c>
      <c r="D43" s="951"/>
      <c r="E43" s="53">
        <f t="shared" si="8"/>
        <v>1</v>
      </c>
      <c r="F43" s="951"/>
      <c r="G43" s="53">
        <f t="shared" si="9"/>
        <v>1</v>
      </c>
      <c r="H43" s="951"/>
      <c r="I43" s="53">
        <f t="shared" si="10"/>
        <v>1</v>
      </c>
      <c r="J43" s="951"/>
      <c r="K43" s="53">
        <f t="shared" si="11"/>
        <v>1</v>
      </c>
      <c r="L43" s="951"/>
      <c r="M43" s="53">
        <f t="shared" si="12"/>
        <v>1</v>
      </c>
      <c r="N43" s="951"/>
      <c r="O43" s="53">
        <f t="shared" si="13"/>
        <v>1</v>
      </c>
      <c r="P43" s="951"/>
      <c r="Q43" s="53">
        <f t="shared" si="14"/>
        <v>1</v>
      </c>
      <c r="R43" s="484">
        <f t="shared" si="15"/>
        <v>0</v>
      </c>
      <c r="S43" s="789">
        <f t="shared" si="6"/>
        <v>0</v>
      </c>
    </row>
    <row r="44" spans="1:19">
      <c r="A44" s="953"/>
      <c r="B44" s="136"/>
      <c r="C44" s="53">
        <f t="shared" si="7"/>
        <v>1</v>
      </c>
      <c r="D44" s="951"/>
      <c r="E44" s="53">
        <f t="shared" si="8"/>
        <v>1</v>
      </c>
      <c r="F44" s="951"/>
      <c r="G44" s="53">
        <f t="shared" si="9"/>
        <v>1</v>
      </c>
      <c r="H44" s="951"/>
      <c r="I44" s="53">
        <f t="shared" si="10"/>
        <v>1</v>
      </c>
      <c r="J44" s="951"/>
      <c r="K44" s="53">
        <f t="shared" si="11"/>
        <v>1</v>
      </c>
      <c r="L44" s="951"/>
      <c r="M44" s="53">
        <f t="shared" si="12"/>
        <v>1</v>
      </c>
      <c r="N44" s="951"/>
      <c r="O44" s="53">
        <f t="shared" si="13"/>
        <v>1</v>
      </c>
      <c r="P44" s="951"/>
      <c r="Q44" s="53">
        <f t="shared" si="14"/>
        <v>1</v>
      </c>
      <c r="R44" s="484">
        <f t="shared" si="15"/>
        <v>0</v>
      </c>
      <c r="S44" s="789">
        <f t="shared" si="6"/>
        <v>0</v>
      </c>
    </row>
    <row r="45" spans="1:19">
      <c r="A45" s="953"/>
      <c r="B45" s="136"/>
      <c r="C45" s="53">
        <f t="shared" si="7"/>
        <v>1</v>
      </c>
      <c r="D45" s="951"/>
      <c r="E45" s="53">
        <f t="shared" si="8"/>
        <v>1</v>
      </c>
      <c r="F45" s="951"/>
      <c r="G45" s="53">
        <f t="shared" si="9"/>
        <v>1</v>
      </c>
      <c r="H45" s="951"/>
      <c r="I45" s="53">
        <f t="shared" si="10"/>
        <v>1</v>
      </c>
      <c r="J45" s="951"/>
      <c r="K45" s="53">
        <f t="shared" si="11"/>
        <v>1</v>
      </c>
      <c r="L45" s="951"/>
      <c r="M45" s="53">
        <f t="shared" si="12"/>
        <v>1</v>
      </c>
      <c r="N45" s="951"/>
      <c r="O45" s="53">
        <f t="shared" si="13"/>
        <v>1</v>
      </c>
      <c r="P45" s="951"/>
      <c r="Q45" s="53">
        <f t="shared" si="14"/>
        <v>1</v>
      </c>
      <c r="R45" s="484">
        <f t="shared" si="15"/>
        <v>0</v>
      </c>
      <c r="S45" s="789">
        <f t="shared" si="6"/>
        <v>0</v>
      </c>
    </row>
    <row r="46" spans="1:19">
      <c r="A46" s="953"/>
      <c r="B46" s="136"/>
      <c r="C46" s="53">
        <f t="shared" si="7"/>
        <v>1</v>
      </c>
      <c r="D46" s="951"/>
      <c r="E46" s="53">
        <f t="shared" si="8"/>
        <v>1</v>
      </c>
      <c r="F46" s="951"/>
      <c r="G46" s="53">
        <f t="shared" si="9"/>
        <v>1</v>
      </c>
      <c r="H46" s="951"/>
      <c r="I46" s="53">
        <f t="shared" si="10"/>
        <v>1</v>
      </c>
      <c r="J46" s="951"/>
      <c r="K46" s="53">
        <f t="shared" si="11"/>
        <v>1</v>
      </c>
      <c r="L46" s="951"/>
      <c r="M46" s="53">
        <f t="shared" si="12"/>
        <v>1</v>
      </c>
      <c r="N46" s="951"/>
      <c r="O46" s="53">
        <f t="shared" si="13"/>
        <v>1</v>
      </c>
      <c r="P46" s="951"/>
      <c r="Q46" s="53">
        <f t="shared" si="14"/>
        <v>1</v>
      </c>
      <c r="R46" s="484">
        <f t="shared" si="15"/>
        <v>0</v>
      </c>
      <c r="S46" s="789">
        <f t="shared" si="6"/>
        <v>0</v>
      </c>
    </row>
    <row r="47" spans="1:19">
      <c r="A47" s="953"/>
      <c r="B47" s="136"/>
      <c r="C47" s="53">
        <f t="shared" si="7"/>
        <v>1</v>
      </c>
      <c r="D47" s="951"/>
      <c r="E47" s="53">
        <f t="shared" si="8"/>
        <v>1</v>
      </c>
      <c r="F47" s="951"/>
      <c r="G47" s="53">
        <f t="shared" si="9"/>
        <v>1</v>
      </c>
      <c r="H47" s="951"/>
      <c r="I47" s="53">
        <f t="shared" si="10"/>
        <v>1</v>
      </c>
      <c r="J47" s="951"/>
      <c r="K47" s="53">
        <f t="shared" si="11"/>
        <v>1</v>
      </c>
      <c r="L47" s="951"/>
      <c r="M47" s="53">
        <f t="shared" si="12"/>
        <v>1</v>
      </c>
      <c r="N47" s="951"/>
      <c r="O47" s="53">
        <f t="shared" si="13"/>
        <v>1</v>
      </c>
      <c r="P47" s="951"/>
      <c r="Q47" s="53">
        <f t="shared" si="14"/>
        <v>1</v>
      </c>
      <c r="R47" s="484">
        <f t="shared" si="15"/>
        <v>0</v>
      </c>
      <c r="S47" s="789">
        <f t="shared" si="6"/>
        <v>0</v>
      </c>
    </row>
    <row r="48" spans="1:19">
      <c r="A48" s="953"/>
      <c r="B48" s="136"/>
      <c r="C48" s="53">
        <f t="shared" si="7"/>
        <v>1</v>
      </c>
      <c r="D48" s="951"/>
      <c r="E48" s="53">
        <f t="shared" si="8"/>
        <v>1</v>
      </c>
      <c r="F48" s="951"/>
      <c r="G48" s="53">
        <f t="shared" si="9"/>
        <v>1</v>
      </c>
      <c r="H48" s="951"/>
      <c r="I48" s="53">
        <f t="shared" si="10"/>
        <v>1</v>
      </c>
      <c r="J48" s="951"/>
      <c r="K48" s="53">
        <f t="shared" si="11"/>
        <v>1</v>
      </c>
      <c r="L48" s="951"/>
      <c r="M48" s="53">
        <f t="shared" si="12"/>
        <v>1</v>
      </c>
      <c r="N48" s="951"/>
      <c r="O48" s="53">
        <f t="shared" si="13"/>
        <v>1</v>
      </c>
      <c r="P48" s="951"/>
      <c r="Q48" s="53">
        <f t="shared" si="14"/>
        <v>1</v>
      </c>
      <c r="R48" s="484">
        <f t="shared" si="15"/>
        <v>0</v>
      </c>
      <c r="S48" s="789">
        <f t="shared" si="6"/>
        <v>0</v>
      </c>
    </row>
    <row r="49" spans="1:19">
      <c r="A49" s="953"/>
      <c r="B49" s="136"/>
      <c r="C49" s="53">
        <f t="shared" si="7"/>
        <v>1</v>
      </c>
      <c r="D49" s="951"/>
      <c r="E49" s="53">
        <f t="shared" si="8"/>
        <v>1</v>
      </c>
      <c r="F49" s="951"/>
      <c r="G49" s="53">
        <f t="shared" si="9"/>
        <v>1</v>
      </c>
      <c r="H49" s="951"/>
      <c r="I49" s="53">
        <f t="shared" si="10"/>
        <v>1</v>
      </c>
      <c r="J49" s="951"/>
      <c r="K49" s="53">
        <f t="shared" si="11"/>
        <v>1</v>
      </c>
      <c r="L49" s="951"/>
      <c r="M49" s="53">
        <f t="shared" si="12"/>
        <v>1</v>
      </c>
      <c r="N49" s="951"/>
      <c r="O49" s="53">
        <f t="shared" si="13"/>
        <v>1</v>
      </c>
      <c r="P49" s="951"/>
      <c r="Q49" s="53">
        <f t="shared" si="14"/>
        <v>1</v>
      </c>
      <c r="R49" s="484">
        <f t="shared" si="15"/>
        <v>0</v>
      </c>
      <c r="S49" s="789">
        <f t="shared" si="6"/>
        <v>0</v>
      </c>
    </row>
    <row r="50" spans="1:19">
      <c r="A50" s="953"/>
      <c r="B50" s="136"/>
      <c r="C50" s="53">
        <f t="shared" si="7"/>
        <v>1</v>
      </c>
      <c r="D50" s="951"/>
      <c r="E50" s="53">
        <f t="shared" si="8"/>
        <v>1</v>
      </c>
      <c r="F50" s="951"/>
      <c r="G50" s="53">
        <f t="shared" si="9"/>
        <v>1</v>
      </c>
      <c r="H50" s="951"/>
      <c r="I50" s="53">
        <f t="shared" si="10"/>
        <v>1</v>
      </c>
      <c r="J50" s="951"/>
      <c r="K50" s="53">
        <f t="shared" si="11"/>
        <v>1</v>
      </c>
      <c r="L50" s="951"/>
      <c r="M50" s="53">
        <f t="shared" si="12"/>
        <v>1</v>
      </c>
      <c r="N50" s="951"/>
      <c r="O50" s="53">
        <f t="shared" si="13"/>
        <v>1</v>
      </c>
      <c r="P50" s="951"/>
      <c r="Q50" s="53">
        <f t="shared" si="14"/>
        <v>1</v>
      </c>
      <c r="R50" s="484">
        <f t="shared" si="15"/>
        <v>0</v>
      </c>
      <c r="S50" s="789">
        <f t="shared" si="6"/>
        <v>0</v>
      </c>
    </row>
    <row r="51" spans="1:19">
      <c r="A51" s="953"/>
      <c r="B51" s="136"/>
      <c r="C51" s="53">
        <f t="shared" si="7"/>
        <v>1</v>
      </c>
      <c r="D51" s="951"/>
      <c r="E51" s="53">
        <f t="shared" si="8"/>
        <v>1</v>
      </c>
      <c r="F51" s="951"/>
      <c r="G51" s="53">
        <f t="shared" si="9"/>
        <v>1</v>
      </c>
      <c r="H51" s="951"/>
      <c r="I51" s="53">
        <f t="shared" si="10"/>
        <v>1</v>
      </c>
      <c r="J51" s="951"/>
      <c r="K51" s="53">
        <f t="shared" si="11"/>
        <v>1</v>
      </c>
      <c r="L51" s="951"/>
      <c r="M51" s="53">
        <f t="shared" si="12"/>
        <v>1</v>
      </c>
      <c r="N51" s="951"/>
      <c r="O51" s="53">
        <f t="shared" si="13"/>
        <v>1</v>
      </c>
      <c r="P51" s="951"/>
      <c r="Q51" s="53">
        <f t="shared" si="14"/>
        <v>1</v>
      </c>
      <c r="R51" s="484">
        <f t="shared" si="15"/>
        <v>0</v>
      </c>
      <c r="S51" s="789">
        <f t="shared" si="6"/>
        <v>0</v>
      </c>
    </row>
    <row r="52" spans="1:19">
      <c r="A52" s="953"/>
      <c r="B52" s="136"/>
      <c r="C52" s="53">
        <f t="shared" si="7"/>
        <v>1</v>
      </c>
      <c r="D52" s="951"/>
      <c r="E52" s="53">
        <f t="shared" si="8"/>
        <v>1</v>
      </c>
      <c r="F52" s="951"/>
      <c r="G52" s="53">
        <f t="shared" si="9"/>
        <v>1</v>
      </c>
      <c r="H52" s="951"/>
      <c r="I52" s="53">
        <f t="shared" si="10"/>
        <v>1</v>
      </c>
      <c r="J52" s="951"/>
      <c r="K52" s="53">
        <f t="shared" si="11"/>
        <v>1</v>
      </c>
      <c r="L52" s="951"/>
      <c r="M52" s="53">
        <f t="shared" si="12"/>
        <v>1</v>
      </c>
      <c r="N52" s="951"/>
      <c r="O52" s="53">
        <f t="shared" si="13"/>
        <v>1</v>
      </c>
      <c r="P52" s="951"/>
      <c r="Q52" s="53">
        <f t="shared" si="14"/>
        <v>1</v>
      </c>
      <c r="R52" s="484">
        <f t="shared" si="15"/>
        <v>0</v>
      </c>
      <c r="S52" s="789">
        <f t="shared" si="6"/>
        <v>0</v>
      </c>
    </row>
    <row r="53" spans="1:19">
      <c r="A53" s="953"/>
      <c r="B53" s="136"/>
      <c r="C53" s="53">
        <f t="shared" si="7"/>
        <v>1</v>
      </c>
      <c r="D53" s="951"/>
      <c r="E53" s="53">
        <f t="shared" si="8"/>
        <v>1</v>
      </c>
      <c r="F53" s="951"/>
      <c r="G53" s="53">
        <f t="shared" si="9"/>
        <v>1</v>
      </c>
      <c r="H53" s="951"/>
      <c r="I53" s="53">
        <f t="shared" si="10"/>
        <v>1</v>
      </c>
      <c r="J53" s="951"/>
      <c r="K53" s="53">
        <f t="shared" si="11"/>
        <v>1</v>
      </c>
      <c r="L53" s="951"/>
      <c r="M53" s="53">
        <f t="shared" si="12"/>
        <v>1</v>
      </c>
      <c r="N53" s="951"/>
      <c r="O53" s="53">
        <f t="shared" si="13"/>
        <v>1</v>
      </c>
      <c r="P53" s="951"/>
      <c r="Q53" s="53">
        <f t="shared" si="14"/>
        <v>1</v>
      </c>
      <c r="R53" s="484">
        <f t="shared" si="15"/>
        <v>0</v>
      </c>
      <c r="S53" s="789">
        <f t="shared" si="6"/>
        <v>0</v>
      </c>
    </row>
    <row r="54" spans="1:19">
      <c r="A54" s="953"/>
      <c r="B54" s="136"/>
      <c r="C54" s="53">
        <f t="shared" si="7"/>
        <v>1</v>
      </c>
      <c r="D54" s="951"/>
      <c r="E54" s="53">
        <f t="shared" si="8"/>
        <v>1</v>
      </c>
      <c r="F54" s="951"/>
      <c r="G54" s="53">
        <f t="shared" si="9"/>
        <v>1</v>
      </c>
      <c r="H54" s="951"/>
      <c r="I54" s="53">
        <f t="shared" si="10"/>
        <v>1</v>
      </c>
      <c r="J54" s="951"/>
      <c r="K54" s="53">
        <f t="shared" si="11"/>
        <v>1</v>
      </c>
      <c r="L54" s="951"/>
      <c r="M54" s="53">
        <f t="shared" si="12"/>
        <v>1</v>
      </c>
      <c r="N54" s="951"/>
      <c r="O54" s="53">
        <f t="shared" si="13"/>
        <v>1</v>
      </c>
      <c r="P54" s="951"/>
      <c r="Q54" s="53">
        <f t="shared" si="14"/>
        <v>1</v>
      </c>
      <c r="R54" s="484">
        <f t="shared" si="15"/>
        <v>0</v>
      </c>
      <c r="S54" s="789">
        <f t="shared" si="6"/>
        <v>0</v>
      </c>
    </row>
    <row r="55" spans="1:19">
      <c r="A55" s="953"/>
      <c r="B55" s="136"/>
      <c r="C55" s="53">
        <f t="shared" si="7"/>
        <v>1</v>
      </c>
      <c r="D55" s="951"/>
      <c r="E55" s="53">
        <f t="shared" si="8"/>
        <v>1</v>
      </c>
      <c r="F55" s="951"/>
      <c r="G55" s="53">
        <f t="shared" si="9"/>
        <v>1</v>
      </c>
      <c r="H55" s="951"/>
      <c r="I55" s="53">
        <f t="shared" si="10"/>
        <v>1</v>
      </c>
      <c r="J55" s="951"/>
      <c r="K55" s="53">
        <f t="shared" si="11"/>
        <v>1</v>
      </c>
      <c r="L55" s="951"/>
      <c r="M55" s="53">
        <f t="shared" si="12"/>
        <v>1</v>
      </c>
      <c r="N55" s="951"/>
      <c r="O55" s="53">
        <f t="shared" si="13"/>
        <v>1</v>
      </c>
      <c r="P55" s="951"/>
      <c r="Q55" s="53">
        <f t="shared" si="14"/>
        <v>1</v>
      </c>
      <c r="R55" s="484">
        <f t="shared" si="15"/>
        <v>0</v>
      </c>
      <c r="S55" s="789">
        <f t="shared" ref="S55:S77" si="16">ROUND(R55*B55/10000,0)</f>
        <v>0</v>
      </c>
    </row>
    <row r="56" spans="1:19">
      <c r="A56" s="953"/>
      <c r="B56" s="136"/>
      <c r="C56" s="53">
        <f t="shared" si="7"/>
        <v>1</v>
      </c>
      <c r="D56" s="951"/>
      <c r="E56" s="53">
        <f t="shared" si="8"/>
        <v>1</v>
      </c>
      <c r="F56" s="951"/>
      <c r="G56" s="53">
        <f t="shared" si="9"/>
        <v>1</v>
      </c>
      <c r="H56" s="951"/>
      <c r="I56" s="53">
        <f t="shared" si="10"/>
        <v>1</v>
      </c>
      <c r="J56" s="951"/>
      <c r="K56" s="53">
        <f t="shared" si="11"/>
        <v>1</v>
      </c>
      <c r="L56" s="951"/>
      <c r="M56" s="53">
        <f t="shared" si="12"/>
        <v>1</v>
      </c>
      <c r="N56" s="951"/>
      <c r="O56" s="53">
        <f t="shared" si="13"/>
        <v>1</v>
      </c>
      <c r="P56" s="951"/>
      <c r="Q56" s="53">
        <f t="shared" si="14"/>
        <v>1</v>
      </c>
      <c r="R56" s="484">
        <f t="shared" si="15"/>
        <v>0</v>
      </c>
      <c r="S56" s="789">
        <f t="shared" si="16"/>
        <v>0</v>
      </c>
    </row>
    <row r="57" spans="1:19">
      <c r="A57" s="953"/>
      <c r="B57" s="136"/>
      <c r="C57" s="53">
        <f t="shared" si="7"/>
        <v>1</v>
      </c>
      <c r="D57" s="951"/>
      <c r="E57" s="53">
        <f t="shared" si="8"/>
        <v>1</v>
      </c>
      <c r="F57" s="951"/>
      <c r="G57" s="53">
        <f t="shared" si="9"/>
        <v>1</v>
      </c>
      <c r="H57" s="951"/>
      <c r="I57" s="53">
        <f t="shared" si="10"/>
        <v>1</v>
      </c>
      <c r="J57" s="951"/>
      <c r="K57" s="53">
        <f t="shared" si="11"/>
        <v>1</v>
      </c>
      <c r="L57" s="951"/>
      <c r="M57" s="53">
        <f t="shared" si="12"/>
        <v>1</v>
      </c>
      <c r="N57" s="951"/>
      <c r="O57" s="53">
        <f t="shared" si="13"/>
        <v>1</v>
      </c>
      <c r="P57" s="951"/>
      <c r="Q57" s="53">
        <f t="shared" si="14"/>
        <v>1</v>
      </c>
      <c r="R57" s="484">
        <f t="shared" si="15"/>
        <v>0</v>
      </c>
      <c r="S57" s="789">
        <f t="shared" si="16"/>
        <v>0</v>
      </c>
    </row>
    <row r="58" spans="1:19">
      <c r="A58" s="953"/>
      <c r="B58" s="136"/>
      <c r="C58" s="53">
        <f t="shared" si="7"/>
        <v>1</v>
      </c>
      <c r="D58" s="951"/>
      <c r="E58" s="53">
        <f t="shared" si="8"/>
        <v>1</v>
      </c>
      <c r="F58" s="951"/>
      <c r="G58" s="53">
        <f t="shared" si="9"/>
        <v>1</v>
      </c>
      <c r="H58" s="951"/>
      <c r="I58" s="53">
        <f t="shared" si="10"/>
        <v>1</v>
      </c>
      <c r="J58" s="951"/>
      <c r="K58" s="53">
        <f t="shared" si="11"/>
        <v>1</v>
      </c>
      <c r="L58" s="951"/>
      <c r="M58" s="53">
        <f t="shared" si="12"/>
        <v>1</v>
      </c>
      <c r="N58" s="951"/>
      <c r="O58" s="53">
        <f t="shared" si="13"/>
        <v>1</v>
      </c>
      <c r="P58" s="951"/>
      <c r="Q58" s="53">
        <f t="shared" si="14"/>
        <v>1</v>
      </c>
      <c r="R58" s="484">
        <f t="shared" si="15"/>
        <v>0</v>
      </c>
      <c r="S58" s="789">
        <f t="shared" si="16"/>
        <v>0</v>
      </c>
    </row>
    <row r="59" spans="1:19">
      <c r="A59" s="953"/>
      <c r="B59" s="136"/>
      <c r="C59" s="53">
        <f t="shared" si="7"/>
        <v>1</v>
      </c>
      <c r="D59" s="951"/>
      <c r="E59" s="53">
        <f t="shared" si="8"/>
        <v>1</v>
      </c>
      <c r="F59" s="951"/>
      <c r="G59" s="53">
        <f t="shared" si="9"/>
        <v>1</v>
      </c>
      <c r="H59" s="951"/>
      <c r="I59" s="53">
        <f t="shared" si="10"/>
        <v>1</v>
      </c>
      <c r="J59" s="951"/>
      <c r="K59" s="53">
        <f t="shared" si="11"/>
        <v>1</v>
      </c>
      <c r="L59" s="951"/>
      <c r="M59" s="53">
        <f t="shared" si="12"/>
        <v>1</v>
      </c>
      <c r="N59" s="951"/>
      <c r="O59" s="53">
        <f t="shared" si="13"/>
        <v>1</v>
      </c>
      <c r="P59" s="951"/>
      <c r="Q59" s="53">
        <f t="shared" si="14"/>
        <v>1</v>
      </c>
      <c r="R59" s="484">
        <f t="shared" si="15"/>
        <v>0</v>
      </c>
      <c r="S59" s="789">
        <f t="shared" si="16"/>
        <v>0</v>
      </c>
    </row>
    <row r="60" spans="1:19">
      <c r="A60" s="953"/>
      <c r="B60" s="136"/>
      <c r="C60" s="53">
        <f t="shared" si="7"/>
        <v>1</v>
      </c>
      <c r="D60" s="951"/>
      <c r="E60" s="53">
        <f t="shared" si="8"/>
        <v>1</v>
      </c>
      <c r="F60" s="951"/>
      <c r="G60" s="53">
        <f t="shared" si="9"/>
        <v>1</v>
      </c>
      <c r="H60" s="951"/>
      <c r="I60" s="53">
        <f t="shared" si="10"/>
        <v>1</v>
      </c>
      <c r="J60" s="951"/>
      <c r="K60" s="53">
        <f t="shared" si="11"/>
        <v>1</v>
      </c>
      <c r="L60" s="951"/>
      <c r="M60" s="53">
        <f t="shared" si="12"/>
        <v>1</v>
      </c>
      <c r="N60" s="951"/>
      <c r="O60" s="53">
        <f t="shared" si="13"/>
        <v>1</v>
      </c>
      <c r="P60" s="951"/>
      <c r="Q60" s="53">
        <f t="shared" si="14"/>
        <v>1</v>
      </c>
      <c r="R60" s="484">
        <f t="shared" si="15"/>
        <v>0</v>
      </c>
      <c r="S60" s="789">
        <f t="shared" si="16"/>
        <v>0</v>
      </c>
    </row>
    <row r="61" spans="1:19">
      <c r="A61" s="953"/>
      <c r="B61" s="136"/>
      <c r="C61" s="53">
        <f t="shared" si="7"/>
        <v>1</v>
      </c>
      <c r="D61" s="951"/>
      <c r="E61" s="53">
        <f t="shared" si="8"/>
        <v>1</v>
      </c>
      <c r="F61" s="951"/>
      <c r="G61" s="53">
        <f t="shared" si="9"/>
        <v>1</v>
      </c>
      <c r="H61" s="951"/>
      <c r="I61" s="53">
        <f t="shared" si="10"/>
        <v>1</v>
      </c>
      <c r="J61" s="951"/>
      <c r="K61" s="53">
        <f t="shared" si="11"/>
        <v>1</v>
      </c>
      <c r="L61" s="951"/>
      <c r="M61" s="53">
        <f t="shared" si="12"/>
        <v>1</v>
      </c>
      <c r="N61" s="951"/>
      <c r="O61" s="53">
        <f t="shared" si="13"/>
        <v>1</v>
      </c>
      <c r="P61" s="951"/>
      <c r="Q61" s="53">
        <f t="shared" si="14"/>
        <v>1</v>
      </c>
      <c r="R61" s="484">
        <f t="shared" si="15"/>
        <v>0</v>
      </c>
      <c r="S61" s="789">
        <f t="shared" si="16"/>
        <v>0</v>
      </c>
    </row>
    <row r="62" spans="1:19">
      <c r="A62" s="953"/>
      <c r="B62" s="136"/>
      <c r="C62" s="53">
        <f t="shared" si="7"/>
        <v>1</v>
      </c>
      <c r="D62" s="951"/>
      <c r="E62" s="53">
        <f t="shared" si="8"/>
        <v>1</v>
      </c>
      <c r="F62" s="951"/>
      <c r="G62" s="53">
        <f t="shared" si="9"/>
        <v>1</v>
      </c>
      <c r="H62" s="951"/>
      <c r="I62" s="53">
        <f t="shared" si="10"/>
        <v>1</v>
      </c>
      <c r="J62" s="951"/>
      <c r="K62" s="53">
        <f t="shared" si="11"/>
        <v>1</v>
      </c>
      <c r="L62" s="951"/>
      <c r="M62" s="53">
        <f t="shared" si="12"/>
        <v>1</v>
      </c>
      <c r="N62" s="951"/>
      <c r="O62" s="53">
        <f t="shared" si="13"/>
        <v>1</v>
      </c>
      <c r="P62" s="951"/>
      <c r="Q62" s="53">
        <f t="shared" si="14"/>
        <v>1</v>
      </c>
      <c r="R62" s="484">
        <f t="shared" si="15"/>
        <v>0</v>
      </c>
      <c r="S62" s="789">
        <f t="shared" si="16"/>
        <v>0</v>
      </c>
    </row>
    <row r="63" spans="1:19">
      <c r="A63" s="953"/>
      <c r="B63" s="136"/>
      <c r="C63" s="53">
        <f t="shared" si="7"/>
        <v>1</v>
      </c>
      <c r="D63" s="951"/>
      <c r="E63" s="53">
        <f t="shared" si="8"/>
        <v>1</v>
      </c>
      <c r="F63" s="951"/>
      <c r="G63" s="53">
        <f t="shared" si="9"/>
        <v>1</v>
      </c>
      <c r="H63" s="951"/>
      <c r="I63" s="53">
        <f t="shared" si="10"/>
        <v>1</v>
      </c>
      <c r="J63" s="951"/>
      <c r="K63" s="53">
        <f t="shared" si="11"/>
        <v>1</v>
      </c>
      <c r="L63" s="951"/>
      <c r="M63" s="53">
        <f t="shared" si="12"/>
        <v>1</v>
      </c>
      <c r="N63" s="951"/>
      <c r="O63" s="53">
        <f t="shared" si="13"/>
        <v>1</v>
      </c>
      <c r="P63" s="951"/>
      <c r="Q63" s="53">
        <f t="shared" si="14"/>
        <v>1</v>
      </c>
      <c r="R63" s="484">
        <f t="shared" si="15"/>
        <v>0</v>
      </c>
      <c r="S63" s="789">
        <f t="shared" si="16"/>
        <v>0</v>
      </c>
    </row>
    <row r="64" spans="1:19">
      <c r="A64" s="953"/>
      <c r="B64" s="136"/>
      <c r="C64" s="53">
        <f t="shared" si="7"/>
        <v>1</v>
      </c>
      <c r="D64" s="951"/>
      <c r="E64" s="53">
        <f t="shared" si="8"/>
        <v>1</v>
      </c>
      <c r="F64" s="951"/>
      <c r="G64" s="53">
        <f t="shared" si="9"/>
        <v>1</v>
      </c>
      <c r="H64" s="951"/>
      <c r="I64" s="53">
        <f t="shared" si="10"/>
        <v>1</v>
      </c>
      <c r="J64" s="951"/>
      <c r="K64" s="53">
        <f t="shared" si="11"/>
        <v>1</v>
      </c>
      <c r="L64" s="951"/>
      <c r="M64" s="53">
        <f t="shared" si="12"/>
        <v>1</v>
      </c>
      <c r="N64" s="951"/>
      <c r="O64" s="53">
        <f t="shared" si="13"/>
        <v>1</v>
      </c>
      <c r="P64" s="951"/>
      <c r="Q64" s="53">
        <f t="shared" si="14"/>
        <v>1</v>
      </c>
      <c r="R64" s="484">
        <f t="shared" si="15"/>
        <v>0</v>
      </c>
      <c r="S64" s="789">
        <f t="shared" si="16"/>
        <v>0</v>
      </c>
    </row>
    <row r="65" spans="1:19">
      <c r="A65" s="953"/>
      <c r="B65" s="136"/>
      <c r="C65" s="53">
        <f t="shared" si="7"/>
        <v>1</v>
      </c>
      <c r="D65" s="951"/>
      <c r="E65" s="53">
        <f t="shared" si="8"/>
        <v>1</v>
      </c>
      <c r="F65" s="951"/>
      <c r="G65" s="53">
        <f t="shared" si="9"/>
        <v>1</v>
      </c>
      <c r="H65" s="951"/>
      <c r="I65" s="53">
        <f t="shared" si="10"/>
        <v>1</v>
      </c>
      <c r="J65" s="951"/>
      <c r="K65" s="53">
        <f t="shared" si="11"/>
        <v>1</v>
      </c>
      <c r="L65" s="951"/>
      <c r="M65" s="53">
        <f t="shared" si="12"/>
        <v>1</v>
      </c>
      <c r="N65" s="951"/>
      <c r="O65" s="53">
        <f t="shared" si="13"/>
        <v>1</v>
      </c>
      <c r="P65" s="951"/>
      <c r="Q65" s="53">
        <f t="shared" si="14"/>
        <v>1</v>
      </c>
      <c r="R65" s="484">
        <f t="shared" si="15"/>
        <v>0</v>
      </c>
      <c r="S65" s="789">
        <f t="shared" si="16"/>
        <v>0</v>
      </c>
    </row>
    <row r="66" spans="1:19">
      <c r="A66" s="953"/>
      <c r="B66" s="136"/>
      <c r="C66" s="53">
        <f t="shared" si="7"/>
        <v>1</v>
      </c>
      <c r="D66" s="951"/>
      <c r="E66" s="53">
        <f t="shared" si="8"/>
        <v>1</v>
      </c>
      <c r="F66" s="951"/>
      <c r="G66" s="53">
        <f t="shared" si="9"/>
        <v>1</v>
      </c>
      <c r="H66" s="951"/>
      <c r="I66" s="53">
        <f t="shared" si="10"/>
        <v>1</v>
      </c>
      <c r="J66" s="951"/>
      <c r="K66" s="53">
        <f t="shared" si="11"/>
        <v>1</v>
      </c>
      <c r="L66" s="951"/>
      <c r="M66" s="53">
        <f t="shared" si="12"/>
        <v>1</v>
      </c>
      <c r="N66" s="951"/>
      <c r="O66" s="53">
        <f t="shared" si="13"/>
        <v>1</v>
      </c>
      <c r="P66" s="951"/>
      <c r="Q66" s="53">
        <f t="shared" si="14"/>
        <v>1</v>
      </c>
      <c r="R66" s="484">
        <f t="shared" si="15"/>
        <v>0</v>
      </c>
      <c r="S66" s="789">
        <f t="shared" si="16"/>
        <v>0</v>
      </c>
    </row>
    <row r="67" spans="1:19">
      <c r="A67" s="953"/>
      <c r="B67" s="136"/>
      <c r="C67" s="53">
        <f t="shared" si="7"/>
        <v>1</v>
      </c>
      <c r="D67" s="951"/>
      <c r="E67" s="53">
        <f t="shared" si="8"/>
        <v>1</v>
      </c>
      <c r="F67" s="951"/>
      <c r="G67" s="53">
        <f t="shared" si="9"/>
        <v>1</v>
      </c>
      <c r="H67" s="951"/>
      <c r="I67" s="53">
        <f t="shared" si="10"/>
        <v>1</v>
      </c>
      <c r="J67" s="951"/>
      <c r="K67" s="53">
        <f t="shared" si="11"/>
        <v>1</v>
      </c>
      <c r="L67" s="951"/>
      <c r="M67" s="53">
        <f t="shared" si="12"/>
        <v>1</v>
      </c>
      <c r="N67" s="951"/>
      <c r="O67" s="53">
        <f t="shared" si="13"/>
        <v>1</v>
      </c>
      <c r="P67" s="951"/>
      <c r="Q67" s="53">
        <f t="shared" si="14"/>
        <v>1</v>
      </c>
      <c r="R67" s="484">
        <f t="shared" si="15"/>
        <v>0</v>
      </c>
      <c r="S67" s="789">
        <f t="shared" si="16"/>
        <v>0</v>
      </c>
    </row>
    <row r="68" spans="1:19">
      <c r="A68" s="953"/>
      <c r="B68" s="136"/>
      <c r="C68" s="53">
        <f t="shared" si="7"/>
        <v>1</v>
      </c>
      <c r="D68" s="951"/>
      <c r="E68" s="53">
        <f t="shared" si="8"/>
        <v>1</v>
      </c>
      <c r="F68" s="951"/>
      <c r="G68" s="53">
        <f t="shared" si="9"/>
        <v>1</v>
      </c>
      <c r="H68" s="951"/>
      <c r="I68" s="53">
        <f t="shared" si="10"/>
        <v>1</v>
      </c>
      <c r="J68" s="951"/>
      <c r="K68" s="53">
        <f t="shared" si="11"/>
        <v>1</v>
      </c>
      <c r="L68" s="951"/>
      <c r="M68" s="53">
        <f t="shared" si="12"/>
        <v>1</v>
      </c>
      <c r="N68" s="951"/>
      <c r="O68" s="53">
        <f t="shared" si="13"/>
        <v>1</v>
      </c>
      <c r="P68" s="951"/>
      <c r="Q68" s="53">
        <f t="shared" si="14"/>
        <v>1</v>
      </c>
      <c r="R68" s="484">
        <f t="shared" si="15"/>
        <v>0</v>
      </c>
      <c r="S68" s="789">
        <f t="shared" si="16"/>
        <v>0</v>
      </c>
    </row>
    <row r="69" spans="1:19">
      <c r="A69" s="953"/>
      <c r="B69" s="136"/>
      <c r="C69" s="53">
        <f t="shared" si="7"/>
        <v>1</v>
      </c>
      <c r="D69" s="951"/>
      <c r="E69" s="53">
        <f t="shared" si="8"/>
        <v>1</v>
      </c>
      <c r="F69" s="951"/>
      <c r="G69" s="53">
        <f t="shared" si="9"/>
        <v>1</v>
      </c>
      <c r="H69" s="951"/>
      <c r="I69" s="53">
        <f t="shared" si="10"/>
        <v>1</v>
      </c>
      <c r="J69" s="951"/>
      <c r="K69" s="53">
        <f t="shared" si="11"/>
        <v>1</v>
      </c>
      <c r="L69" s="951"/>
      <c r="M69" s="53">
        <f t="shared" si="12"/>
        <v>1</v>
      </c>
      <c r="N69" s="951"/>
      <c r="O69" s="53">
        <f t="shared" si="13"/>
        <v>1</v>
      </c>
      <c r="P69" s="951"/>
      <c r="Q69" s="53">
        <f t="shared" si="14"/>
        <v>1</v>
      </c>
      <c r="R69" s="484">
        <f t="shared" si="15"/>
        <v>0</v>
      </c>
      <c r="S69" s="789">
        <f t="shared" si="16"/>
        <v>0</v>
      </c>
    </row>
    <row r="70" spans="1:19">
      <c r="A70" s="953"/>
      <c r="B70" s="136"/>
      <c r="C70" s="53">
        <f t="shared" si="7"/>
        <v>1</v>
      </c>
      <c r="D70" s="951"/>
      <c r="E70" s="53">
        <f t="shared" si="8"/>
        <v>1</v>
      </c>
      <c r="F70" s="951"/>
      <c r="G70" s="53">
        <f t="shared" si="9"/>
        <v>1</v>
      </c>
      <c r="H70" s="951"/>
      <c r="I70" s="53">
        <f t="shared" si="10"/>
        <v>1</v>
      </c>
      <c r="J70" s="951"/>
      <c r="K70" s="53">
        <f t="shared" si="11"/>
        <v>1</v>
      </c>
      <c r="L70" s="951"/>
      <c r="M70" s="53">
        <f t="shared" si="12"/>
        <v>1</v>
      </c>
      <c r="N70" s="951"/>
      <c r="O70" s="53">
        <f t="shared" si="13"/>
        <v>1</v>
      </c>
      <c r="P70" s="951"/>
      <c r="Q70" s="53">
        <f t="shared" si="14"/>
        <v>1</v>
      </c>
      <c r="R70" s="484">
        <f t="shared" si="15"/>
        <v>0</v>
      </c>
      <c r="S70" s="789">
        <f t="shared" si="16"/>
        <v>0</v>
      </c>
    </row>
    <row r="71" spans="1:19">
      <c r="A71" s="953"/>
      <c r="B71" s="136"/>
      <c r="C71" s="53">
        <f t="shared" si="7"/>
        <v>1</v>
      </c>
      <c r="D71" s="951"/>
      <c r="E71" s="53">
        <f t="shared" si="8"/>
        <v>1</v>
      </c>
      <c r="F71" s="951"/>
      <c r="G71" s="53">
        <f t="shared" si="9"/>
        <v>1</v>
      </c>
      <c r="H71" s="951"/>
      <c r="I71" s="53">
        <f t="shared" si="10"/>
        <v>1</v>
      </c>
      <c r="J71" s="951"/>
      <c r="K71" s="53">
        <f t="shared" si="11"/>
        <v>1</v>
      </c>
      <c r="L71" s="951"/>
      <c r="M71" s="53">
        <f t="shared" si="12"/>
        <v>1</v>
      </c>
      <c r="N71" s="951"/>
      <c r="O71" s="53">
        <f t="shared" si="13"/>
        <v>1</v>
      </c>
      <c r="P71" s="951"/>
      <c r="Q71" s="53">
        <f t="shared" si="14"/>
        <v>1</v>
      </c>
      <c r="R71" s="484">
        <f t="shared" si="15"/>
        <v>0</v>
      </c>
      <c r="S71" s="789">
        <f t="shared" si="16"/>
        <v>0</v>
      </c>
    </row>
    <row r="72" spans="1:19">
      <c r="A72" s="953"/>
      <c r="B72" s="136"/>
      <c r="C72" s="53">
        <f t="shared" si="7"/>
        <v>1</v>
      </c>
      <c r="D72" s="951"/>
      <c r="E72" s="53">
        <f t="shared" si="8"/>
        <v>1</v>
      </c>
      <c r="F72" s="951"/>
      <c r="G72" s="53">
        <f t="shared" si="9"/>
        <v>1</v>
      </c>
      <c r="H72" s="951"/>
      <c r="I72" s="53">
        <f t="shared" si="10"/>
        <v>1</v>
      </c>
      <c r="J72" s="951"/>
      <c r="K72" s="53">
        <f t="shared" si="11"/>
        <v>1</v>
      </c>
      <c r="L72" s="951"/>
      <c r="M72" s="53">
        <f t="shared" si="12"/>
        <v>1</v>
      </c>
      <c r="N72" s="951"/>
      <c r="O72" s="53">
        <f t="shared" si="13"/>
        <v>1</v>
      </c>
      <c r="P72" s="951"/>
      <c r="Q72" s="53">
        <f t="shared" si="14"/>
        <v>1</v>
      </c>
      <c r="R72" s="484">
        <f t="shared" si="15"/>
        <v>0</v>
      </c>
      <c r="S72" s="789">
        <f t="shared" si="16"/>
        <v>0</v>
      </c>
    </row>
    <row r="73" spans="1:19">
      <c r="A73" s="953"/>
      <c r="B73" s="136"/>
      <c r="C73" s="53">
        <f t="shared" si="7"/>
        <v>1</v>
      </c>
      <c r="D73" s="951"/>
      <c r="E73" s="53">
        <f t="shared" si="8"/>
        <v>1</v>
      </c>
      <c r="F73" s="951"/>
      <c r="G73" s="53">
        <f t="shared" si="9"/>
        <v>1</v>
      </c>
      <c r="H73" s="951"/>
      <c r="I73" s="53">
        <f t="shared" si="10"/>
        <v>1</v>
      </c>
      <c r="J73" s="951"/>
      <c r="K73" s="53">
        <f t="shared" si="11"/>
        <v>1</v>
      </c>
      <c r="L73" s="951"/>
      <c r="M73" s="53">
        <f t="shared" si="12"/>
        <v>1</v>
      </c>
      <c r="N73" s="951"/>
      <c r="O73" s="53">
        <f t="shared" si="13"/>
        <v>1</v>
      </c>
      <c r="P73" s="951"/>
      <c r="Q73" s="53">
        <f t="shared" si="14"/>
        <v>1</v>
      </c>
      <c r="R73" s="484">
        <f t="shared" si="15"/>
        <v>0</v>
      </c>
      <c r="S73" s="789">
        <f t="shared" si="16"/>
        <v>0</v>
      </c>
    </row>
    <row r="74" spans="1:19">
      <c r="A74" s="953"/>
      <c r="B74" s="136"/>
      <c r="C74" s="53">
        <f t="shared" si="7"/>
        <v>1</v>
      </c>
      <c r="D74" s="951"/>
      <c r="E74" s="53">
        <f t="shared" si="8"/>
        <v>1</v>
      </c>
      <c r="F74" s="951"/>
      <c r="G74" s="53">
        <f t="shared" si="9"/>
        <v>1</v>
      </c>
      <c r="H74" s="951"/>
      <c r="I74" s="53">
        <f t="shared" si="10"/>
        <v>1</v>
      </c>
      <c r="J74" s="951"/>
      <c r="K74" s="53">
        <f t="shared" si="11"/>
        <v>1</v>
      </c>
      <c r="L74" s="951"/>
      <c r="M74" s="53">
        <f t="shared" si="12"/>
        <v>1</v>
      </c>
      <c r="N74" s="951"/>
      <c r="O74" s="53">
        <f t="shared" si="13"/>
        <v>1</v>
      </c>
      <c r="P74" s="951"/>
      <c r="Q74" s="53">
        <f t="shared" si="14"/>
        <v>1</v>
      </c>
      <c r="R74" s="484">
        <f t="shared" si="15"/>
        <v>0</v>
      </c>
      <c r="S74" s="789">
        <f t="shared" si="16"/>
        <v>0</v>
      </c>
    </row>
    <row r="75" spans="1:19">
      <c r="A75" s="953"/>
      <c r="B75" s="136"/>
      <c r="C75" s="53">
        <f t="shared" si="7"/>
        <v>1</v>
      </c>
      <c r="D75" s="951"/>
      <c r="E75" s="53">
        <f t="shared" si="8"/>
        <v>1</v>
      </c>
      <c r="F75" s="951"/>
      <c r="G75" s="53">
        <f t="shared" si="9"/>
        <v>1</v>
      </c>
      <c r="H75" s="951"/>
      <c r="I75" s="53">
        <f t="shared" si="10"/>
        <v>1</v>
      </c>
      <c r="J75" s="951"/>
      <c r="K75" s="53">
        <f t="shared" si="11"/>
        <v>1</v>
      </c>
      <c r="L75" s="951"/>
      <c r="M75" s="53">
        <f t="shared" si="12"/>
        <v>1</v>
      </c>
      <c r="N75" s="951"/>
      <c r="O75" s="53">
        <f t="shared" si="13"/>
        <v>1</v>
      </c>
      <c r="P75" s="951"/>
      <c r="Q75" s="53">
        <f t="shared" si="14"/>
        <v>1</v>
      </c>
      <c r="R75" s="484">
        <f t="shared" si="15"/>
        <v>0</v>
      </c>
      <c r="S75" s="789">
        <f t="shared" si="16"/>
        <v>0</v>
      </c>
    </row>
    <row r="76" spans="1:19">
      <c r="A76" s="953"/>
      <c r="B76" s="136"/>
      <c r="C76" s="53">
        <f t="shared" si="7"/>
        <v>1</v>
      </c>
      <c r="D76" s="951"/>
      <c r="E76" s="53">
        <f t="shared" si="8"/>
        <v>1</v>
      </c>
      <c r="F76" s="951"/>
      <c r="G76" s="53">
        <f t="shared" si="9"/>
        <v>1</v>
      </c>
      <c r="H76" s="951"/>
      <c r="I76" s="53">
        <f t="shared" si="10"/>
        <v>1</v>
      </c>
      <c r="J76" s="951"/>
      <c r="K76" s="53">
        <f t="shared" si="11"/>
        <v>1</v>
      </c>
      <c r="L76" s="951"/>
      <c r="M76" s="53">
        <f t="shared" si="12"/>
        <v>1</v>
      </c>
      <c r="N76" s="951"/>
      <c r="O76" s="53">
        <f t="shared" si="13"/>
        <v>1</v>
      </c>
      <c r="P76" s="951"/>
      <c r="Q76" s="53">
        <f t="shared" si="14"/>
        <v>1</v>
      </c>
      <c r="R76" s="484">
        <f t="shared" si="15"/>
        <v>0</v>
      </c>
      <c r="S76" s="789">
        <f t="shared" si="16"/>
        <v>0</v>
      </c>
    </row>
    <row r="77" spans="1:19">
      <c r="A77" s="953"/>
      <c r="B77" s="136"/>
      <c r="C77" s="53">
        <f t="shared" si="7"/>
        <v>1</v>
      </c>
      <c r="D77" s="951"/>
      <c r="E77" s="53">
        <f t="shared" si="8"/>
        <v>1</v>
      </c>
      <c r="F77" s="951"/>
      <c r="G77" s="53">
        <f t="shared" si="9"/>
        <v>1</v>
      </c>
      <c r="H77" s="951"/>
      <c r="I77" s="53">
        <f t="shared" si="10"/>
        <v>1</v>
      </c>
      <c r="J77" s="951"/>
      <c r="K77" s="53">
        <f t="shared" si="11"/>
        <v>1</v>
      </c>
      <c r="L77" s="951"/>
      <c r="M77" s="53">
        <f t="shared" si="12"/>
        <v>1</v>
      </c>
      <c r="N77" s="951"/>
      <c r="O77" s="53">
        <f t="shared" si="13"/>
        <v>1</v>
      </c>
      <c r="P77" s="951"/>
      <c r="Q77" s="53">
        <f t="shared" si="14"/>
        <v>1</v>
      </c>
      <c r="R77" s="484">
        <f t="shared" si="15"/>
        <v>0</v>
      </c>
      <c r="S77" s="789">
        <f t="shared" si="16"/>
        <v>0</v>
      </c>
    </row>
    <row r="78" spans="1:19">
      <c r="A78" s="953"/>
      <c r="B78" s="136"/>
      <c r="C78" s="53">
        <f t="shared" si="7"/>
        <v>1</v>
      </c>
      <c r="D78" s="951"/>
      <c r="E78" s="53">
        <f t="shared" si="8"/>
        <v>1</v>
      </c>
      <c r="F78" s="951"/>
      <c r="G78" s="53">
        <f t="shared" si="9"/>
        <v>1</v>
      </c>
      <c r="H78" s="951"/>
      <c r="I78" s="53">
        <f t="shared" si="10"/>
        <v>1</v>
      </c>
      <c r="J78" s="951"/>
      <c r="K78" s="53">
        <f t="shared" si="11"/>
        <v>1</v>
      </c>
      <c r="L78" s="951"/>
      <c r="M78" s="53">
        <f t="shared" si="12"/>
        <v>1</v>
      </c>
      <c r="N78" s="951"/>
      <c r="O78" s="53">
        <f t="shared" si="13"/>
        <v>1</v>
      </c>
      <c r="P78" s="951"/>
      <c r="Q78" s="53">
        <f t="shared" si="14"/>
        <v>1</v>
      </c>
      <c r="R78" s="484">
        <f t="shared" si="15"/>
        <v>0</v>
      </c>
      <c r="S78" s="789">
        <f t="shared" ref="S78:S122" si="17">ROUND(R78*B78/10000,0)</f>
        <v>0</v>
      </c>
    </row>
    <row r="79" spans="1:19">
      <c r="A79" s="953"/>
      <c r="B79" s="136"/>
      <c r="C79" s="53">
        <f t="shared" si="7"/>
        <v>1</v>
      </c>
      <c r="D79" s="951"/>
      <c r="E79" s="53">
        <f t="shared" si="8"/>
        <v>1</v>
      </c>
      <c r="F79" s="951"/>
      <c r="G79" s="53">
        <f t="shared" si="9"/>
        <v>1</v>
      </c>
      <c r="H79" s="951"/>
      <c r="I79" s="53">
        <f t="shared" si="10"/>
        <v>1</v>
      </c>
      <c r="J79" s="951"/>
      <c r="K79" s="53">
        <f t="shared" si="11"/>
        <v>1</v>
      </c>
      <c r="L79" s="951"/>
      <c r="M79" s="53">
        <f t="shared" si="12"/>
        <v>1</v>
      </c>
      <c r="N79" s="951"/>
      <c r="O79" s="53">
        <f t="shared" si="13"/>
        <v>1</v>
      </c>
      <c r="P79" s="951"/>
      <c r="Q79" s="53">
        <f t="shared" si="14"/>
        <v>1</v>
      </c>
      <c r="R79" s="484">
        <f t="shared" si="15"/>
        <v>0</v>
      </c>
      <c r="S79" s="789">
        <f t="shared" si="17"/>
        <v>0</v>
      </c>
    </row>
    <row r="80" spans="1:19">
      <c r="A80" s="953"/>
      <c r="B80" s="136"/>
      <c r="C80" s="53">
        <f t="shared" si="7"/>
        <v>1</v>
      </c>
      <c r="D80" s="951"/>
      <c r="E80" s="53">
        <f t="shared" si="8"/>
        <v>1</v>
      </c>
      <c r="F80" s="951"/>
      <c r="G80" s="53">
        <f t="shared" si="9"/>
        <v>1</v>
      </c>
      <c r="H80" s="951"/>
      <c r="I80" s="53">
        <f t="shared" si="10"/>
        <v>1</v>
      </c>
      <c r="J80" s="951"/>
      <c r="K80" s="53">
        <f t="shared" si="11"/>
        <v>1</v>
      </c>
      <c r="L80" s="951"/>
      <c r="M80" s="53">
        <f t="shared" si="12"/>
        <v>1</v>
      </c>
      <c r="N80" s="951"/>
      <c r="O80" s="53">
        <f t="shared" si="13"/>
        <v>1</v>
      </c>
      <c r="P80" s="951"/>
      <c r="Q80" s="53">
        <f t="shared" si="14"/>
        <v>1</v>
      </c>
      <c r="R80" s="484">
        <f t="shared" si="15"/>
        <v>0</v>
      </c>
      <c r="S80" s="789">
        <f t="shared" si="17"/>
        <v>0</v>
      </c>
    </row>
    <row r="81" spans="1:19">
      <c r="A81" s="953"/>
      <c r="B81" s="136"/>
      <c r="C81" s="53">
        <f t="shared" si="7"/>
        <v>1</v>
      </c>
      <c r="D81" s="951"/>
      <c r="E81" s="53">
        <f t="shared" si="8"/>
        <v>1</v>
      </c>
      <c r="F81" s="951"/>
      <c r="G81" s="53">
        <f t="shared" si="9"/>
        <v>1</v>
      </c>
      <c r="H81" s="951"/>
      <c r="I81" s="53">
        <f t="shared" si="10"/>
        <v>1</v>
      </c>
      <c r="J81" s="951"/>
      <c r="K81" s="53">
        <f t="shared" si="11"/>
        <v>1</v>
      </c>
      <c r="L81" s="951"/>
      <c r="M81" s="53">
        <f t="shared" si="12"/>
        <v>1</v>
      </c>
      <c r="N81" s="951"/>
      <c r="O81" s="53">
        <f t="shared" si="13"/>
        <v>1</v>
      </c>
      <c r="P81" s="951"/>
      <c r="Q81" s="53">
        <f t="shared" si="14"/>
        <v>1</v>
      </c>
      <c r="R81" s="484">
        <f t="shared" si="15"/>
        <v>0</v>
      </c>
      <c r="S81" s="789">
        <f t="shared" si="17"/>
        <v>0</v>
      </c>
    </row>
    <row r="82" spans="1:19">
      <c r="A82" s="953"/>
      <c r="B82" s="136"/>
      <c r="C82" s="53">
        <f t="shared" si="7"/>
        <v>1</v>
      </c>
      <c r="D82" s="951"/>
      <c r="E82" s="53">
        <f t="shared" si="8"/>
        <v>1</v>
      </c>
      <c r="F82" s="951"/>
      <c r="G82" s="53">
        <f t="shared" si="9"/>
        <v>1</v>
      </c>
      <c r="H82" s="951"/>
      <c r="I82" s="53">
        <f t="shared" si="10"/>
        <v>1</v>
      </c>
      <c r="J82" s="951"/>
      <c r="K82" s="53">
        <f t="shared" si="11"/>
        <v>1</v>
      </c>
      <c r="L82" s="951"/>
      <c r="M82" s="53">
        <f t="shared" si="12"/>
        <v>1</v>
      </c>
      <c r="N82" s="951"/>
      <c r="O82" s="53">
        <f t="shared" si="13"/>
        <v>1</v>
      </c>
      <c r="P82" s="951"/>
      <c r="Q82" s="53">
        <f t="shared" si="14"/>
        <v>1</v>
      </c>
      <c r="R82" s="484">
        <f t="shared" si="15"/>
        <v>0</v>
      </c>
      <c r="S82" s="789">
        <f t="shared" si="17"/>
        <v>0</v>
      </c>
    </row>
    <row r="83" spans="1:19">
      <c r="A83" s="953"/>
      <c r="B83" s="136"/>
      <c r="C83" s="53">
        <f t="shared" si="7"/>
        <v>1</v>
      </c>
      <c r="D83" s="951"/>
      <c r="E83" s="53">
        <f t="shared" si="8"/>
        <v>1</v>
      </c>
      <c r="F83" s="951"/>
      <c r="G83" s="53">
        <f t="shared" si="9"/>
        <v>1</v>
      </c>
      <c r="H83" s="951"/>
      <c r="I83" s="53">
        <f t="shared" si="10"/>
        <v>1</v>
      </c>
      <c r="J83" s="951"/>
      <c r="K83" s="53">
        <f t="shared" si="11"/>
        <v>1</v>
      </c>
      <c r="L83" s="951"/>
      <c r="M83" s="53">
        <f t="shared" si="12"/>
        <v>1</v>
      </c>
      <c r="N83" s="951"/>
      <c r="O83" s="53">
        <f t="shared" si="13"/>
        <v>1</v>
      </c>
      <c r="P83" s="951"/>
      <c r="Q83" s="53">
        <f t="shared" si="14"/>
        <v>1</v>
      </c>
      <c r="R83" s="484">
        <f t="shared" si="15"/>
        <v>0</v>
      </c>
      <c r="S83" s="789">
        <f t="shared" si="17"/>
        <v>0</v>
      </c>
    </row>
    <row r="84" spans="1:19">
      <c r="A84" s="953"/>
      <c r="B84" s="136"/>
      <c r="C84" s="53">
        <f t="shared" si="7"/>
        <v>1</v>
      </c>
      <c r="D84" s="951"/>
      <c r="E84" s="53">
        <f t="shared" si="8"/>
        <v>1</v>
      </c>
      <c r="F84" s="951"/>
      <c r="G84" s="53">
        <f t="shared" si="9"/>
        <v>1</v>
      </c>
      <c r="H84" s="951"/>
      <c r="I84" s="53">
        <f t="shared" si="10"/>
        <v>1</v>
      </c>
      <c r="J84" s="951"/>
      <c r="K84" s="53">
        <f t="shared" si="11"/>
        <v>1</v>
      </c>
      <c r="L84" s="951"/>
      <c r="M84" s="53">
        <f t="shared" si="12"/>
        <v>1</v>
      </c>
      <c r="N84" s="951"/>
      <c r="O84" s="53">
        <f t="shared" si="13"/>
        <v>1</v>
      </c>
      <c r="P84" s="951"/>
      <c r="Q84" s="53">
        <f t="shared" si="14"/>
        <v>1</v>
      </c>
      <c r="R84" s="484">
        <f t="shared" si="15"/>
        <v>0</v>
      </c>
      <c r="S84" s="789">
        <f t="shared" si="17"/>
        <v>0</v>
      </c>
    </row>
    <row r="85" spans="1:19">
      <c r="A85" s="953"/>
      <c r="B85" s="136"/>
      <c r="C85" s="53">
        <f t="shared" si="7"/>
        <v>1</v>
      </c>
      <c r="D85" s="951"/>
      <c r="E85" s="53">
        <f t="shared" si="8"/>
        <v>1</v>
      </c>
      <c r="F85" s="951"/>
      <c r="G85" s="53">
        <f t="shared" si="9"/>
        <v>1</v>
      </c>
      <c r="H85" s="951"/>
      <c r="I85" s="53">
        <f t="shared" si="10"/>
        <v>1</v>
      </c>
      <c r="J85" s="951"/>
      <c r="K85" s="53">
        <f t="shared" si="11"/>
        <v>1</v>
      </c>
      <c r="L85" s="951"/>
      <c r="M85" s="53">
        <f t="shared" si="12"/>
        <v>1</v>
      </c>
      <c r="N85" s="951"/>
      <c r="O85" s="53">
        <f t="shared" si="13"/>
        <v>1</v>
      </c>
      <c r="P85" s="951"/>
      <c r="Q85" s="53">
        <f t="shared" si="14"/>
        <v>1</v>
      </c>
      <c r="R85" s="484">
        <f t="shared" si="15"/>
        <v>0</v>
      </c>
      <c r="S85" s="789">
        <f t="shared" si="17"/>
        <v>0</v>
      </c>
    </row>
    <row r="86" spans="1:19">
      <c r="A86" s="953"/>
      <c r="B86" s="136"/>
      <c r="C86" s="53">
        <f t="shared" si="7"/>
        <v>1</v>
      </c>
      <c r="D86" s="951"/>
      <c r="E86" s="53">
        <f t="shared" si="8"/>
        <v>1</v>
      </c>
      <c r="F86" s="951"/>
      <c r="G86" s="53">
        <f t="shared" si="9"/>
        <v>1</v>
      </c>
      <c r="H86" s="951"/>
      <c r="I86" s="53">
        <f t="shared" si="10"/>
        <v>1</v>
      </c>
      <c r="J86" s="951"/>
      <c r="K86" s="53">
        <f t="shared" si="11"/>
        <v>1</v>
      </c>
      <c r="L86" s="951"/>
      <c r="M86" s="53">
        <f t="shared" si="12"/>
        <v>1</v>
      </c>
      <c r="N86" s="951"/>
      <c r="O86" s="53">
        <f t="shared" si="13"/>
        <v>1</v>
      </c>
      <c r="P86" s="951"/>
      <c r="Q86" s="53">
        <f t="shared" si="14"/>
        <v>1</v>
      </c>
      <c r="R86" s="484">
        <f t="shared" si="15"/>
        <v>0</v>
      </c>
      <c r="S86" s="789">
        <f t="shared" si="17"/>
        <v>0</v>
      </c>
    </row>
    <row r="87" spans="1:19">
      <c r="A87" s="953"/>
      <c r="B87" s="136"/>
      <c r="C87" s="53">
        <f t="shared" si="7"/>
        <v>1</v>
      </c>
      <c r="D87" s="951"/>
      <c r="E87" s="53">
        <f t="shared" si="8"/>
        <v>1</v>
      </c>
      <c r="F87" s="951"/>
      <c r="G87" s="53">
        <f t="shared" si="9"/>
        <v>1</v>
      </c>
      <c r="H87" s="951"/>
      <c r="I87" s="53">
        <f t="shared" si="10"/>
        <v>1</v>
      </c>
      <c r="J87" s="951"/>
      <c r="K87" s="53">
        <f t="shared" si="11"/>
        <v>1</v>
      </c>
      <c r="L87" s="951"/>
      <c r="M87" s="53">
        <f t="shared" si="12"/>
        <v>1</v>
      </c>
      <c r="N87" s="951"/>
      <c r="O87" s="53">
        <f t="shared" si="13"/>
        <v>1</v>
      </c>
      <c r="P87" s="951"/>
      <c r="Q87" s="53">
        <f t="shared" si="14"/>
        <v>1</v>
      </c>
      <c r="R87" s="484">
        <f t="shared" si="15"/>
        <v>0</v>
      </c>
      <c r="S87" s="789">
        <f t="shared" si="17"/>
        <v>0</v>
      </c>
    </row>
    <row r="88" spans="1:19">
      <c r="A88" s="953"/>
      <c r="B88" s="136"/>
      <c r="C88" s="53">
        <f t="shared" si="7"/>
        <v>1</v>
      </c>
      <c r="D88" s="951"/>
      <c r="E88" s="53">
        <f t="shared" si="8"/>
        <v>1</v>
      </c>
      <c r="F88" s="951"/>
      <c r="G88" s="53">
        <f t="shared" si="9"/>
        <v>1</v>
      </c>
      <c r="H88" s="951"/>
      <c r="I88" s="53">
        <f t="shared" si="10"/>
        <v>1</v>
      </c>
      <c r="J88" s="951"/>
      <c r="K88" s="53">
        <f t="shared" si="11"/>
        <v>1</v>
      </c>
      <c r="L88" s="951"/>
      <c r="M88" s="53">
        <f t="shared" si="12"/>
        <v>1</v>
      </c>
      <c r="N88" s="951"/>
      <c r="O88" s="53">
        <f t="shared" si="13"/>
        <v>1</v>
      </c>
      <c r="P88" s="951"/>
      <c r="Q88" s="53">
        <f t="shared" si="14"/>
        <v>1</v>
      </c>
      <c r="R88" s="484">
        <f t="shared" si="15"/>
        <v>0</v>
      </c>
      <c r="S88" s="789">
        <f t="shared" si="17"/>
        <v>0</v>
      </c>
    </row>
    <row r="89" spans="1:19">
      <c r="A89" s="953"/>
      <c r="B89" s="136"/>
      <c r="C89" s="53">
        <f t="shared" si="7"/>
        <v>1</v>
      </c>
      <c r="D89" s="951"/>
      <c r="E89" s="53">
        <f t="shared" si="8"/>
        <v>1</v>
      </c>
      <c r="F89" s="951"/>
      <c r="G89" s="53">
        <f t="shared" si="9"/>
        <v>1</v>
      </c>
      <c r="H89" s="951"/>
      <c r="I89" s="53">
        <f t="shared" si="10"/>
        <v>1</v>
      </c>
      <c r="J89" s="951"/>
      <c r="K89" s="53">
        <f t="shared" si="11"/>
        <v>1</v>
      </c>
      <c r="L89" s="951"/>
      <c r="M89" s="53">
        <f t="shared" si="12"/>
        <v>1</v>
      </c>
      <c r="N89" s="951"/>
      <c r="O89" s="53">
        <f t="shared" si="13"/>
        <v>1</v>
      </c>
      <c r="P89" s="951"/>
      <c r="Q89" s="53">
        <f t="shared" si="14"/>
        <v>1</v>
      </c>
      <c r="R89" s="484">
        <f t="shared" si="15"/>
        <v>0</v>
      </c>
      <c r="S89" s="789">
        <f t="shared" si="17"/>
        <v>0</v>
      </c>
    </row>
    <row r="90" spans="1:19">
      <c r="A90" s="953"/>
      <c r="B90" s="136"/>
      <c r="C90" s="53">
        <f t="shared" ref="C90:C153" si="18">IF(B90="",1,(LOOKUP(B90,$3:$3,$4:$4)-LOOKUP($B$24,$3:$3,$4:$4)+100)/100)</f>
        <v>1</v>
      </c>
      <c r="D90" s="951"/>
      <c r="E90" s="53">
        <f t="shared" ref="E90:E153" si="19">(SUMIF($5:$5,D90,$6:$6)-SUMIF($5:$5,$D$24,$6:$6)+100)/100</f>
        <v>1</v>
      </c>
      <c r="F90" s="951"/>
      <c r="G90" s="53">
        <f t="shared" ref="G90:G153" si="20">(SUMIF($7:$7,F90,$8:$8)-SUMIF($7:$7,$F$24,$8:$8)+100)/100</f>
        <v>1</v>
      </c>
      <c r="H90" s="951"/>
      <c r="I90" s="53">
        <f t="shared" ref="I90:I153" si="21">(SUMIF($9:$9,H90,$10:$10)-SUMIF($9:$9,$H$24,$10:$10)+100)/100</f>
        <v>1</v>
      </c>
      <c r="J90" s="951"/>
      <c r="K90" s="53">
        <f t="shared" ref="K90:K153" si="22">(SUMIF($11:$11,J90,$12:$12)-SUMIF($11:$11,$J$24,$12:$12)+100)/100</f>
        <v>1</v>
      </c>
      <c r="L90" s="951"/>
      <c r="M90" s="53">
        <f t="shared" ref="M90:M153" si="23">(SUMIF($13:$13,L90,$14:$14)-SUMIF($13:$13,$L$24,$14:$14)+100)/100</f>
        <v>1</v>
      </c>
      <c r="N90" s="951"/>
      <c r="O90" s="53">
        <f t="shared" ref="O90:O153" si="24">(SUMIF($15:$15,N90,$16:$16)-SUMIF($15:$15,$N$24,$16:$16)+100)/100</f>
        <v>1</v>
      </c>
      <c r="P90" s="951"/>
      <c r="Q90" s="53">
        <f t="shared" ref="Q90:Q153" si="25">(SUMIF($17:$17,P90,$18:$18)-SUMIF($17:$17,$P$24,$18:$18)+100)/100</f>
        <v>1</v>
      </c>
      <c r="R90" s="484">
        <f t="shared" ref="R90:R153" si="26">IF(B90="",0,ROUND($R$24*C90*E90*G90*I90*K90*M90*O90*Q90,0))</f>
        <v>0</v>
      </c>
      <c r="S90" s="789">
        <f t="shared" si="17"/>
        <v>0</v>
      </c>
    </row>
    <row r="91" spans="1:19">
      <c r="A91" s="953"/>
      <c r="B91" s="136"/>
      <c r="C91" s="53">
        <f t="shared" si="18"/>
        <v>1</v>
      </c>
      <c r="D91" s="951"/>
      <c r="E91" s="53">
        <f t="shared" si="19"/>
        <v>1</v>
      </c>
      <c r="F91" s="951"/>
      <c r="G91" s="53">
        <f t="shared" si="20"/>
        <v>1</v>
      </c>
      <c r="H91" s="951"/>
      <c r="I91" s="53">
        <f t="shared" si="21"/>
        <v>1</v>
      </c>
      <c r="J91" s="951"/>
      <c r="K91" s="53">
        <f t="shared" si="22"/>
        <v>1</v>
      </c>
      <c r="L91" s="951"/>
      <c r="M91" s="53">
        <f t="shared" si="23"/>
        <v>1</v>
      </c>
      <c r="N91" s="951"/>
      <c r="O91" s="53">
        <f t="shared" si="24"/>
        <v>1</v>
      </c>
      <c r="P91" s="951"/>
      <c r="Q91" s="53">
        <f t="shared" si="25"/>
        <v>1</v>
      </c>
      <c r="R91" s="484">
        <f t="shared" si="26"/>
        <v>0</v>
      </c>
      <c r="S91" s="789">
        <f t="shared" si="17"/>
        <v>0</v>
      </c>
    </row>
    <row r="92" spans="1:19">
      <c r="A92" s="953"/>
      <c r="B92" s="136"/>
      <c r="C92" s="53">
        <f t="shared" si="18"/>
        <v>1</v>
      </c>
      <c r="D92" s="951"/>
      <c r="E92" s="53">
        <f t="shared" si="19"/>
        <v>1</v>
      </c>
      <c r="F92" s="951"/>
      <c r="G92" s="53">
        <f t="shared" si="20"/>
        <v>1</v>
      </c>
      <c r="H92" s="951"/>
      <c r="I92" s="53">
        <f t="shared" si="21"/>
        <v>1</v>
      </c>
      <c r="J92" s="951"/>
      <c r="K92" s="53">
        <f t="shared" si="22"/>
        <v>1</v>
      </c>
      <c r="L92" s="951"/>
      <c r="M92" s="53">
        <f t="shared" si="23"/>
        <v>1</v>
      </c>
      <c r="N92" s="951"/>
      <c r="O92" s="53">
        <f t="shared" si="24"/>
        <v>1</v>
      </c>
      <c r="P92" s="951"/>
      <c r="Q92" s="53">
        <f t="shared" si="25"/>
        <v>1</v>
      </c>
      <c r="R92" s="484">
        <f t="shared" si="26"/>
        <v>0</v>
      </c>
      <c r="S92" s="789">
        <f t="shared" si="17"/>
        <v>0</v>
      </c>
    </row>
    <row r="93" spans="1:19">
      <c r="A93" s="953"/>
      <c r="B93" s="136"/>
      <c r="C93" s="53">
        <f t="shared" si="18"/>
        <v>1</v>
      </c>
      <c r="D93" s="951"/>
      <c r="E93" s="53">
        <f t="shared" si="19"/>
        <v>1</v>
      </c>
      <c r="F93" s="951"/>
      <c r="G93" s="53">
        <f t="shared" si="20"/>
        <v>1</v>
      </c>
      <c r="H93" s="951"/>
      <c r="I93" s="53">
        <f t="shared" si="21"/>
        <v>1</v>
      </c>
      <c r="J93" s="951"/>
      <c r="K93" s="53">
        <f t="shared" si="22"/>
        <v>1</v>
      </c>
      <c r="L93" s="951"/>
      <c r="M93" s="53">
        <f t="shared" si="23"/>
        <v>1</v>
      </c>
      <c r="N93" s="951"/>
      <c r="O93" s="53">
        <f t="shared" si="24"/>
        <v>1</v>
      </c>
      <c r="P93" s="951"/>
      <c r="Q93" s="53">
        <f t="shared" si="25"/>
        <v>1</v>
      </c>
      <c r="R93" s="484">
        <f t="shared" si="26"/>
        <v>0</v>
      </c>
      <c r="S93" s="789">
        <f t="shared" si="17"/>
        <v>0</v>
      </c>
    </row>
    <row r="94" spans="1:19">
      <c r="A94" s="953"/>
      <c r="B94" s="136"/>
      <c r="C94" s="53">
        <f t="shared" si="18"/>
        <v>1</v>
      </c>
      <c r="D94" s="951"/>
      <c r="E94" s="53">
        <f t="shared" si="19"/>
        <v>1</v>
      </c>
      <c r="F94" s="951"/>
      <c r="G94" s="53">
        <f t="shared" si="20"/>
        <v>1</v>
      </c>
      <c r="H94" s="951"/>
      <c r="I94" s="53">
        <f t="shared" si="21"/>
        <v>1</v>
      </c>
      <c r="J94" s="951"/>
      <c r="K94" s="53">
        <f t="shared" si="22"/>
        <v>1</v>
      </c>
      <c r="L94" s="951"/>
      <c r="M94" s="53">
        <f t="shared" si="23"/>
        <v>1</v>
      </c>
      <c r="N94" s="951"/>
      <c r="O94" s="53">
        <f t="shared" si="24"/>
        <v>1</v>
      </c>
      <c r="P94" s="951"/>
      <c r="Q94" s="53">
        <f t="shared" si="25"/>
        <v>1</v>
      </c>
      <c r="R94" s="484">
        <f t="shared" si="26"/>
        <v>0</v>
      </c>
      <c r="S94" s="789">
        <f t="shared" si="17"/>
        <v>0</v>
      </c>
    </row>
    <row r="95" spans="1:19">
      <c r="A95" s="953"/>
      <c r="B95" s="136"/>
      <c r="C95" s="53">
        <f t="shared" si="18"/>
        <v>1</v>
      </c>
      <c r="D95" s="951"/>
      <c r="E95" s="53">
        <f t="shared" si="19"/>
        <v>1</v>
      </c>
      <c r="F95" s="951"/>
      <c r="G95" s="53">
        <f t="shared" si="20"/>
        <v>1</v>
      </c>
      <c r="H95" s="951"/>
      <c r="I95" s="53">
        <f t="shared" si="21"/>
        <v>1</v>
      </c>
      <c r="J95" s="951"/>
      <c r="K95" s="53">
        <f t="shared" si="22"/>
        <v>1</v>
      </c>
      <c r="L95" s="951"/>
      <c r="M95" s="53">
        <f t="shared" si="23"/>
        <v>1</v>
      </c>
      <c r="N95" s="951"/>
      <c r="O95" s="53">
        <f t="shared" si="24"/>
        <v>1</v>
      </c>
      <c r="P95" s="951"/>
      <c r="Q95" s="53">
        <f t="shared" si="25"/>
        <v>1</v>
      </c>
      <c r="R95" s="484">
        <f t="shared" si="26"/>
        <v>0</v>
      </c>
      <c r="S95" s="789">
        <f t="shared" si="17"/>
        <v>0</v>
      </c>
    </row>
    <row r="96" spans="1:19">
      <c r="A96" s="953"/>
      <c r="B96" s="136"/>
      <c r="C96" s="53">
        <f t="shared" si="18"/>
        <v>1</v>
      </c>
      <c r="D96" s="951"/>
      <c r="E96" s="53">
        <f t="shared" si="19"/>
        <v>1</v>
      </c>
      <c r="F96" s="951"/>
      <c r="G96" s="53">
        <f t="shared" si="20"/>
        <v>1</v>
      </c>
      <c r="H96" s="951"/>
      <c r="I96" s="53">
        <f t="shared" si="21"/>
        <v>1</v>
      </c>
      <c r="J96" s="951"/>
      <c r="K96" s="53">
        <f t="shared" si="22"/>
        <v>1</v>
      </c>
      <c r="L96" s="951"/>
      <c r="M96" s="53">
        <f t="shared" si="23"/>
        <v>1</v>
      </c>
      <c r="N96" s="951"/>
      <c r="O96" s="53">
        <f t="shared" si="24"/>
        <v>1</v>
      </c>
      <c r="P96" s="951"/>
      <c r="Q96" s="53">
        <f t="shared" si="25"/>
        <v>1</v>
      </c>
      <c r="R96" s="484">
        <f t="shared" si="26"/>
        <v>0</v>
      </c>
      <c r="S96" s="789">
        <f t="shared" si="17"/>
        <v>0</v>
      </c>
    </row>
    <row r="97" spans="1:19">
      <c r="A97" s="953"/>
      <c r="B97" s="136"/>
      <c r="C97" s="53">
        <f t="shared" si="18"/>
        <v>1</v>
      </c>
      <c r="D97" s="951"/>
      <c r="E97" s="53">
        <f t="shared" si="19"/>
        <v>1</v>
      </c>
      <c r="F97" s="951"/>
      <c r="G97" s="53">
        <f t="shared" si="20"/>
        <v>1</v>
      </c>
      <c r="H97" s="951"/>
      <c r="I97" s="53">
        <f t="shared" si="21"/>
        <v>1</v>
      </c>
      <c r="J97" s="951"/>
      <c r="K97" s="53">
        <f t="shared" si="22"/>
        <v>1</v>
      </c>
      <c r="L97" s="951"/>
      <c r="M97" s="53">
        <f t="shared" si="23"/>
        <v>1</v>
      </c>
      <c r="N97" s="951"/>
      <c r="O97" s="53">
        <f t="shared" si="24"/>
        <v>1</v>
      </c>
      <c r="P97" s="951"/>
      <c r="Q97" s="53">
        <f t="shared" si="25"/>
        <v>1</v>
      </c>
      <c r="R97" s="484">
        <f t="shared" si="26"/>
        <v>0</v>
      </c>
      <c r="S97" s="789">
        <f t="shared" si="17"/>
        <v>0</v>
      </c>
    </row>
    <row r="98" spans="1:19">
      <c r="A98" s="953"/>
      <c r="B98" s="136"/>
      <c r="C98" s="53">
        <f t="shared" si="18"/>
        <v>1</v>
      </c>
      <c r="D98" s="951"/>
      <c r="E98" s="53">
        <f t="shared" si="19"/>
        <v>1</v>
      </c>
      <c r="F98" s="951"/>
      <c r="G98" s="53">
        <f t="shared" si="20"/>
        <v>1</v>
      </c>
      <c r="H98" s="951"/>
      <c r="I98" s="53">
        <f t="shared" si="21"/>
        <v>1</v>
      </c>
      <c r="J98" s="951"/>
      <c r="K98" s="53">
        <f t="shared" si="22"/>
        <v>1</v>
      </c>
      <c r="L98" s="951"/>
      <c r="M98" s="53">
        <f t="shared" si="23"/>
        <v>1</v>
      </c>
      <c r="N98" s="951"/>
      <c r="O98" s="53">
        <f t="shared" si="24"/>
        <v>1</v>
      </c>
      <c r="P98" s="951"/>
      <c r="Q98" s="53">
        <f t="shared" si="25"/>
        <v>1</v>
      </c>
      <c r="R98" s="484">
        <f t="shared" si="26"/>
        <v>0</v>
      </c>
      <c r="S98" s="789">
        <f t="shared" si="17"/>
        <v>0</v>
      </c>
    </row>
    <row r="99" spans="1:19">
      <c r="A99" s="953"/>
      <c r="B99" s="136"/>
      <c r="C99" s="53">
        <f t="shared" si="18"/>
        <v>1</v>
      </c>
      <c r="D99" s="951"/>
      <c r="E99" s="53">
        <f t="shared" si="19"/>
        <v>1</v>
      </c>
      <c r="F99" s="951"/>
      <c r="G99" s="53">
        <f t="shared" si="20"/>
        <v>1</v>
      </c>
      <c r="H99" s="951"/>
      <c r="I99" s="53">
        <f t="shared" si="21"/>
        <v>1</v>
      </c>
      <c r="J99" s="951"/>
      <c r="K99" s="53">
        <f t="shared" si="22"/>
        <v>1</v>
      </c>
      <c r="L99" s="951"/>
      <c r="M99" s="53">
        <f t="shared" si="23"/>
        <v>1</v>
      </c>
      <c r="N99" s="951"/>
      <c r="O99" s="53">
        <f t="shared" si="24"/>
        <v>1</v>
      </c>
      <c r="P99" s="951"/>
      <c r="Q99" s="53">
        <f t="shared" si="25"/>
        <v>1</v>
      </c>
      <c r="R99" s="484">
        <f t="shared" si="26"/>
        <v>0</v>
      </c>
      <c r="S99" s="789">
        <f t="shared" si="17"/>
        <v>0</v>
      </c>
    </row>
    <row r="100" spans="1:19">
      <c r="A100" s="953"/>
      <c r="B100" s="136"/>
      <c r="C100" s="53">
        <f t="shared" si="18"/>
        <v>1</v>
      </c>
      <c r="D100" s="951"/>
      <c r="E100" s="53">
        <f t="shared" si="19"/>
        <v>1</v>
      </c>
      <c r="F100" s="951"/>
      <c r="G100" s="53">
        <f t="shared" si="20"/>
        <v>1</v>
      </c>
      <c r="H100" s="951"/>
      <c r="I100" s="53">
        <f t="shared" si="21"/>
        <v>1</v>
      </c>
      <c r="J100" s="951"/>
      <c r="K100" s="53">
        <f t="shared" si="22"/>
        <v>1</v>
      </c>
      <c r="L100" s="951"/>
      <c r="M100" s="53">
        <f t="shared" si="23"/>
        <v>1</v>
      </c>
      <c r="N100" s="951"/>
      <c r="O100" s="53">
        <f t="shared" si="24"/>
        <v>1</v>
      </c>
      <c r="P100" s="951"/>
      <c r="Q100" s="53">
        <f t="shared" si="25"/>
        <v>1</v>
      </c>
      <c r="R100" s="484">
        <f t="shared" si="26"/>
        <v>0</v>
      </c>
      <c r="S100" s="789">
        <f t="shared" si="17"/>
        <v>0</v>
      </c>
    </row>
    <row r="101" spans="1:19">
      <c r="A101" s="953"/>
      <c r="B101" s="136"/>
      <c r="C101" s="53">
        <f t="shared" si="18"/>
        <v>1</v>
      </c>
      <c r="D101" s="951"/>
      <c r="E101" s="53">
        <f t="shared" si="19"/>
        <v>1</v>
      </c>
      <c r="F101" s="951"/>
      <c r="G101" s="53">
        <f t="shared" si="20"/>
        <v>1</v>
      </c>
      <c r="H101" s="951"/>
      <c r="I101" s="53">
        <f t="shared" si="21"/>
        <v>1</v>
      </c>
      <c r="J101" s="951"/>
      <c r="K101" s="53">
        <f t="shared" si="22"/>
        <v>1</v>
      </c>
      <c r="L101" s="951"/>
      <c r="M101" s="53">
        <f t="shared" si="23"/>
        <v>1</v>
      </c>
      <c r="N101" s="951"/>
      <c r="O101" s="53">
        <f t="shared" si="24"/>
        <v>1</v>
      </c>
      <c r="P101" s="951"/>
      <c r="Q101" s="53">
        <f t="shared" si="25"/>
        <v>1</v>
      </c>
      <c r="R101" s="484">
        <f t="shared" si="26"/>
        <v>0</v>
      </c>
      <c r="S101" s="789">
        <f t="shared" si="17"/>
        <v>0</v>
      </c>
    </row>
    <row r="102" spans="1:19">
      <c r="A102" s="953"/>
      <c r="B102" s="136"/>
      <c r="C102" s="53">
        <f t="shared" si="18"/>
        <v>1</v>
      </c>
      <c r="D102" s="951"/>
      <c r="E102" s="53">
        <f t="shared" si="19"/>
        <v>1</v>
      </c>
      <c r="F102" s="951"/>
      <c r="G102" s="53">
        <f t="shared" si="20"/>
        <v>1</v>
      </c>
      <c r="H102" s="951"/>
      <c r="I102" s="53">
        <f t="shared" si="21"/>
        <v>1</v>
      </c>
      <c r="J102" s="951"/>
      <c r="K102" s="53">
        <f t="shared" si="22"/>
        <v>1</v>
      </c>
      <c r="L102" s="951"/>
      <c r="M102" s="53">
        <f t="shared" si="23"/>
        <v>1</v>
      </c>
      <c r="N102" s="951"/>
      <c r="O102" s="53">
        <f t="shared" si="24"/>
        <v>1</v>
      </c>
      <c r="P102" s="951"/>
      <c r="Q102" s="53">
        <f t="shared" si="25"/>
        <v>1</v>
      </c>
      <c r="R102" s="484">
        <f t="shared" si="26"/>
        <v>0</v>
      </c>
      <c r="S102" s="789">
        <f t="shared" si="17"/>
        <v>0</v>
      </c>
    </row>
    <row r="103" spans="1:19">
      <c r="A103" s="953"/>
      <c r="B103" s="136"/>
      <c r="C103" s="53">
        <f t="shared" si="18"/>
        <v>1</v>
      </c>
      <c r="D103" s="951"/>
      <c r="E103" s="53">
        <f t="shared" si="19"/>
        <v>1</v>
      </c>
      <c r="F103" s="951"/>
      <c r="G103" s="53">
        <f t="shared" si="20"/>
        <v>1</v>
      </c>
      <c r="H103" s="951"/>
      <c r="I103" s="53">
        <f t="shared" si="21"/>
        <v>1</v>
      </c>
      <c r="J103" s="951"/>
      <c r="K103" s="53">
        <f t="shared" si="22"/>
        <v>1</v>
      </c>
      <c r="L103" s="951"/>
      <c r="M103" s="53">
        <f t="shared" si="23"/>
        <v>1</v>
      </c>
      <c r="N103" s="951"/>
      <c r="O103" s="53">
        <f t="shared" si="24"/>
        <v>1</v>
      </c>
      <c r="P103" s="951"/>
      <c r="Q103" s="53">
        <f t="shared" si="25"/>
        <v>1</v>
      </c>
      <c r="R103" s="484">
        <f t="shared" si="26"/>
        <v>0</v>
      </c>
      <c r="S103" s="789">
        <f t="shared" si="17"/>
        <v>0</v>
      </c>
    </row>
    <row r="104" spans="1:19">
      <c r="A104" s="953"/>
      <c r="B104" s="136"/>
      <c r="C104" s="53">
        <f t="shared" si="18"/>
        <v>1</v>
      </c>
      <c r="D104" s="951"/>
      <c r="E104" s="53">
        <f t="shared" si="19"/>
        <v>1</v>
      </c>
      <c r="F104" s="951"/>
      <c r="G104" s="53">
        <f t="shared" si="20"/>
        <v>1</v>
      </c>
      <c r="H104" s="951"/>
      <c r="I104" s="53">
        <f t="shared" si="21"/>
        <v>1</v>
      </c>
      <c r="J104" s="951"/>
      <c r="K104" s="53">
        <f t="shared" si="22"/>
        <v>1</v>
      </c>
      <c r="L104" s="951"/>
      <c r="M104" s="53">
        <f t="shared" si="23"/>
        <v>1</v>
      </c>
      <c r="N104" s="951"/>
      <c r="O104" s="53">
        <f t="shared" si="24"/>
        <v>1</v>
      </c>
      <c r="P104" s="951"/>
      <c r="Q104" s="53">
        <f t="shared" si="25"/>
        <v>1</v>
      </c>
      <c r="R104" s="484">
        <f t="shared" si="26"/>
        <v>0</v>
      </c>
      <c r="S104" s="789">
        <f t="shared" si="17"/>
        <v>0</v>
      </c>
    </row>
    <row r="105" spans="1:19">
      <c r="A105" s="953"/>
      <c r="B105" s="136"/>
      <c r="C105" s="53">
        <f t="shared" si="18"/>
        <v>1</v>
      </c>
      <c r="D105" s="951"/>
      <c r="E105" s="53">
        <f t="shared" si="19"/>
        <v>1</v>
      </c>
      <c r="F105" s="951"/>
      <c r="G105" s="53">
        <f t="shared" si="20"/>
        <v>1</v>
      </c>
      <c r="H105" s="951"/>
      <c r="I105" s="53">
        <f t="shared" si="21"/>
        <v>1</v>
      </c>
      <c r="J105" s="951"/>
      <c r="K105" s="53">
        <f t="shared" si="22"/>
        <v>1</v>
      </c>
      <c r="L105" s="951"/>
      <c r="M105" s="53">
        <f t="shared" si="23"/>
        <v>1</v>
      </c>
      <c r="N105" s="951"/>
      <c r="O105" s="53">
        <f t="shared" si="24"/>
        <v>1</v>
      </c>
      <c r="P105" s="951"/>
      <c r="Q105" s="53">
        <f t="shared" si="25"/>
        <v>1</v>
      </c>
      <c r="R105" s="484">
        <f t="shared" si="26"/>
        <v>0</v>
      </c>
      <c r="S105" s="789">
        <f t="shared" si="17"/>
        <v>0</v>
      </c>
    </row>
    <row r="106" spans="1:19">
      <c r="A106" s="953"/>
      <c r="B106" s="136"/>
      <c r="C106" s="53">
        <f t="shared" si="18"/>
        <v>1</v>
      </c>
      <c r="D106" s="951"/>
      <c r="E106" s="53">
        <f t="shared" si="19"/>
        <v>1</v>
      </c>
      <c r="F106" s="951"/>
      <c r="G106" s="53">
        <f t="shared" si="20"/>
        <v>1</v>
      </c>
      <c r="H106" s="951"/>
      <c r="I106" s="53">
        <f t="shared" si="21"/>
        <v>1</v>
      </c>
      <c r="J106" s="951"/>
      <c r="K106" s="53">
        <f t="shared" si="22"/>
        <v>1</v>
      </c>
      <c r="L106" s="951"/>
      <c r="M106" s="53">
        <f t="shared" si="23"/>
        <v>1</v>
      </c>
      <c r="N106" s="951"/>
      <c r="O106" s="53">
        <f t="shared" si="24"/>
        <v>1</v>
      </c>
      <c r="P106" s="951"/>
      <c r="Q106" s="53">
        <f t="shared" si="25"/>
        <v>1</v>
      </c>
      <c r="R106" s="484">
        <f t="shared" si="26"/>
        <v>0</v>
      </c>
      <c r="S106" s="789">
        <f t="shared" si="17"/>
        <v>0</v>
      </c>
    </row>
    <row r="107" spans="1:19">
      <c r="A107" s="953"/>
      <c r="B107" s="136"/>
      <c r="C107" s="53">
        <f t="shared" si="18"/>
        <v>1</v>
      </c>
      <c r="D107" s="951"/>
      <c r="E107" s="53">
        <f t="shared" si="19"/>
        <v>1</v>
      </c>
      <c r="F107" s="951"/>
      <c r="G107" s="53">
        <f t="shared" si="20"/>
        <v>1</v>
      </c>
      <c r="H107" s="951"/>
      <c r="I107" s="53">
        <f t="shared" si="21"/>
        <v>1</v>
      </c>
      <c r="J107" s="951"/>
      <c r="K107" s="53">
        <f t="shared" si="22"/>
        <v>1</v>
      </c>
      <c r="L107" s="951"/>
      <c r="M107" s="53">
        <f t="shared" si="23"/>
        <v>1</v>
      </c>
      <c r="N107" s="951"/>
      <c r="O107" s="53">
        <f t="shared" si="24"/>
        <v>1</v>
      </c>
      <c r="P107" s="951"/>
      <c r="Q107" s="53">
        <f t="shared" si="25"/>
        <v>1</v>
      </c>
      <c r="R107" s="484">
        <f t="shared" si="26"/>
        <v>0</v>
      </c>
      <c r="S107" s="789">
        <f t="shared" si="17"/>
        <v>0</v>
      </c>
    </row>
    <row r="108" spans="1:19">
      <c r="A108" s="953"/>
      <c r="B108" s="136"/>
      <c r="C108" s="53">
        <f t="shared" si="18"/>
        <v>1</v>
      </c>
      <c r="D108" s="951"/>
      <c r="E108" s="53">
        <f t="shared" si="19"/>
        <v>1</v>
      </c>
      <c r="F108" s="951"/>
      <c r="G108" s="53">
        <f t="shared" si="20"/>
        <v>1</v>
      </c>
      <c r="H108" s="951"/>
      <c r="I108" s="53">
        <f t="shared" si="21"/>
        <v>1</v>
      </c>
      <c r="J108" s="951"/>
      <c r="K108" s="53">
        <f t="shared" si="22"/>
        <v>1</v>
      </c>
      <c r="L108" s="951"/>
      <c r="M108" s="53">
        <f t="shared" si="23"/>
        <v>1</v>
      </c>
      <c r="N108" s="951"/>
      <c r="O108" s="53">
        <f t="shared" si="24"/>
        <v>1</v>
      </c>
      <c r="P108" s="951"/>
      <c r="Q108" s="53">
        <f t="shared" si="25"/>
        <v>1</v>
      </c>
      <c r="R108" s="484">
        <f t="shared" si="26"/>
        <v>0</v>
      </c>
      <c r="S108" s="789">
        <f t="shared" si="17"/>
        <v>0</v>
      </c>
    </row>
    <row r="109" spans="1:19">
      <c r="A109" s="953"/>
      <c r="B109" s="136"/>
      <c r="C109" s="53">
        <f t="shared" si="18"/>
        <v>1</v>
      </c>
      <c r="D109" s="951"/>
      <c r="E109" s="53">
        <f t="shared" si="19"/>
        <v>1</v>
      </c>
      <c r="F109" s="951"/>
      <c r="G109" s="53">
        <f t="shared" si="20"/>
        <v>1</v>
      </c>
      <c r="H109" s="951"/>
      <c r="I109" s="53">
        <f t="shared" si="21"/>
        <v>1</v>
      </c>
      <c r="J109" s="951"/>
      <c r="K109" s="53">
        <f t="shared" si="22"/>
        <v>1</v>
      </c>
      <c r="L109" s="951"/>
      <c r="M109" s="53">
        <f t="shared" si="23"/>
        <v>1</v>
      </c>
      <c r="N109" s="951"/>
      <c r="O109" s="53">
        <f t="shared" si="24"/>
        <v>1</v>
      </c>
      <c r="P109" s="951"/>
      <c r="Q109" s="53">
        <f t="shared" si="25"/>
        <v>1</v>
      </c>
      <c r="R109" s="484">
        <f t="shared" si="26"/>
        <v>0</v>
      </c>
      <c r="S109" s="789">
        <f t="shared" si="17"/>
        <v>0</v>
      </c>
    </row>
    <row r="110" spans="1:19">
      <c r="A110" s="953"/>
      <c r="B110" s="136"/>
      <c r="C110" s="53">
        <f t="shared" si="18"/>
        <v>1</v>
      </c>
      <c r="D110" s="951"/>
      <c r="E110" s="53">
        <f t="shared" si="19"/>
        <v>1</v>
      </c>
      <c r="F110" s="951"/>
      <c r="G110" s="53">
        <f t="shared" si="20"/>
        <v>1</v>
      </c>
      <c r="H110" s="951"/>
      <c r="I110" s="53">
        <f t="shared" si="21"/>
        <v>1</v>
      </c>
      <c r="J110" s="951"/>
      <c r="K110" s="53">
        <f t="shared" si="22"/>
        <v>1</v>
      </c>
      <c r="L110" s="951"/>
      <c r="M110" s="53">
        <f t="shared" si="23"/>
        <v>1</v>
      </c>
      <c r="N110" s="951"/>
      <c r="O110" s="53">
        <f t="shared" si="24"/>
        <v>1</v>
      </c>
      <c r="P110" s="951"/>
      <c r="Q110" s="53">
        <f t="shared" si="25"/>
        <v>1</v>
      </c>
      <c r="R110" s="484">
        <f t="shared" si="26"/>
        <v>0</v>
      </c>
      <c r="S110" s="789">
        <f t="shared" si="17"/>
        <v>0</v>
      </c>
    </row>
    <row r="111" spans="1:19">
      <c r="A111" s="953"/>
      <c r="B111" s="136"/>
      <c r="C111" s="53">
        <f t="shared" si="18"/>
        <v>1</v>
      </c>
      <c r="D111" s="951"/>
      <c r="E111" s="53">
        <f t="shared" si="19"/>
        <v>1</v>
      </c>
      <c r="F111" s="951"/>
      <c r="G111" s="53">
        <f t="shared" si="20"/>
        <v>1</v>
      </c>
      <c r="H111" s="951"/>
      <c r="I111" s="53">
        <f t="shared" si="21"/>
        <v>1</v>
      </c>
      <c r="J111" s="951"/>
      <c r="K111" s="53">
        <f t="shared" si="22"/>
        <v>1</v>
      </c>
      <c r="L111" s="951"/>
      <c r="M111" s="53">
        <f t="shared" si="23"/>
        <v>1</v>
      </c>
      <c r="N111" s="951"/>
      <c r="O111" s="53">
        <f t="shared" si="24"/>
        <v>1</v>
      </c>
      <c r="P111" s="951"/>
      <c r="Q111" s="53">
        <f t="shared" si="25"/>
        <v>1</v>
      </c>
      <c r="R111" s="484">
        <f t="shared" si="26"/>
        <v>0</v>
      </c>
      <c r="S111" s="789">
        <f t="shared" si="17"/>
        <v>0</v>
      </c>
    </row>
    <row r="112" spans="1:19">
      <c r="A112" s="953"/>
      <c r="B112" s="136"/>
      <c r="C112" s="53">
        <f t="shared" si="18"/>
        <v>1</v>
      </c>
      <c r="D112" s="951"/>
      <c r="E112" s="53">
        <f t="shared" si="19"/>
        <v>1</v>
      </c>
      <c r="F112" s="951"/>
      <c r="G112" s="53">
        <f t="shared" si="20"/>
        <v>1</v>
      </c>
      <c r="H112" s="951"/>
      <c r="I112" s="53">
        <f t="shared" si="21"/>
        <v>1</v>
      </c>
      <c r="J112" s="951"/>
      <c r="K112" s="53">
        <f t="shared" si="22"/>
        <v>1</v>
      </c>
      <c r="L112" s="951"/>
      <c r="M112" s="53">
        <f t="shared" si="23"/>
        <v>1</v>
      </c>
      <c r="N112" s="951"/>
      <c r="O112" s="53">
        <f t="shared" si="24"/>
        <v>1</v>
      </c>
      <c r="P112" s="951"/>
      <c r="Q112" s="53">
        <f t="shared" si="25"/>
        <v>1</v>
      </c>
      <c r="R112" s="484">
        <f t="shared" si="26"/>
        <v>0</v>
      </c>
      <c r="S112" s="789">
        <f t="shared" si="17"/>
        <v>0</v>
      </c>
    </row>
    <row r="113" spans="1:19">
      <c r="A113" s="953"/>
      <c r="B113" s="136"/>
      <c r="C113" s="53">
        <f t="shared" si="18"/>
        <v>1</v>
      </c>
      <c r="D113" s="951"/>
      <c r="E113" s="53">
        <f t="shared" si="19"/>
        <v>1</v>
      </c>
      <c r="F113" s="951"/>
      <c r="G113" s="53">
        <f t="shared" si="20"/>
        <v>1</v>
      </c>
      <c r="H113" s="951"/>
      <c r="I113" s="53">
        <f t="shared" si="21"/>
        <v>1</v>
      </c>
      <c r="J113" s="951"/>
      <c r="K113" s="53">
        <f t="shared" si="22"/>
        <v>1</v>
      </c>
      <c r="L113" s="951"/>
      <c r="M113" s="53">
        <f t="shared" si="23"/>
        <v>1</v>
      </c>
      <c r="N113" s="951"/>
      <c r="O113" s="53">
        <f t="shared" si="24"/>
        <v>1</v>
      </c>
      <c r="P113" s="951"/>
      <c r="Q113" s="53">
        <f t="shared" si="25"/>
        <v>1</v>
      </c>
      <c r="R113" s="484">
        <f t="shared" si="26"/>
        <v>0</v>
      </c>
      <c r="S113" s="789">
        <f t="shared" si="17"/>
        <v>0</v>
      </c>
    </row>
    <row r="114" spans="1:19">
      <c r="A114" s="953"/>
      <c r="B114" s="136"/>
      <c r="C114" s="53">
        <f t="shared" si="18"/>
        <v>1</v>
      </c>
      <c r="D114" s="951"/>
      <c r="E114" s="53">
        <f t="shared" si="19"/>
        <v>1</v>
      </c>
      <c r="F114" s="951"/>
      <c r="G114" s="53">
        <f t="shared" si="20"/>
        <v>1</v>
      </c>
      <c r="H114" s="951"/>
      <c r="I114" s="53">
        <f t="shared" si="21"/>
        <v>1</v>
      </c>
      <c r="J114" s="951"/>
      <c r="K114" s="53">
        <f t="shared" si="22"/>
        <v>1</v>
      </c>
      <c r="L114" s="951"/>
      <c r="M114" s="53">
        <f t="shared" si="23"/>
        <v>1</v>
      </c>
      <c r="N114" s="951"/>
      <c r="O114" s="53">
        <f t="shared" si="24"/>
        <v>1</v>
      </c>
      <c r="P114" s="951"/>
      <c r="Q114" s="53">
        <f t="shared" si="25"/>
        <v>1</v>
      </c>
      <c r="R114" s="484">
        <f t="shared" si="26"/>
        <v>0</v>
      </c>
      <c r="S114" s="789">
        <f t="shared" si="17"/>
        <v>0</v>
      </c>
    </row>
    <row r="115" spans="1:19">
      <c r="A115" s="953"/>
      <c r="B115" s="136"/>
      <c r="C115" s="53">
        <f t="shared" si="18"/>
        <v>1</v>
      </c>
      <c r="D115" s="951"/>
      <c r="E115" s="53">
        <f t="shared" si="19"/>
        <v>1</v>
      </c>
      <c r="F115" s="951"/>
      <c r="G115" s="53">
        <f t="shared" si="20"/>
        <v>1</v>
      </c>
      <c r="H115" s="951"/>
      <c r="I115" s="53">
        <f t="shared" si="21"/>
        <v>1</v>
      </c>
      <c r="J115" s="951"/>
      <c r="K115" s="53">
        <f t="shared" si="22"/>
        <v>1</v>
      </c>
      <c r="L115" s="951"/>
      <c r="M115" s="53">
        <f t="shared" si="23"/>
        <v>1</v>
      </c>
      <c r="N115" s="951"/>
      <c r="O115" s="53">
        <f t="shared" si="24"/>
        <v>1</v>
      </c>
      <c r="P115" s="951"/>
      <c r="Q115" s="53">
        <f t="shared" si="25"/>
        <v>1</v>
      </c>
      <c r="R115" s="484">
        <f t="shared" si="26"/>
        <v>0</v>
      </c>
      <c r="S115" s="789">
        <f t="shared" si="17"/>
        <v>0</v>
      </c>
    </row>
    <row r="116" spans="1:19">
      <c r="A116" s="953"/>
      <c r="B116" s="136"/>
      <c r="C116" s="53">
        <f t="shared" si="18"/>
        <v>1</v>
      </c>
      <c r="D116" s="951"/>
      <c r="E116" s="53">
        <f t="shared" si="19"/>
        <v>1</v>
      </c>
      <c r="F116" s="951"/>
      <c r="G116" s="53">
        <f t="shared" si="20"/>
        <v>1</v>
      </c>
      <c r="H116" s="951"/>
      <c r="I116" s="53">
        <f t="shared" si="21"/>
        <v>1</v>
      </c>
      <c r="J116" s="951"/>
      <c r="K116" s="53">
        <f t="shared" si="22"/>
        <v>1</v>
      </c>
      <c r="L116" s="951"/>
      <c r="M116" s="53">
        <f t="shared" si="23"/>
        <v>1</v>
      </c>
      <c r="N116" s="951"/>
      <c r="O116" s="53">
        <f t="shared" si="24"/>
        <v>1</v>
      </c>
      <c r="P116" s="951"/>
      <c r="Q116" s="53">
        <f t="shared" si="25"/>
        <v>1</v>
      </c>
      <c r="R116" s="484">
        <f t="shared" si="26"/>
        <v>0</v>
      </c>
      <c r="S116" s="789">
        <f t="shared" si="17"/>
        <v>0</v>
      </c>
    </row>
    <row r="117" spans="1:19">
      <c r="A117" s="953"/>
      <c r="B117" s="136"/>
      <c r="C117" s="53">
        <f t="shared" si="18"/>
        <v>1</v>
      </c>
      <c r="D117" s="951"/>
      <c r="E117" s="53">
        <f t="shared" si="19"/>
        <v>1</v>
      </c>
      <c r="F117" s="951"/>
      <c r="G117" s="53">
        <f t="shared" si="20"/>
        <v>1</v>
      </c>
      <c r="H117" s="951"/>
      <c r="I117" s="53">
        <f t="shared" si="21"/>
        <v>1</v>
      </c>
      <c r="J117" s="951"/>
      <c r="K117" s="53">
        <f t="shared" si="22"/>
        <v>1</v>
      </c>
      <c r="L117" s="951"/>
      <c r="M117" s="53">
        <f t="shared" si="23"/>
        <v>1</v>
      </c>
      <c r="N117" s="951"/>
      <c r="O117" s="53">
        <f t="shared" si="24"/>
        <v>1</v>
      </c>
      <c r="P117" s="951"/>
      <c r="Q117" s="53">
        <f t="shared" si="25"/>
        <v>1</v>
      </c>
      <c r="R117" s="484">
        <f t="shared" si="26"/>
        <v>0</v>
      </c>
      <c r="S117" s="789">
        <f t="shared" si="17"/>
        <v>0</v>
      </c>
    </row>
    <row r="118" spans="1:19">
      <c r="A118" s="953"/>
      <c r="B118" s="136"/>
      <c r="C118" s="53">
        <f t="shared" si="18"/>
        <v>1</v>
      </c>
      <c r="D118" s="951"/>
      <c r="E118" s="53">
        <f t="shared" si="19"/>
        <v>1</v>
      </c>
      <c r="F118" s="951"/>
      <c r="G118" s="53">
        <f t="shared" si="20"/>
        <v>1</v>
      </c>
      <c r="H118" s="951"/>
      <c r="I118" s="53">
        <f t="shared" si="21"/>
        <v>1</v>
      </c>
      <c r="J118" s="951"/>
      <c r="K118" s="53">
        <f t="shared" si="22"/>
        <v>1</v>
      </c>
      <c r="L118" s="951"/>
      <c r="M118" s="53">
        <f t="shared" si="23"/>
        <v>1</v>
      </c>
      <c r="N118" s="951"/>
      <c r="O118" s="53">
        <f t="shared" si="24"/>
        <v>1</v>
      </c>
      <c r="P118" s="951"/>
      <c r="Q118" s="53">
        <f t="shared" si="25"/>
        <v>1</v>
      </c>
      <c r="R118" s="484">
        <f t="shared" si="26"/>
        <v>0</v>
      </c>
      <c r="S118" s="789">
        <f t="shared" si="17"/>
        <v>0</v>
      </c>
    </row>
    <row r="119" spans="1:19">
      <c r="A119" s="953"/>
      <c r="B119" s="136"/>
      <c r="C119" s="53">
        <f t="shared" si="18"/>
        <v>1</v>
      </c>
      <c r="D119" s="951"/>
      <c r="E119" s="53">
        <f t="shared" si="19"/>
        <v>1</v>
      </c>
      <c r="F119" s="951"/>
      <c r="G119" s="53">
        <f t="shared" si="20"/>
        <v>1</v>
      </c>
      <c r="H119" s="951"/>
      <c r="I119" s="53">
        <f t="shared" si="21"/>
        <v>1</v>
      </c>
      <c r="J119" s="951"/>
      <c r="K119" s="53">
        <f t="shared" si="22"/>
        <v>1</v>
      </c>
      <c r="L119" s="951"/>
      <c r="M119" s="53">
        <f t="shared" si="23"/>
        <v>1</v>
      </c>
      <c r="N119" s="951"/>
      <c r="O119" s="53">
        <f t="shared" si="24"/>
        <v>1</v>
      </c>
      <c r="P119" s="951"/>
      <c r="Q119" s="53">
        <f t="shared" si="25"/>
        <v>1</v>
      </c>
      <c r="R119" s="484">
        <f t="shared" si="26"/>
        <v>0</v>
      </c>
      <c r="S119" s="789">
        <f t="shared" si="17"/>
        <v>0</v>
      </c>
    </row>
    <row r="120" spans="1:19">
      <c r="A120" s="953"/>
      <c r="B120" s="136"/>
      <c r="C120" s="53">
        <f t="shared" si="18"/>
        <v>1</v>
      </c>
      <c r="D120" s="951"/>
      <c r="E120" s="53">
        <f t="shared" si="19"/>
        <v>1</v>
      </c>
      <c r="F120" s="951"/>
      <c r="G120" s="53">
        <f t="shared" si="20"/>
        <v>1</v>
      </c>
      <c r="H120" s="951"/>
      <c r="I120" s="53">
        <f t="shared" si="21"/>
        <v>1</v>
      </c>
      <c r="J120" s="951"/>
      <c r="K120" s="53">
        <f t="shared" si="22"/>
        <v>1</v>
      </c>
      <c r="L120" s="951"/>
      <c r="M120" s="53">
        <f t="shared" si="23"/>
        <v>1</v>
      </c>
      <c r="N120" s="951"/>
      <c r="O120" s="53">
        <f t="shared" si="24"/>
        <v>1</v>
      </c>
      <c r="P120" s="951"/>
      <c r="Q120" s="53">
        <f t="shared" si="25"/>
        <v>1</v>
      </c>
      <c r="R120" s="484">
        <f t="shared" si="26"/>
        <v>0</v>
      </c>
      <c r="S120" s="789">
        <f t="shared" si="17"/>
        <v>0</v>
      </c>
    </row>
    <row r="121" spans="1:19">
      <c r="A121" s="953"/>
      <c r="B121" s="136"/>
      <c r="C121" s="53">
        <f t="shared" si="18"/>
        <v>1</v>
      </c>
      <c r="D121" s="951"/>
      <c r="E121" s="53">
        <f t="shared" si="19"/>
        <v>1</v>
      </c>
      <c r="F121" s="951"/>
      <c r="G121" s="53">
        <f t="shared" si="20"/>
        <v>1</v>
      </c>
      <c r="H121" s="951"/>
      <c r="I121" s="53">
        <f t="shared" si="21"/>
        <v>1</v>
      </c>
      <c r="J121" s="951"/>
      <c r="K121" s="53">
        <f t="shared" si="22"/>
        <v>1</v>
      </c>
      <c r="L121" s="951"/>
      <c r="M121" s="53">
        <f t="shared" si="23"/>
        <v>1</v>
      </c>
      <c r="N121" s="951"/>
      <c r="O121" s="53">
        <f t="shared" si="24"/>
        <v>1</v>
      </c>
      <c r="P121" s="951"/>
      <c r="Q121" s="53">
        <f t="shared" si="25"/>
        <v>1</v>
      </c>
      <c r="R121" s="484">
        <f t="shared" si="26"/>
        <v>0</v>
      </c>
      <c r="S121" s="789">
        <f t="shared" si="17"/>
        <v>0</v>
      </c>
    </row>
    <row r="122" spans="1:19">
      <c r="A122" s="953"/>
      <c r="B122" s="136"/>
      <c r="C122" s="53">
        <f t="shared" si="18"/>
        <v>1</v>
      </c>
      <c r="D122" s="951"/>
      <c r="E122" s="53">
        <f t="shared" si="19"/>
        <v>1</v>
      </c>
      <c r="F122" s="951"/>
      <c r="G122" s="53">
        <f t="shared" si="20"/>
        <v>1</v>
      </c>
      <c r="H122" s="951"/>
      <c r="I122" s="53">
        <f t="shared" si="21"/>
        <v>1</v>
      </c>
      <c r="J122" s="951"/>
      <c r="K122" s="53">
        <f t="shared" si="22"/>
        <v>1</v>
      </c>
      <c r="L122" s="951"/>
      <c r="M122" s="53">
        <f t="shared" si="23"/>
        <v>1</v>
      </c>
      <c r="N122" s="951"/>
      <c r="O122" s="53">
        <f t="shared" si="24"/>
        <v>1</v>
      </c>
      <c r="P122" s="951"/>
      <c r="Q122" s="53">
        <f t="shared" si="25"/>
        <v>1</v>
      </c>
      <c r="R122" s="484">
        <f t="shared" si="26"/>
        <v>0</v>
      </c>
      <c r="S122" s="789">
        <f t="shared" si="17"/>
        <v>0</v>
      </c>
    </row>
    <row r="123" spans="1:19">
      <c r="A123" s="953"/>
      <c r="B123" s="136"/>
      <c r="C123" s="53">
        <f t="shared" si="18"/>
        <v>1</v>
      </c>
      <c r="D123" s="951"/>
      <c r="E123" s="53">
        <f t="shared" si="19"/>
        <v>1</v>
      </c>
      <c r="F123" s="951"/>
      <c r="G123" s="53">
        <f t="shared" si="20"/>
        <v>1</v>
      </c>
      <c r="H123" s="951"/>
      <c r="I123" s="53">
        <f t="shared" si="21"/>
        <v>1</v>
      </c>
      <c r="J123" s="951"/>
      <c r="K123" s="53">
        <f t="shared" si="22"/>
        <v>1</v>
      </c>
      <c r="L123" s="951"/>
      <c r="M123" s="53">
        <f t="shared" si="23"/>
        <v>1</v>
      </c>
      <c r="N123" s="951"/>
      <c r="O123" s="53">
        <f t="shared" si="24"/>
        <v>1</v>
      </c>
      <c r="P123" s="951"/>
      <c r="Q123" s="53">
        <f t="shared" si="25"/>
        <v>1</v>
      </c>
      <c r="R123" s="484">
        <f t="shared" si="26"/>
        <v>0</v>
      </c>
      <c r="S123" s="789">
        <f t="shared" ref="S123:S186" si="27">ROUND(R123*B123/10000,0)</f>
        <v>0</v>
      </c>
    </row>
    <row r="124" spans="1:19">
      <c r="A124" s="953"/>
      <c r="B124" s="136"/>
      <c r="C124" s="53">
        <f t="shared" si="18"/>
        <v>1</v>
      </c>
      <c r="D124" s="951"/>
      <c r="E124" s="53">
        <f t="shared" si="19"/>
        <v>1</v>
      </c>
      <c r="F124" s="951"/>
      <c r="G124" s="53">
        <f t="shared" si="20"/>
        <v>1</v>
      </c>
      <c r="H124" s="951"/>
      <c r="I124" s="53">
        <f t="shared" si="21"/>
        <v>1</v>
      </c>
      <c r="J124" s="951"/>
      <c r="K124" s="53">
        <f t="shared" si="22"/>
        <v>1</v>
      </c>
      <c r="L124" s="951"/>
      <c r="M124" s="53">
        <f t="shared" si="23"/>
        <v>1</v>
      </c>
      <c r="N124" s="951"/>
      <c r="O124" s="53">
        <f t="shared" si="24"/>
        <v>1</v>
      </c>
      <c r="P124" s="951"/>
      <c r="Q124" s="53">
        <f t="shared" si="25"/>
        <v>1</v>
      </c>
      <c r="R124" s="484">
        <f t="shared" si="26"/>
        <v>0</v>
      </c>
      <c r="S124" s="789">
        <f t="shared" si="27"/>
        <v>0</v>
      </c>
    </row>
    <row r="125" spans="1:19">
      <c r="A125" s="953"/>
      <c r="B125" s="136"/>
      <c r="C125" s="53">
        <f t="shared" si="18"/>
        <v>1</v>
      </c>
      <c r="D125" s="951"/>
      <c r="E125" s="53">
        <f t="shared" si="19"/>
        <v>1</v>
      </c>
      <c r="F125" s="951"/>
      <c r="G125" s="53">
        <f t="shared" si="20"/>
        <v>1</v>
      </c>
      <c r="H125" s="951"/>
      <c r="I125" s="53">
        <f t="shared" si="21"/>
        <v>1</v>
      </c>
      <c r="J125" s="951"/>
      <c r="K125" s="53">
        <f t="shared" si="22"/>
        <v>1</v>
      </c>
      <c r="L125" s="951"/>
      <c r="M125" s="53">
        <f t="shared" si="23"/>
        <v>1</v>
      </c>
      <c r="N125" s="951"/>
      <c r="O125" s="53">
        <f t="shared" si="24"/>
        <v>1</v>
      </c>
      <c r="P125" s="951"/>
      <c r="Q125" s="53">
        <f t="shared" si="25"/>
        <v>1</v>
      </c>
      <c r="R125" s="484">
        <f t="shared" si="26"/>
        <v>0</v>
      </c>
      <c r="S125" s="789">
        <f t="shared" si="27"/>
        <v>0</v>
      </c>
    </row>
    <row r="126" spans="1:19">
      <c r="A126" s="953"/>
      <c r="B126" s="136"/>
      <c r="C126" s="53">
        <f t="shared" si="18"/>
        <v>1</v>
      </c>
      <c r="D126" s="951"/>
      <c r="E126" s="53">
        <f t="shared" si="19"/>
        <v>1</v>
      </c>
      <c r="F126" s="951"/>
      <c r="G126" s="53">
        <f t="shared" si="20"/>
        <v>1</v>
      </c>
      <c r="H126" s="951"/>
      <c r="I126" s="53">
        <f t="shared" si="21"/>
        <v>1</v>
      </c>
      <c r="J126" s="951"/>
      <c r="K126" s="53">
        <f t="shared" si="22"/>
        <v>1</v>
      </c>
      <c r="L126" s="951"/>
      <c r="M126" s="53">
        <f t="shared" si="23"/>
        <v>1</v>
      </c>
      <c r="N126" s="951"/>
      <c r="O126" s="53">
        <f t="shared" si="24"/>
        <v>1</v>
      </c>
      <c r="P126" s="951"/>
      <c r="Q126" s="53">
        <f t="shared" si="25"/>
        <v>1</v>
      </c>
      <c r="R126" s="484">
        <f t="shared" si="26"/>
        <v>0</v>
      </c>
      <c r="S126" s="789">
        <f t="shared" si="27"/>
        <v>0</v>
      </c>
    </row>
    <row r="127" spans="1:19">
      <c r="A127" s="953"/>
      <c r="B127" s="136"/>
      <c r="C127" s="53">
        <f t="shared" si="18"/>
        <v>1</v>
      </c>
      <c r="D127" s="951"/>
      <c r="E127" s="53">
        <f t="shared" si="19"/>
        <v>1</v>
      </c>
      <c r="F127" s="951"/>
      <c r="G127" s="53">
        <f t="shared" si="20"/>
        <v>1</v>
      </c>
      <c r="H127" s="951"/>
      <c r="I127" s="53">
        <f t="shared" si="21"/>
        <v>1</v>
      </c>
      <c r="J127" s="951"/>
      <c r="K127" s="53">
        <f t="shared" si="22"/>
        <v>1</v>
      </c>
      <c r="L127" s="951"/>
      <c r="M127" s="53">
        <f t="shared" si="23"/>
        <v>1</v>
      </c>
      <c r="N127" s="951"/>
      <c r="O127" s="53">
        <f t="shared" si="24"/>
        <v>1</v>
      </c>
      <c r="P127" s="951"/>
      <c r="Q127" s="53">
        <f t="shared" si="25"/>
        <v>1</v>
      </c>
      <c r="R127" s="484">
        <f t="shared" si="26"/>
        <v>0</v>
      </c>
      <c r="S127" s="789">
        <f t="shared" si="27"/>
        <v>0</v>
      </c>
    </row>
    <row r="128" spans="1:19">
      <c r="A128" s="953"/>
      <c r="B128" s="136"/>
      <c r="C128" s="53">
        <f t="shared" si="18"/>
        <v>1</v>
      </c>
      <c r="D128" s="951"/>
      <c r="E128" s="53">
        <f t="shared" si="19"/>
        <v>1</v>
      </c>
      <c r="F128" s="951"/>
      <c r="G128" s="53">
        <f t="shared" si="20"/>
        <v>1</v>
      </c>
      <c r="H128" s="951"/>
      <c r="I128" s="53">
        <f t="shared" si="21"/>
        <v>1</v>
      </c>
      <c r="J128" s="951"/>
      <c r="K128" s="53">
        <f t="shared" si="22"/>
        <v>1</v>
      </c>
      <c r="L128" s="951"/>
      <c r="M128" s="53">
        <f t="shared" si="23"/>
        <v>1</v>
      </c>
      <c r="N128" s="951"/>
      <c r="O128" s="53">
        <f t="shared" si="24"/>
        <v>1</v>
      </c>
      <c r="P128" s="951"/>
      <c r="Q128" s="53">
        <f t="shared" si="25"/>
        <v>1</v>
      </c>
      <c r="R128" s="484">
        <f t="shared" si="26"/>
        <v>0</v>
      </c>
      <c r="S128" s="789">
        <f t="shared" si="27"/>
        <v>0</v>
      </c>
    </row>
    <row r="129" spans="1:19">
      <c r="A129" s="953"/>
      <c r="B129" s="136"/>
      <c r="C129" s="53">
        <f t="shared" si="18"/>
        <v>1</v>
      </c>
      <c r="D129" s="951"/>
      <c r="E129" s="53">
        <f t="shared" si="19"/>
        <v>1</v>
      </c>
      <c r="F129" s="951"/>
      <c r="G129" s="53">
        <f t="shared" si="20"/>
        <v>1</v>
      </c>
      <c r="H129" s="951"/>
      <c r="I129" s="53">
        <f t="shared" si="21"/>
        <v>1</v>
      </c>
      <c r="J129" s="951"/>
      <c r="K129" s="53">
        <f t="shared" si="22"/>
        <v>1</v>
      </c>
      <c r="L129" s="951"/>
      <c r="M129" s="53">
        <f t="shared" si="23"/>
        <v>1</v>
      </c>
      <c r="N129" s="951"/>
      <c r="O129" s="53">
        <f t="shared" si="24"/>
        <v>1</v>
      </c>
      <c r="P129" s="951"/>
      <c r="Q129" s="53">
        <f t="shared" si="25"/>
        <v>1</v>
      </c>
      <c r="R129" s="484">
        <f t="shared" si="26"/>
        <v>0</v>
      </c>
      <c r="S129" s="789">
        <f t="shared" si="27"/>
        <v>0</v>
      </c>
    </row>
    <row r="130" spans="1:19">
      <c r="A130" s="953"/>
      <c r="B130" s="136"/>
      <c r="C130" s="53">
        <f t="shared" si="18"/>
        <v>1</v>
      </c>
      <c r="D130" s="951"/>
      <c r="E130" s="53">
        <f t="shared" si="19"/>
        <v>1</v>
      </c>
      <c r="F130" s="951"/>
      <c r="G130" s="53">
        <f t="shared" si="20"/>
        <v>1</v>
      </c>
      <c r="H130" s="951"/>
      <c r="I130" s="53">
        <f t="shared" si="21"/>
        <v>1</v>
      </c>
      <c r="J130" s="951"/>
      <c r="K130" s="53">
        <f t="shared" si="22"/>
        <v>1</v>
      </c>
      <c r="L130" s="951"/>
      <c r="M130" s="53">
        <f t="shared" si="23"/>
        <v>1</v>
      </c>
      <c r="N130" s="951"/>
      <c r="O130" s="53">
        <f t="shared" si="24"/>
        <v>1</v>
      </c>
      <c r="P130" s="951"/>
      <c r="Q130" s="53">
        <f t="shared" si="25"/>
        <v>1</v>
      </c>
      <c r="R130" s="484">
        <f t="shared" si="26"/>
        <v>0</v>
      </c>
      <c r="S130" s="789">
        <f t="shared" si="27"/>
        <v>0</v>
      </c>
    </row>
    <row r="131" spans="1:19">
      <c r="A131" s="953"/>
      <c r="B131" s="136"/>
      <c r="C131" s="53">
        <f t="shared" si="18"/>
        <v>1</v>
      </c>
      <c r="D131" s="951"/>
      <c r="E131" s="53">
        <f t="shared" si="19"/>
        <v>1</v>
      </c>
      <c r="F131" s="951"/>
      <c r="G131" s="53">
        <f t="shared" si="20"/>
        <v>1</v>
      </c>
      <c r="H131" s="951"/>
      <c r="I131" s="53">
        <f t="shared" si="21"/>
        <v>1</v>
      </c>
      <c r="J131" s="951"/>
      <c r="K131" s="53">
        <f t="shared" si="22"/>
        <v>1</v>
      </c>
      <c r="L131" s="951"/>
      <c r="M131" s="53">
        <f t="shared" si="23"/>
        <v>1</v>
      </c>
      <c r="N131" s="951"/>
      <c r="O131" s="53">
        <f t="shared" si="24"/>
        <v>1</v>
      </c>
      <c r="P131" s="951"/>
      <c r="Q131" s="53">
        <f t="shared" si="25"/>
        <v>1</v>
      </c>
      <c r="R131" s="484">
        <f t="shared" si="26"/>
        <v>0</v>
      </c>
      <c r="S131" s="789">
        <f t="shared" si="27"/>
        <v>0</v>
      </c>
    </row>
    <row r="132" spans="1:19">
      <c r="A132" s="953"/>
      <c r="B132" s="136"/>
      <c r="C132" s="53">
        <f t="shared" si="18"/>
        <v>1</v>
      </c>
      <c r="D132" s="951"/>
      <c r="E132" s="53">
        <f t="shared" si="19"/>
        <v>1</v>
      </c>
      <c r="F132" s="951"/>
      <c r="G132" s="53">
        <f t="shared" si="20"/>
        <v>1</v>
      </c>
      <c r="H132" s="951"/>
      <c r="I132" s="53">
        <f t="shared" si="21"/>
        <v>1</v>
      </c>
      <c r="J132" s="951"/>
      <c r="K132" s="53">
        <f t="shared" si="22"/>
        <v>1</v>
      </c>
      <c r="L132" s="951"/>
      <c r="M132" s="53">
        <f t="shared" si="23"/>
        <v>1</v>
      </c>
      <c r="N132" s="951"/>
      <c r="O132" s="53">
        <f t="shared" si="24"/>
        <v>1</v>
      </c>
      <c r="P132" s="951"/>
      <c r="Q132" s="53">
        <f t="shared" si="25"/>
        <v>1</v>
      </c>
      <c r="R132" s="484">
        <f t="shared" si="26"/>
        <v>0</v>
      </c>
      <c r="S132" s="789">
        <f t="shared" si="27"/>
        <v>0</v>
      </c>
    </row>
    <row r="133" spans="1:19">
      <c r="A133" s="953"/>
      <c r="B133" s="136"/>
      <c r="C133" s="53">
        <f t="shared" si="18"/>
        <v>1</v>
      </c>
      <c r="D133" s="951"/>
      <c r="E133" s="53">
        <f t="shared" si="19"/>
        <v>1</v>
      </c>
      <c r="F133" s="951"/>
      <c r="G133" s="53">
        <f t="shared" si="20"/>
        <v>1</v>
      </c>
      <c r="H133" s="951"/>
      <c r="I133" s="53">
        <f t="shared" si="21"/>
        <v>1</v>
      </c>
      <c r="J133" s="951"/>
      <c r="K133" s="53">
        <f t="shared" si="22"/>
        <v>1</v>
      </c>
      <c r="L133" s="951"/>
      <c r="M133" s="53">
        <f t="shared" si="23"/>
        <v>1</v>
      </c>
      <c r="N133" s="951"/>
      <c r="O133" s="53">
        <f t="shared" si="24"/>
        <v>1</v>
      </c>
      <c r="P133" s="951"/>
      <c r="Q133" s="53">
        <f t="shared" si="25"/>
        <v>1</v>
      </c>
      <c r="R133" s="484">
        <f t="shared" si="26"/>
        <v>0</v>
      </c>
      <c r="S133" s="789">
        <f t="shared" si="27"/>
        <v>0</v>
      </c>
    </row>
    <row r="134" spans="1:19">
      <c r="A134" s="953"/>
      <c r="B134" s="136"/>
      <c r="C134" s="53">
        <f t="shared" si="18"/>
        <v>1</v>
      </c>
      <c r="D134" s="951"/>
      <c r="E134" s="53">
        <f t="shared" si="19"/>
        <v>1</v>
      </c>
      <c r="F134" s="951"/>
      <c r="G134" s="53">
        <f t="shared" si="20"/>
        <v>1</v>
      </c>
      <c r="H134" s="951"/>
      <c r="I134" s="53">
        <f t="shared" si="21"/>
        <v>1</v>
      </c>
      <c r="J134" s="951"/>
      <c r="K134" s="53">
        <f t="shared" si="22"/>
        <v>1</v>
      </c>
      <c r="L134" s="951"/>
      <c r="M134" s="53">
        <f t="shared" si="23"/>
        <v>1</v>
      </c>
      <c r="N134" s="951"/>
      <c r="O134" s="53">
        <f t="shared" si="24"/>
        <v>1</v>
      </c>
      <c r="P134" s="951"/>
      <c r="Q134" s="53">
        <f t="shared" si="25"/>
        <v>1</v>
      </c>
      <c r="R134" s="484">
        <f t="shared" si="26"/>
        <v>0</v>
      </c>
      <c r="S134" s="789">
        <f t="shared" si="27"/>
        <v>0</v>
      </c>
    </row>
    <row r="135" spans="1:19">
      <c r="A135" s="953"/>
      <c r="B135" s="136"/>
      <c r="C135" s="53">
        <f t="shared" si="18"/>
        <v>1</v>
      </c>
      <c r="D135" s="951"/>
      <c r="E135" s="53">
        <f t="shared" si="19"/>
        <v>1</v>
      </c>
      <c r="F135" s="951"/>
      <c r="G135" s="53">
        <f t="shared" si="20"/>
        <v>1</v>
      </c>
      <c r="H135" s="951"/>
      <c r="I135" s="53">
        <f t="shared" si="21"/>
        <v>1</v>
      </c>
      <c r="J135" s="951"/>
      <c r="K135" s="53">
        <f t="shared" si="22"/>
        <v>1</v>
      </c>
      <c r="L135" s="951"/>
      <c r="M135" s="53">
        <f t="shared" si="23"/>
        <v>1</v>
      </c>
      <c r="N135" s="951"/>
      <c r="O135" s="53">
        <f t="shared" si="24"/>
        <v>1</v>
      </c>
      <c r="P135" s="951"/>
      <c r="Q135" s="53">
        <f t="shared" si="25"/>
        <v>1</v>
      </c>
      <c r="R135" s="484">
        <f t="shared" si="26"/>
        <v>0</v>
      </c>
      <c r="S135" s="789">
        <f t="shared" si="27"/>
        <v>0</v>
      </c>
    </row>
    <row r="136" spans="1:19">
      <c r="A136" s="953"/>
      <c r="B136" s="136"/>
      <c r="C136" s="53">
        <f t="shared" si="18"/>
        <v>1</v>
      </c>
      <c r="D136" s="951"/>
      <c r="E136" s="53">
        <f t="shared" si="19"/>
        <v>1</v>
      </c>
      <c r="F136" s="951"/>
      <c r="G136" s="53">
        <f t="shared" si="20"/>
        <v>1</v>
      </c>
      <c r="H136" s="951"/>
      <c r="I136" s="53">
        <f t="shared" si="21"/>
        <v>1</v>
      </c>
      <c r="J136" s="951"/>
      <c r="K136" s="53">
        <f t="shared" si="22"/>
        <v>1</v>
      </c>
      <c r="L136" s="951"/>
      <c r="M136" s="53">
        <f t="shared" si="23"/>
        <v>1</v>
      </c>
      <c r="N136" s="951"/>
      <c r="O136" s="53">
        <f t="shared" si="24"/>
        <v>1</v>
      </c>
      <c r="P136" s="951"/>
      <c r="Q136" s="53">
        <f t="shared" si="25"/>
        <v>1</v>
      </c>
      <c r="R136" s="484">
        <f t="shared" si="26"/>
        <v>0</v>
      </c>
      <c r="S136" s="789">
        <f t="shared" si="27"/>
        <v>0</v>
      </c>
    </row>
    <row r="137" spans="1:19">
      <c r="A137" s="953"/>
      <c r="B137" s="136"/>
      <c r="C137" s="53">
        <f t="shared" si="18"/>
        <v>1</v>
      </c>
      <c r="D137" s="951"/>
      <c r="E137" s="53">
        <f t="shared" si="19"/>
        <v>1</v>
      </c>
      <c r="F137" s="951"/>
      <c r="G137" s="53">
        <f t="shared" si="20"/>
        <v>1</v>
      </c>
      <c r="H137" s="951"/>
      <c r="I137" s="53">
        <f t="shared" si="21"/>
        <v>1</v>
      </c>
      <c r="J137" s="951"/>
      <c r="K137" s="53">
        <f t="shared" si="22"/>
        <v>1</v>
      </c>
      <c r="L137" s="951"/>
      <c r="M137" s="53">
        <f t="shared" si="23"/>
        <v>1</v>
      </c>
      <c r="N137" s="951"/>
      <c r="O137" s="53">
        <f t="shared" si="24"/>
        <v>1</v>
      </c>
      <c r="P137" s="951"/>
      <c r="Q137" s="53">
        <f t="shared" si="25"/>
        <v>1</v>
      </c>
      <c r="R137" s="484">
        <f t="shared" si="26"/>
        <v>0</v>
      </c>
      <c r="S137" s="789">
        <f t="shared" si="27"/>
        <v>0</v>
      </c>
    </row>
    <row r="138" spans="1:19">
      <c r="A138" s="953"/>
      <c r="B138" s="136"/>
      <c r="C138" s="53">
        <f t="shared" si="18"/>
        <v>1</v>
      </c>
      <c r="D138" s="951"/>
      <c r="E138" s="53">
        <f t="shared" si="19"/>
        <v>1</v>
      </c>
      <c r="F138" s="951"/>
      <c r="G138" s="53">
        <f t="shared" si="20"/>
        <v>1</v>
      </c>
      <c r="H138" s="951"/>
      <c r="I138" s="53">
        <f t="shared" si="21"/>
        <v>1</v>
      </c>
      <c r="J138" s="951"/>
      <c r="K138" s="53">
        <f t="shared" si="22"/>
        <v>1</v>
      </c>
      <c r="L138" s="951"/>
      <c r="M138" s="53">
        <f t="shared" si="23"/>
        <v>1</v>
      </c>
      <c r="N138" s="951"/>
      <c r="O138" s="53">
        <f t="shared" si="24"/>
        <v>1</v>
      </c>
      <c r="P138" s="951"/>
      <c r="Q138" s="53">
        <f t="shared" si="25"/>
        <v>1</v>
      </c>
      <c r="R138" s="484">
        <f t="shared" si="26"/>
        <v>0</v>
      </c>
      <c r="S138" s="789">
        <f t="shared" si="27"/>
        <v>0</v>
      </c>
    </row>
    <row r="139" spans="1:19">
      <c r="A139" s="953"/>
      <c r="B139" s="136"/>
      <c r="C139" s="53">
        <f t="shared" si="18"/>
        <v>1</v>
      </c>
      <c r="D139" s="951"/>
      <c r="E139" s="53">
        <f t="shared" si="19"/>
        <v>1</v>
      </c>
      <c r="F139" s="951"/>
      <c r="G139" s="53">
        <f t="shared" si="20"/>
        <v>1</v>
      </c>
      <c r="H139" s="951"/>
      <c r="I139" s="53">
        <f t="shared" si="21"/>
        <v>1</v>
      </c>
      <c r="J139" s="951"/>
      <c r="K139" s="53">
        <f t="shared" si="22"/>
        <v>1</v>
      </c>
      <c r="L139" s="951"/>
      <c r="M139" s="53">
        <f t="shared" si="23"/>
        <v>1</v>
      </c>
      <c r="N139" s="951"/>
      <c r="O139" s="53">
        <f t="shared" si="24"/>
        <v>1</v>
      </c>
      <c r="P139" s="951"/>
      <c r="Q139" s="53">
        <f t="shared" si="25"/>
        <v>1</v>
      </c>
      <c r="R139" s="484">
        <f t="shared" si="26"/>
        <v>0</v>
      </c>
      <c r="S139" s="789">
        <f t="shared" si="27"/>
        <v>0</v>
      </c>
    </row>
    <row r="140" spans="1:19">
      <c r="A140" s="953"/>
      <c r="B140" s="136"/>
      <c r="C140" s="53">
        <f t="shared" si="18"/>
        <v>1</v>
      </c>
      <c r="D140" s="951"/>
      <c r="E140" s="53">
        <f t="shared" si="19"/>
        <v>1</v>
      </c>
      <c r="F140" s="951"/>
      <c r="G140" s="53">
        <f t="shared" si="20"/>
        <v>1</v>
      </c>
      <c r="H140" s="951"/>
      <c r="I140" s="53">
        <f t="shared" si="21"/>
        <v>1</v>
      </c>
      <c r="J140" s="951"/>
      <c r="K140" s="53">
        <f t="shared" si="22"/>
        <v>1</v>
      </c>
      <c r="L140" s="951"/>
      <c r="M140" s="53">
        <f t="shared" si="23"/>
        <v>1</v>
      </c>
      <c r="N140" s="951"/>
      <c r="O140" s="53">
        <f t="shared" si="24"/>
        <v>1</v>
      </c>
      <c r="P140" s="951"/>
      <c r="Q140" s="53">
        <f t="shared" si="25"/>
        <v>1</v>
      </c>
      <c r="R140" s="484">
        <f t="shared" si="26"/>
        <v>0</v>
      </c>
      <c r="S140" s="789">
        <f t="shared" si="27"/>
        <v>0</v>
      </c>
    </row>
    <row r="141" spans="1:19">
      <c r="A141" s="953"/>
      <c r="B141" s="136"/>
      <c r="C141" s="53">
        <f t="shared" si="18"/>
        <v>1</v>
      </c>
      <c r="D141" s="951"/>
      <c r="E141" s="53">
        <f t="shared" si="19"/>
        <v>1</v>
      </c>
      <c r="F141" s="951"/>
      <c r="G141" s="53">
        <f t="shared" si="20"/>
        <v>1</v>
      </c>
      <c r="H141" s="951"/>
      <c r="I141" s="53">
        <f t="shared" si="21"/>
        <v>1</v>
      </c>
      <c r="J141" s="951"/>
      <c r="K141" s="53">
        <f t="shared" si="22"/>
        <v>1</v>
      </c>
      <c r="L141" s="951"/>
      <c r="M141" s="53">
        <f t="shared" si="23"/>
        <v>1</v>
      </c>
      <c r="N141" s="951"/>
      <c r="O141" s="53">
        <f t="shared" si="24"/>
        <v>1</v>
      </c>
      <c r="P141" s="951"/>
      <c r="Q141" s="53">
        <f t="shared" si="25"/>
        <v>1</v>
      </c>
      <c r="R141" s="484">
        <f t="shared" si="26"/>
        <v>0</v>
      </c>
      <c r="S141" s="789">
        <f t="shared" si="27"/>
        <v>0</v>
      </c>
    </row>
    <row r="142" spans="1:19">
      <c r="A142" s="953"/>
      <c r="B142" s="136"/>
      <c r="C142" s="53">
        <f t="shared" si="18"/>
        <v>1</v>
      </c>
      <c r="D142" s="951"/>
      <c r="E142" s="53">
        <f t="shared" si="19"/>
        <v>1</v>
      </c>
      <c r="F142" s="951"/>
      <c r="G142" s="53">
        <f t="shared" si="20"/>
        <v>1</v>
      </c>
      <c r="H142" s="951"/>
      <c r="I142" s="53">
        <f t="shared" si="21"/>
        <v>1</v>
      </c>
      <c r="J142" s="951"/>
      <c r="K142" s="53">
        <f t="shared" si="22"/>
        <v>1</v>
      </c>
      <c r="L142" s="951"/>
      <c r="M142" s="53">
        <f t="shared" si="23"/>
        <v>1</v>
      </c>
      <c r="N142" s="951"/>
      <c r="O142" s="53">
        <f t="shared" si="24"/>
        <v>1</v>
      </c>
      <c r="P142" s="951"/>
      <c r="Q142" s="53">
        <f t="shared" si="25"/>
        <v>1</v>
      </c>
      <c r="R142" s="484">
        <f t="shared" si="26"/>
        <v>0</v>
      </c>
      <c r="S142" s="789">
        <f t="shared" si="27"/>
        <v>0</v>
      </c>
    </row>
    <row r="143" spans="1:19">
      <c r="A143" s="953"/>
      <c r="B143" s="136"/>
      <c r="C143" s="53">
        <f t="shared" si="18"/>
        <v>1</v>
      </c>
      <c r="D143" s="951"/>
      <c r="E143" s="53">
        <f t="shared" si="19"/>
        <v>1</v>
      </c>
      <c r="F143" s="951"/>
      <c r="G143" s="53">
        <f t="shared" si="20"/>
        <v>1</v>
      </c>
      <c r="H143" s="951"/>
      <c r="I143" s="53">
        <f t="shared" si="21"/>
        <v>1</v>
      </c>
      <c r="J143" s="951"/>
      <c r="K143" s="53">
        <f t="shared" si="22"/>
        <v>1</v>
      </c>
      <c r="L143" s="951"/>
      <c r="M143" s="53">
        <f t="shared" si="23"/>
        <v>1</v>
      </c>
      <c r="N143" s="951"/>
      <c r="O143" s="53">
        <f t="shared" si="24"/>
        <v>1</v>
      </c>
      <c r="P143" s="951"/>
      <c r="Q143" s="53">
        <f t="shared" si="25"/>
        <v>1</v>
      </c>
      <c r="R143" s="484">
        <f t="shared" si="26"/>
        <v>0</v>
      </c>
      <c r="S143" s="789">
        <f t="shared" si="27"/>
        <v>0</v>
      </c>
    </row>
    <row r="144" spans="1:19">
      <c r="A144" s="953"/>
      <c r="B144" s="136"/>
      <c r="C144" s="53">
        <f t="shared" si="18"/>
        <v>1</v>
      </c>
      <c r="D144" s="951"/>
      <c r="E144" s="53">
        <f t="shared" si="19"/>
        <v>1</v>
      </c>
      <c r="F144" s="951"/>
      <c r="G144" s="53">
        <f t="shared" si="20"/>
        <v>1</v>
      </c>
      <c r="H144" s="951"/>
      <c r="I144" s="53">
        <f t="shared" si="21"/>
        <v>1</v>
      </c>
      <c r="J144" s="951"/>
      <c r="K144" s="53">
        <f t="shared" si="22"/>
        <v>1</v>
      </c>
      <c r="L144" s="951"/>
      <c r="M144" s="53">
        <f t="shared" si="23"/>
        <v>1</v>
      </c>
      <c r="N144" s="951"/>
      <c r="O144" s="53">
        <f t="shared" si="24"/>
        <v>1</v>
      </c>
      <c r="P144" s="951"/>
      <c r="Q144" s="53">
        <f t="shared" si="25"/>
        <v>1</v>
      </c>
      <c r="R144" s="484">
        <f t="shared" si="26"/>
        <v>0</v>
      </c>
      <c r="S144" s="789">
        <f t="shared" si="27"/>
        <v>0</v>
      </c>
    </row>
    <row r="145" spans="1:19">
      <c r="A145" s="953"/>
      <c r="B145" s="136"/>
      <c r="C145" s="53">
        <f t="shared" si="18"/>
        <v>1</v>
      </c>
      <c r="D145" s="951"/>
      <c r="E145" s="53">
        <f t="shared" si="19"/>
        <v>1</v>
      </c>
      <c r="F145" s="951"/>
      <c r="G145" s="53">
        <f t="shared" si="20"/>
        <v>1</v>
      </c>
      <c r="H145" s="951"/>
      <c r="I145" s="53">
        <f t="shared" si="21"/>
        <v>1</v>
      </c>
      <c r="J145" s="951"/>
      <c r="K145" s="53">
        <f t="shared" si="22"/>
        <v>1</v>
      </c>
      <c r="L145" s="951"/>
      <c r="M145" s="53">
        <f t="shared" si="23"/>
        <v>1</v>
      </c>
      <c r="N145" s="951"/>
      <c r="O145" s="53">
        <f t="shared" si="24"/>
        <v>1</v>
      </c>
      <c r="P145" s="951"/>
      <c r="Q145" s="53">
        <f t="shared" si="25"/>
        <v>1</v>
      </c>
      <c r="R145" s="484">
        <f t="shared" si="26"/>
        <v>0</v>
      </c>
      <c r="S145" s="789">
        <f t="shared" si="27"/>
        <v>0</v>
      </c>
    </row>
    <row r="146" spans="1:19">
      <c r="A146" s="953"/>
      <c r="B146" s="136"/>
      <c r="C146" s="53">
        <f t="shared" si="18"/>
        <v>1</v>
      </c>
      <c r="D146" s="951"/>
      <c r="E146" s="53">
        <f t="shared" si="19"/>
        <v>1</v>
      </c>
      <c r="F146" s="951"/>
      <c r="G146" s="53">
        <f t="shared" si="20"/>
        <v>1</v>
      </c>
      <c r="H146" s="951"/>
      <c r="I146" s="53">
        <f t="shared" si="21"/>
        <v>1</v>
      </c>
      <c r="J146" s="951"/>
      <c r="K146" s="53">
        <f t="shared" si="22"/>
        <v>1</v>
      </c>
      <c r="L146" s="951"/>
      <c r="M146" s="53">
        <f t="shared" si="23"/>
        <v>1</v>
      </c>
      <c r="N146" s="951"/>
      <c r="O146" s="53">
        <f t="shared" si="24"/>
        <v>1</v>
      </c>
      <c r="P146" s="951"/>
      <c r="Q146" s="53">
        <f t="shared" si="25"/>
        <v>1</v>
      </c>
      <c r="R146" s="484">
        <f t="shared" si="26"/>
        <v>0</v>
      </c>
      <c r="S146" s="789">
        <f t="shared" si="27"/>
        <v>0</v>
      </c>
    </row>
    <row r="147" spans="1:19">
      <c r="A147" s="953"/>
      <c r="B147" s="136"/>
      <c r="C147" s="53">
        <f t="shared" si="18"/>
        <v>1</v>
      </c>
      <c r="D147" s="951"/>
      <c r="E147" s="53">
        <f t="shared" si="19"/>
        <v>1</v>
      </c>
      <c r="F147" s="951"/>
      <c r="G147" s="53">
        <f t="shared" si="20"/>
        <v>1</v>
      </c>
      <c r="H147" s="951"/>
      <c r="I147" s="53">
        <f t="shared" si="21"/>
        <v>1</v>
      </c>
      <c r="J147" s="951"/>
      <c r="K147" s="53">
        <f t="shared" si="22"/>
        <v>1</v>
      </c>
      <c r="L147" s="951"/>
      <c r="M147" s="53">
        <f t="shared" si="23"/>
        <v>1</v>
      </c>
      <c r="N147" s="951"/>
      <c r="O147" s="53">
        <f t="shared" si="24"/>
        <v>1</v>
      </c>
      <c r="P147" s="951"/>
      <c r="Q147" s="53">
        <f t="shared" si="25"/>
        <v>1</v>
      </c>
      <c r="R147" s="484">
        <f t="shared" si="26"/>
        <v>0</v>
      </c>
      <c r="S147" s="789">
        <f t="shared" si="27"/>
        <v>0</v>
      </c>
    </row>
    <row r="148" spans="1:19">
      <c r="A148" s="953"/>
      <c r="B148" s="136"/>
      <c r="C148" s="53">
        <f t="shared" si="18"/>
        <v>1</v>
      </c>
      <c r="D148" s="951"/>
      <c r="E148" s="53">
        <f t="shared" si="19"/>
        <v>1</v>
      </c>
      <c r="F148" s="951"/>
      <c r="G148" s="53">
        <f t="shared" si="20"/>
        <v>1</v>
      </c>
      <c r="H148" s="951"/>
      <c r="I148" s="53">
        <f t="shared" si="21"/>
        <v>1</v>
      </c>
      <c r="J148" s="951"/>
      <c r="K148" s="53">
        <f t="shared" si="22"/>
        <v>1</v>
      </c>
      <c r="L148" s="951"/>
      <c r="M148" s="53">
        <f t="shared" si="23"/>
        <v>1</v>
      </c>
      <c r="N148" s="951"/>
      <c r="O148" s="53">
        <f t="shared" si="24"/>
        <v>1</v>
      </c>
      <c r="P148" s="951"/>
      <c r="Q148" s="53">
        <f t="shared" si="25"/>
        <v>1</v>
      </c>
      <c r="R148" s="484">
        <f t="shared" si="26"/>
        <v>0</v>
      </c>
      <c r="S148" s="789">
        <f t="shared" si="27"/>
        <v>0</v>
      </c>
    </row>
    <row r="149" spans="1:19">
      <c r="A149" s="953"/>
      <c r="B149" s="136"/>
      <c r="C149" s="53">
        <f t="shared" si="18"/>
        <v>1</v>
      </c>
      <c r="D149" s="951"/>
      <c r="E149" s="53">
        <f t="shared" si="19"/>
        <v>1</v>
      </c>
      <c r="F149" s="951"/>
      <c r="G149" s="53">
        <f t="shared" si="20"/>
        <v>1</v>
      </c>
      <c r="H149" s="951"/>
      <c r="I149" s="53">
        <f t="shared" si="21"/>
        <v>1</v>
      </c>
      <c r="J149" s="951"/>
      <c r="K149" s="53">
        <f t="shared" si="22"/>
        <v>1</v>
      </c>
      <c r="L149" s="951"/>
      <c r="M149" s="53">
        <f t="shared" si="23"/>
        <v>1</v>
      </c>
      <c r="N149" s="951"/>
      <c r="O149" s="53">
        <f t="shared" si="24"/>
        <v>1</v>
      </c>
      <c r="P149" s="951"/>
      <c r="Q149" s="53">
        <f t="shared" si="25"/>
        <v>1</v>
      </c>
      <c r="R149" s="484">
        <f t="shared" si="26"/>
        <v>0</v>
      </c>
      <c r="S149" s="789">
        <f t="shared" si="27"/>
        <v>0</v>
      </c>
    </row>
    <row r="150" spans="1:19">
      <c r="A150" s="953"/>
      <c r="B150" s="136"/>
      <c r="C150" s="53">
        <f t="shared" si="18"/>
        <v>1</v>
      </c>
      <c r="D150" s="951"/>
      <c r="E150" s="53">
        <f t="shared" si="19"/>
        <v>1</v>
      </c>
      <c r="F150" s="951"/>
      <c r="G150" s="53">
        <f t="shared" si="20"/>
        <v>1</v>
      </c>
      <c r="H150" s="951"/>
      <c r="I150" s="53">
        <f t="shared" si="21"/>
        <v>1</v>
      </c>
      <c r="J150" s="951"/>
      <c r="K150" s="53">
        <f t="shared" si="22"/>
        <v>1</v>
      </c>
      <c r="L150" s="951"/>
      <c r="M150" s="53">
        <f t="shared" si="23"/>
        <v>1</v>
      </c>
      <c r="N150" s="951"/>
      <c r="O150" s="53">
        <f t="shared" si="24"/>
        <v>1</v>
      </c>
      <c r="P150" s="951"/>
      <c r="Q150" s="53">
        <f t="shared" si="25"/>
        <v>1</v>
      </c>
      <c r="R150" s="484">
        <f t="shared" si="26"/>
        <v>0</v>
      </c>
      <c r="S150" s="789">
        <f t="shared" si="27"/>
        <v>0</v>
      </c>
    </row>
    <row r="151" spans="1:19">
      <c r="A151" s="953"/>
      <c r="B151" s="136"/>
      <c r="C151" s="53">
        <f t="shared" si="18"/>
        <v>1</v>
      </c>
      <c r="D151" s="951"/>
      <c r="E151" s="53">
        <f t="shared" si="19"/>
        <v>1</v>
      </c>
      <c r="F151" s="951"/>
      <c r="G151" s="53">
        <f t="shared" si="20"/>
        <v>1</v>
      </c>
      <c r="H151" s="951"/>
      <c r="I151" s="53">
        <f t="shared" si="21"/>
        <v>1</v>
      </c>
      <c r="J151" s="951"/>
      <c r="K151" s="53">
        <f t="shared" si="22"/>
        <v>1</v>
      </c>
      <c r="L151" s="951"/>
      <c r="M151" s="53">
        <f t="shared" si="23"/>
        <v>1</v>
      </c>
      <c r="N151" s="951"/>
      <c r="O151" s="53">
        <f t="shared" si="24"/>
        <v>1</v>
      </c>
      <c r="P151" s="951"/>
      <c r="Q151" s="53">
        <f t="shared" si="25"/>
        <v>1</v>
      </c>
      <c r="R151" s="484">
        <f t="shared" si="26"/>
        <v>0</v>
      </c>
      <c r="S151" s="789">
        <f t="shared" si="27"/>
        <v>0</v>
      </c>
    </row>
    <row r="152" spans="1:19">
      <c r="A152" s="953"/>
      <c r="B152" s="136"/>
      <c r="C152" s="53">
        <f t="shared" si="18"/>
        <v>1</v>
      </c>
      <c r="D152" s="951"/>
      <c r="E152" s="53">
        <f t="shared" si="19"/>
        <v>1</v>
      </c>
      <c r="F152" s="951"/>
      <c r="G152" s="53">
        <f t="shared" si="20"/>
        <v>1</v>
      </c>
      <c r="H152" s="951"/>
      <c r="I152" s="53">
        <f t="shared" si="21"/>
        <v>1</v>
      </c>
      <c r="J152" s="951"/>
      <c r="K152" s="53">
        <f t="shared" si="22"/>
        <v>1</v>
      </c>
      <c r="L152" s="951"/>
      <c r="M152" s="53">
        <f t="shared" si="23"/>
        <v>1</v>
      </c>
      <c r="N152" s="951"/>
      <c r="O152" s="53">
        <f t="shared" si="24"/>
        <v>1</v>
      </c>
      <c r="P152" s="951"/>
      <c r="Q152" s="53">
        <f t="shared" si="25"/>
        <v>1</v>
      </c>
      <c r="R152" s="484">
        <f t="shared" si="26"/>
        <v>0</v>
      </c>
      <c r="S152" s="789">
        <f t="shared" si="27"/>
        <v>0</v>
      </c>
    </row>
    <row r="153" spans="1:19">
      <c r="A153" s="953"/>
      <c r="B153" s="136"/>
      <c r="C153" s="53">
        <f t="shared" si="18"/>
        <v>1</v>
      </c>
      <c r="D153" s="951"/>
      <c r="E153" s="53">
        <f t="shared" si="19"/>
        <v>1</v>
      </c>
      <c r="F153" s="951"/>
      <c r="G153" s="53">
        <f t="shared" si="20"/>
        <v>1</v>
      </c>
      <c r="H153" s="951"/>
      <c r="I153" s="53">
        <f t="shared" si="21"/>
        <v>1</v>
      </c>
      <c r="J153" s="951"/>
      <c r="K153" s="53">
        <f t="shared" si="22"/>
        <v>1</v>
      </c>
      <c r="L153" s="951"/>
      <c r="M153" s="53">
        <f t="shared" si="23"/>
        <v>1</v>
      </c>
      <c r="N153" s="951"/>
      <c r="O153" s="53">
        <f t="shared" si="24"/>
        <v>1</v>
      </c>
      <c r="P153" s="951"/>
      <c r="Q153" s="53">
        <f t="shared" si="25"/>
        <v>1</v>
      </c>
      <c r="R153" s="484">
        <f t="shared" si="26"/>
        <v>0</v>
      </c>
      <c r="S153" s="789">
        <f t="shared" si="27"/>
        <v>0</v>
      </c>
    </row>
    <row r="154" spans="1:19">
      <c r="A154" s="953"/>
      <c r="B154" s="136"/>
      <c r="C154" s="53">
        <f t="shared" ref="C154:C217" si="28">IF(B154="",1,(LOOKUP(B154,$3:$3,$4:$4)-LOOKUP($B$24,$3:$3,$4:$4)+100)/100)</f>
        <v>1</v>
      </c>
      <c r="D154" s="951"/>
      <c r="E154" s="53">
        <f t="shared" ref="E154:E217" si="29">(SUMIF($5:$5,D154,$6:$6)-SUMIF($5:$5,$D$24,$6:$6)+100)/100</f>
        <v>1</v>
      </c>
      <c r="F154" s="951"/>
      <c r="G154" s="53">
        <f t="shared" ref="G154:G217" si="30">(SUMIF($7:$7,F154,$8:$8)-SUMIF($7:$7,$F$24,$8:$8)+100)/100</f>
        <v>1</v>
      </c>
      <c r="H154" s="951"/>
      <c r="I154" s="53">
        <f t="shared" ref="I154:I217" si="31">(SUMIF($9:$9,H154,$10:$10)-SUMIF($9:$9,$H$24,$10:$10)+100)/100</f>
        <v>1</v>
      </c>
      <c r="J154" s="951"/>
      <c r="K154" s="53">
        <f t="shared" ref="K154:K217" si="32">(SUMIF($11:$11,J154,$12:$12)-SUMIF($11:$11,$J$24,$12:$12)+100)/100</f>
        <v>1</v>
      </c>
      <c r="L154" s="951"/>
      <c r="M154" s="53">
        <f t="shared" ref="M154:M217" si="33">(SUMIF($13:$13,L154,$14:$14)-SUMIF($13:$13,$L$24,$14:$14)+100)/100</f>
        <v>1</v>
      </c>
      <c r="N154" s="951"/>
      <c r="O154" s="53">
        <f t="shared" ref="O154:O217" si="34">(SUMIF($15:$15,N154,$16:$16)-SUMIF($15:$15,$N$24,$16:$16)+100)/100</f>
        <v>1</v>
      </c>
      <c r="P154" s="951"/>
      <c r="Q154" s="53">
        <f t="shared" ref="Q154:Q217" si="35">(SUMIF($17:$17,P154,$18:$18)-SUMIF($17:$17,$P$24,$18:$18)+100)/100</f>
        <v>1</v>
      </c>
      <c r="R154" s="484">
        <f t="shared" ref="R154:R217" si="36">IF(B154="",0,ROUND($R$24*C154*E154*G154*I154*K154*M154*O154*Q154,0))</f>
        <v>0</v>
      </c>
      <c r="S154" s="789">
        <f t="shared" si="27"/>
        <v>0</v>
      </c>
    </row>
    <row r="155" spans="1:19">
      <c r="A155" s="953"/>
      <c r="B155" s="136"/>
      <c r="C155" s="53">
        <f t="shared" si="28"/>
        <v>1</v>
      </c>
      <c r="D155" s="951"/>
      <c r="E155" s="53">
        <f t="shared" si="29"/>
        <v>1</v>
      </c>
      <c r="F155" s="951"/>
      <c r="G155" s="53">
        <f t="shared" si="30"/>
        <v>1</v>
      </c>
      <c r="H155" s="951"/>
      <c r="I155" s="53">
        <f t="shared" si="31"/>
        <v>1</v>
      </c>
      <c r="J155" s="951"/>
      <c r="K155" s="53">
        <f t="shared" si="32"/>
        <v>1</v>
      </c>
      <c r="L155" s="951"/>
      <c r="M155" s="53">
        <f t="shared" si="33"/>
        <v>1</v>
      </c>
      <c r="N155" s="951"/>
      <c r="O155" s="53">
        <f t="shared" si="34"/>
        <v>1</v>
      </c>
      <c r="P155" s="951"/>
      <c r="Q155" s="53">
        <f t="shared" si="35"/>
        <v>1</v>
      </c>
      <c r="R155" s="484">
        <f t="shared" si="36"/>
        <v>0</v>
      </c>
      <c r="S155" s="789">
        <f t="shared" si="27"/>
        <v>0</v>
      </c>
    </row>
    <row r="156" spans="1:19">
      <c r="A156" s="953"/>
      <c r="B156" s="136"/>
      <c r="C156" s="53">
        <f t="shared" si="28"/>
        <v>1</v>
      </c>
      <c r="D156" s="951"/>
      <c r="E156" s="53">
        <f t="shared" si="29"/>
        <v>1</v>
      </c>
      <c r="F156" s="951"/>
      <c r="G156" s="53">
        <f t="shared" si="30"/>
        <v>1</v>
      </c>
      <c r="H156" s="951"/>
      <c r="I156" s="53">
        <f t="shared" si="31"/>
        <v>1</v>
      </c>
      <c r="J156" s="951"/>
      <c r="K156" s="53">
        <f t="shared" si="32"/>
        <v>1</v>
      </c>
      <c r="L156" s="951"/>
      <c r="M156" s="53">
        <f t="shared" si="33"/>
        <v>1</v>
      </c>
      <c r="N156" s="951"/>
      <c r="O156" s="53">
        <f t="shared" si="34"/>
        <v>1</v>
      </c>
      <c r="P156" s="951"/>
      <c r="Q156" s="53">
        <f t="shared" si="35"/>
        <v>1</v>
      </c>
      <c r="R156" s="484">
        <f t="shared" si="36"/>
        <v>0</v>
      </c>
      <c r="S156" s="789">
        <f t="shared" si="27"/>
        <v>0</v>
      </c>
    </row>
    <row r="157" spans="1:19">
      <c r="A157" s="953"/>
      <c r="B157" s="136"/>
      <c r="C157" s="53">
        <f t="shared" si="28"/>
        <v>1</v>
      </c>
      <c r="D157" s="951"/>
      <c r="E157" s="53">
        <f t="shared" si="29"/>
        <v>1</v>
      </c>
      <c r="F157" s="951"/>
      <c r="G157" s="53">
        <f t="shared" si="30"/>
        <v>1</v>
      </c>
      <c r="H157" s="951"/>
      <c r="I157" s="53">
        <f t="shared" si="31"/>
        <v>1</v>
      </c>
      <c r="J157" s="951"/>
      <c r="K157" s="53">
        <f t="shared" si="32"/>
        <v>1</v>
      </c>
      <c r="L157" s="951"/>
      <c r="M157" s="53">
        <f t="shared" si="33"/>
        <v>1</v>
      </c>
      <c r="N157" s="951"/>
      <c r="O157" s="53">
        <f t="shared" si="34"/>
        <v>1</v>
      </c>
      <c r="P157" s="951"/>
      <c r="Q157" s="53">
        <f t="shared" si="35"/>
        <v>1</v>
      </c>
      <c r="R157" s="484">
        <f t="shared" si="36"/>
        <v>0</v>
      </c>
      <c r="S157" s="789">
        <f t="shared" si="27"/>
        <v>0</v>
      </c>
    </row>
    <row r="158" spans="1:19">
      <c r="A158" s="953"/>
      <c r="B158" s="136"/>
      <c r="C158" s="53">
        <f t="shared" si="28"/>
        <v>1</v>
      </c>
      <c r="D158" s="951"/>
      <c r="E158" s="53">
        <f t="shared" si="29"/>
        <v>1</v>
      </c>
      <c r="F158" s="951"/>
      <c r="G158" s="53">
        <f t="shared" si="30"/>
        <v>1</v>
      </c>
      <c r="H158" s="951"/>
      <c r="I158" s="53">
        <f t="shared" si="31"/>
        <v>1</v>
      </c>
      <c r="J158" s="951"/>
      <c r="K158" s="53">
        <f t="shared" si="32"/>
        <v>1</v>
      </c>
      <c r="L158" s="951"/>
      <c r="M158" s="53">
        <f t="shared" si="33"/>
        <v>1</v>
      </c>
      <c r="N158" s="951"/>
      <c r="O158" s="53">
        <f t="shared" si="34"/>
        <v>1</v>
      </c>
      <c r="P158" s="951"/>
      <c r="Q158" s="53">
        <f t="shared" si="35"/>
        <v>1</v>
      </c>
      <c r="R158" s="484">
        <f t="shared" si="36"/>
        <v>0</v>
      </c>
      <c r="S158" s="789">
        <f t="shared" si="27"/>
        <v>0</v>
      </c>
    </row>
    <row r="159" spans="1:19">
      <c r="A159" s="953"/>
      <c r="B159" s="136"/>
      <c r="C159" s="53">
        <f t="shared" si="28"/>
        <v>1</v>
      </c>
      <c r="D159" s="951"/>
      <c r="E159" s="53">
        <f t="shared" si="29"/>
        <v>1</v>
      </c>
      <c r="F159" s="951"/>
      <c r="G159" s="53">
        <f t="shared" si="30"/>
        <v>1</v>
      </c>
      <c r="H159" s="951"/>
      <c r="I159" s="53">
        <f t="shared" si="31"/>
        <v>1</v>
      </c>
      <c r="J159" s="951"/>
      <c r="K159" s="53">
        <f t="shared" si="32"/>
        <v>1</v>
      </c>
      <c r="L159" s="951"/>
      <c r="M159" s="53">
        <f t="shared" si="33"/>
        <v>1</v>
      </c>
      <c r="N159" s="951"/>
      <c r="O159" s="53">
        <f t="shared" si="34"/>
        <v>1</v>
      </c>
      <c r="P159" s="951"/>
      <c r="Q159" s="53">
        <f t="shared" si="35"/>
        <v>1</v>
      </c>
      <c r="R159" s="484">
        <f t="shared" si="36"/>
        <v>0</v>
      </c>
      <c r="S159" s="789">
        <f t="shared" si="27"/>
        <v>0</v>
      </c>
    </row>
    <row r="160" spans="1:19">
      <c r="A160" s="953"/>
      <c r="B160" s="136"/>
      <c r="C160" s="53">
        <f t="shared" si="28"/>
        <v>1</v>
      </c>
      <c r="D160" s="951"/>
      <c r="E160" s="53">
        <f t="shared" si="29"/>
        <v>1</v>
      </c>
      <c r="F160" s="951"/>
      <c r="G160" s="53">
        <f t="shared" si="30"/>
        <v>1</v>
      </c>
      <c r="H160" s="951"/>
      <c r="I160" s="53">
        <f t="shared" si="31"/>
        <v>1</v>
      </c>
      <c r="J160" s="951"/>
      <c r="K160" s="53">
        <f t="shared" si="32"/>
        <v>1</v>
      </c>
      <c r="L160" s="951"/>
      <c r="M160" s="53">
        <f t="shared" si="33"/>
        <v>1</v>
      </c>
      <c r="N160" s="951"/>
      <c r="O160" s="53">
        <f t="shared" si="34"/>
        <v>1</v>
      </c>
      <c r="P160" s="951"/>
      <c r="Q160" s="53">
        <f t="shared" si="35"/>
        <v>1</v>
      </c>
      <c r="R160" s="484">
        <f t="shared" si="36"/>
        <v>0</v>
      </c>
      <c r="S160" s="789">
        <f t="shared" si="27"/>
        <v>0</v>
      </c>
    </row>
    <row r="161" spans="1:19">
      <c r="A161" s="953"/>
      <c r="B161" s="136"/>
      <c r="C161" s="53">
        <f t="shared" si="28"/>
        <v>1</v>
      </c>
      <c r="D161" s="951"/>
      <c r="E161" s="53">
        <f t="shared" si="29"/>
        <v>1</v>
      </c>
      <c r="F161" s="951"/>
      <c r="G161" s="53">
        <f t="shared" si="30"/>
        <v>1</v>
      </c>
      <c r="H161" s="951"/>
      <c r="I161" s="53">
        <f t="shared" si="31"/>
        <v>1</v>
      </c>
      <c r="J161" s="951"/>
      <c r="K161" s="53">
        <f t="shared" si="32"/>
        <v>1</v>
      </c>
      <c r="L161" s="951"/>
      <c r="M161" s="53">
        <f t="shared" si="33"/>
        <v>1</v>
      </c>
      <c r="N161" s="951"/>
      <c r="O161" s="53">
        <f t="shared" si="34"/>
        <v>1</v>
      </c>
      <c r="P161" s="951"/>
      <c r="Q161" s="53">
        <f t="shared" si="35"/>
        <v>1</v>
      </c>
      <c r="R161" s="484">
        <f t="shared" si="36"/>
        <v>0</v>
      </c>
      <c r="S161" s="789">
        <f t="shared" si="27"/>
        <v>0</v>
      </c>
    </row>
    <row r="162" spans="1:19">
      <c r="A162" s="953"/>
      <c r="B162" s="136"/>
      <c r="C162" s="53">
        <f t="shared" si="28"/>
        <v>1</v>
      </c>
      <c r="D162" s="951"/>
      <c r="E162" s="53">
        <f t="shared" si="29"/>
        <v>1</v>
      </c>
      <c r="F162" s="951"/>
      <c r="G162" s="53">
        <f t="shared" si="30"/>
        <v>1</v>
      </c>
      <c r="H162" s="951"/>
      <c r="I162" s="53">
        <f t="shared" si="31"/>
        <v>1</v>
      </c>
      <c r="J162" s="951"/>
      <c r="K162" s="53">
        <f t="shared" si="32"/>
        <v>1</v>
      </c>
      <c r="L162" s="951"/>
      <c r="M162" s="53">
        <f t="shared" si="33"/>
        <v>1</v>
      </c>
      <c r="N162" s="951"/>
      <c r="O162" s="53">
        <f t="shared" si="34"/>
        <v>1</v>
      </c>
      <c r="P162" s="951"/>
      <c r="Q162" s="53">
        <f t="shared" si="35"/>
        <v>1</v>
      </c>
      <c r="R162" s="484">
        <f t="shared" si="36"/>
        <v>0</v>
      </c>
      <c r="S162" s="789">
        <f t="shared" si="27"/>
        <v>0</v>
      </c>
    </row>
    <row r="163" spans="1:19">
      <c r="A163" s="953"/>
      <c r="B163" s="136"/>
      <c r="C163" s="53">
        <f t="shared" si="28"/>
        <v>1</v>
      </c>
      <c r="D163" s="951"/>
      <c r="E163" s="53">
        <f t="shared" si="29"/>
        <v>1</v>
      </c>
      <c r="F163" s="951"/>
      <c r="G163" s="53">
        <f t="shared" si="30"/>
        <v>1</v>
      </c>
      <c r="H163" s="951"/>
      <c r="I163" s="53">
        <f t="shared" si="31"/>
        <v>1</v>
      </c>
      <c r="J163" s="951"/>
      <c r="K163" s="53">
        <f t="shared" si="32"/>
        <v>1</v>
      </c>
      <c r="L163" s="951"/>
      <c r="M163" s="53">
        <f t="shared" si="33"/>
        <v>1</v>
      </c>
      <c r="N163" s="951"/>
      <c r="O163" s="53">
        <f t="shared" si="34"/>
        <v>1</v>
      </c>
      <c r="P163" s="951"/>
      <c r="Q163" s="53">
        <f t="shared" si="35"/>
        <v>1</v>
      </c>
      <c r="R163" s="484">
        <f t="shared" si="36"/>
        <v>0</v>
      </c>
      <c r="S163" s="789">
        <f t="shared" si="27"/>
        <v>0</v>
      </c>
    </row>
    <row r="164" spans="1:19">
      <c r="A164" s="953"/>
      <c r="B164" s="136"/>
      <c r="C164" s="53">
        <f t="shared" si="28"/>
        <v>1</v>
      </c>
      <c r="D164" s="951"/>
      <c r="E164" s="53">
        <f t="shared" si="29"/>
        <v>1</v>
      </c>
      <c r="F164" s="951"/>
      <c r="G164" s="53">
        <f t="shared" si="30"/>
        <v>1</v>
      </c>
      <c r="H164" s="951"/>
      <c r="I164" s="53">
        <f t="shared" si="31"/>
        <v>1</v>
      </c>
      <c r="J164" s="951"/>
      <c r="K164" s="53">
        <f t="shared" si="32"/>
        <v>1</v>
      </c>
      <c r="L164" s="951"/>
      <c r="M164" s="53">
        <f t="shared" si="33"/>
        <v>1</v>
      </c>
      <c r="N164" s="951"/>
      <c r="O164" s="53">
        <f t="shared" si="34"/>
        <v>1</v>
      </c>
      <c r="P164" s="951"/>
      <c r="Q164" s="53">
        <f t="shared" si="35"/>
        <v>1</v>
      </c>
      <c r="R164" s="484">
        <f t="shared" si="36"/>
        <v>0</v>
      </c>
      <c r="S164" s="789">
        <f t="shared" si="27"/>
        <v>0</v>
      </c>
    </row>
    <row r="165" spans="1:19">
      <c r="A165" s="953"/>
      <c r="B165" s="136"/>
      <c r="C165" s="53">
        <f t="shared" si="28"/>
        <v>1</v>
      </c>
      <c r="D165" s="951"/>
      <c r="E165" s="53">
        <f t="shared" si="29"/>
        <v>1</v>
      </c>
      <c r="F165" s="951"/>
      <c r="G165" s="53">
        <f t="shared" si="30"/>
        <v>1</v>
      </c>
      <c r="H165" s="951"/>
      <c r="I165" s="53">
        <f t="shared" si="31"/>
        <v>1</v>
      </c>
      <c r="J165" s="951"/>
      <c r="K165" s="53">
        <f t="shared" si="32"/>
        <v>1</v>
      </c>
      <c r="L165" s="951"/>
      <c r="M165" s="53">
        <f t="shared" si="33"/>
        <v>1</v>
      </c>
      <c r="N165" s="951"/>
      <c r="O165" s="53">
        <f t="shared" si="34"/>
        <v>1</v>
      </c>
      <c r="P165" s="951"/>
      <c r="Q165" s="53">
        <f t="shared" si="35"/>
        <v>1</v>
      </c>
      <c r="R165" s="484">
        <f t="shared" si="36"/>
        <v>0</v>
      </c>
      <c r="S165" s="789">
        <f t="shared" si="27"/>
        <v>0</v>
      </c>
    </row>
    <row r="166" spans="1:19">
      <c r="A166" s="953"/>
      <c r="B166" s="136"/>
      <c r="C166" s="53">
        <f t="shared" si="28"/>
        <v>1</v>
      </c>
      <c r="D166" s="951"/>
      <c r="E166" s="53">
        <f t="shared" si="29"/>
        <v>1</v>
      </c>
      <c r="F166" s="951"/>
      <c r="G166" s="53">
        <f t="shared" si="30"/>
        <v>1</v>
      </c>
      <c r="H166" s="951"/>
      <c r="I166" s="53">
        <f t="shared" si="31"/>
        <v>1</v>
      </c>
      <c r="J166" s="951"/>
      <c r="K166" s="53">
        <f t="shared" si="32"/>
        <v>1</v>
      </c>
      <c r="L166" s="951"/>
      <c r="M166" s="53">
        <f t="shared" si="33"/>
        <v>1</v>
      </c>
      <c r="N166" s="951"/>
      <c r="O166" s="53">
        <f t="shared" si="34"/>
        <v>1</v>
      </c>
      <c r="P166" s="951"/>
      <c r="Q166" s="53">
        <f t="shared" si="35"/>
        <v>1</v>
      </c>
      <c r="R166" s="484">
        <f t="shared" si="36"/>
        <v>0</v>
      </c>
      <c r="S166" s="789">
        <f t="shared" si="27"/>
        <v>0</v>
      </c>
    </row>
    <row r="167" spans="1:19">
      <c r="A167" s="953"/>
      <c r="B167" s="136"/>
      <c r="C167" s="53">
        <f t="shared" si="28"/>
        <v>1</v>
      </c>
      <c r="D167" s="951"/>
      <c r="E167" s="53">
        <f t="shared" si="29"/>
        <v>1</v>
      </c>
      <c r="F167" s="951"/>
      <c r="G167" s="53">
        <f t="shared" si="30"/>
        <v>1</v>
      </c>
      <c r="H167" s="951"/>
      <c r="I167" s="53">
        <f t="shared" si="31"/>
        <v>1</v>
      </c>
      <c r="J167" s="951"/>
      <c r="K167" s="53">
        <f t="shared" si="32"/>
        <v>1</v>
      </c>
      <c r="L167" s="951"/>
      <c r="M167" s="53">
        <f t="shared" si="33"/>
        <v>1</v>
      </c>
      <c r="N167" s="951"/>
      <c r="O167" s="53">
        <f t="shared" si="34"/>
        <v>1</v>
      </c>
      <c r="P167" s="951"/>
      <c r="Q167" s="53">
        <f t="shared" si="35"/>
        <v>1</v>
      </c>
      <c r="R167" s="484">
        <f t="shared" si="36"/>
        <v>0</v>
      </c>
      <c r="S167" s="789">
        <f t="shared" si="27"/>
        <v>0</v>
      </c>
    </row>
    <row r="168" spans="1:19">
      <c r="A168" s="953"/>
      <c r="B168" s="136"/>
      <c r="C168" s="53">
        <f t="shared" si="28"/>
        <v>1</v>
      </c>
      <c r="D168" s="951"/>
      <c r="E168" s="53">
        <f t="shared" si="29"/>
        <v>1</v>
      </c>
      <c r="F168" s="951"/>
      <c r="G168" s="53">
        <f t="shared" si="30"/>
        <v>1</v>
      </c>
      <c r="H168" s="951"/>
      <c r="I168" s="53">
        <f t="shared" si="31"/>
        <v>1</v>
      </c>
      <c r="J168" s="951"/>
      <c r="K168" s="53">
        <f t="shared" si="32"/>
        <v>1</v>
      </c>
      <c r="L168" s="951"/>
      <c r="M168" s="53">
        <f t="shared" si="33"/>
        <v>1</v>
      </c>
      <c r="N168" s="951"/>
      <c r="O168" s="53">
        <f t="shared" si="34"/>
        <v>1</v>
      </c>
      <c r="P168" s="951"/>
      <c r="Q168" s="53">
        <f t="shared" si="35"/>
        <v>1</v>
      </c>
      <c r="R168" s="484">
        <f t="shared" si="36"/>
        <v>0</v>
      </c>
      <c r="S168" s="789">
        <f t="shared" si="27"/>
        <v>0</v>
      </c>
    </row>
    <row r="169" spans="1:19">
      <c r="A169" s="953"/>
      <c r="B169" s="136"/>
      <c r="C169" s="53">
        <f t="shared" si="28"/>
        <v>1</v>
      </c>
      <c r="D169" s="951"/>
      <c r="E169" s="53">
        <f t="shared" si="29"/>
        <v>1</v>
      </c>
      <c r="F169" s="951"/>
      <c r="G169" s="53">
        <f t="shared" si="30"/>
        <v>1</v>
      </c>
      <c r="H169" s="951"/>
      <c r="I169" s="53">
        <f t="shared" si="31"/>
        <v>1</v>
      </c>
      <c r="J169" s="951"/>
      <c r="K169" s="53">
        <f t="shared" si="32"/>
        <v>1</v>
      </c>
      <c r="L169" s="951"/>
      <c r="M169" s="53">
        <f t="shared" si="33"/>
        <v>1</v>
      </c>
      <c r="N169" s="951"/>
      <c r="O169" s="53">
        <f t="shared" si="34"/>
        <v>1</v>
      </c>
      <c r="P169" s="951"/>
      <c r="Q169" s="53">
        <f t="shared" si="35"/>
        <v>1</v>
      </c>
      <c r="R169" s="484">
        <f t="shared" si="36"/>
        <v>0</v>
      </c>
      <c r="S169" s="789">
        <f t="shared" si="27"/>
        <v>0</v>
      </c>
    </row>
    <row r="170" spans="1:19">
      <c r="A170" s="953"/>
      <c r="B170" s="136"/>
      <c r="C170" s="53">
        <f t="shared" si="28"/>
        <v>1</v>
      </c>
      <c r="D170" s="951"/>
      <c r="E170" s="53">
        <f t="shared" si="29"/>
        <v>1</v>
      </c>
      <c r="F170" s="951"/>
      <c r="G170" s="53">
        <f t="shared" si="30"/>
        <v>1</v>
      </c>
      <c r="H170" s="951"/>
      <c r="I170" s="53">
        <f t="shared" si="31"/>
        <v>1</v>
      </c>
      <c r="J170" s="951"/>
      <c r="K170" s="53">
        <f t="shared" si="32"/>
        <v>1</v>
      </c>
      <c r="L170" s="951"/>
      <c r="M170" s="53">
        <f t="shared" si="33"/>
        <v>1</v>
      </c>
      <c r="N170" s="951"/>
      <c r="O170" s="53">
        <f t="shared" si="34"/>
        <v>1</v>
      </c>
      <c r="P170" s="951"/>
      <c r="Q170" s="53">
        <f t="shared" si="35"/>
        <v>1</v>
      </c>
      <c r="R170" s="484">
        <f t="shared" si="36"/>
        <v>0</v>
      </c>
      <c r="S170" s="789">
        <f t="shared" si="27"/>
        <v>0</v>
      </c>
    </row>
    <row r="171" spans="1:19">
      <c r="A171" s="953"/>
      <c r="B171" s="136"/>
      <c r="C171" s="53">
        <f t="shared" si="28"/>
        <v>1</v>
      </c>
      <c r="D171" s="951"/>
      <c r="E171" s="53">
        <f t="shared" si="29"/>
        <v>1</v>
      </c>
      <c r="F171" s="951"/>
      <c r="G171" s="53">
        <f t="shared" si="30"/>
        <v>1</v>
      </c>
      <c r="H171" s="951"/>
      <c r="I171" s="53">
        <f t="shared" si="31"/>
        <v>1</v>
      </c>
      <c r="J171" s="951"/>
      <c r="K171" s="53">
        <f t="shared" si="32"/>
        <v>1</v>
      </c>
      <c r="L171" s="951"/>
      <c r="M171" s="53">
        <f t="shared" si="33"/>
        <v>1</v>
      </c>
      <c r="N171" s="951"/>
      <c r="O171" s="53">
        <f t="shared" si="34"/>
        <v>1</v>
      </c>
      <c r="P171" s="951"/>
      <c r="Q171" s="53">
        <f t="shared" si="35"/>
        <v>1</v>
      </c>
      <c r="R171" s="484">
        <f t="shared" si="36"/>
        <v>0</v>
      </c>
      <c r="S171" s="789">
        <f t="shared" si="27"/>
        <v>0</v>
      </c>
    </row>
    <row r="172" spans="1:19">
      <c r="A172" s="953"/>
      <c r="B172" s="136"/>
      <c r="C172" s="53">
        <f t="shared" si="28"/>
        <v>1</v>
      </c>
      <c r="D172" s="951"/>
      <c r="E172" s="53">
        <f t="shared" si="29"/>
        <v>1</v>
      </c>
      <c r="F172" s="951"/>
      <c r="G172" s="53">
        <f t="shared" si="30"/>
        <v>1</v>
      </c>
      <c r="H172" s="951"/>
      <c r="I172" s="53">
        <f t="shared" si="31"/>
        <v>1</v>
      </c>
      <c r="J172" s="951"/>
      <c r="K172" s="53">
        <f t="shared" si="32"/>
        <v>1</v>
      </c>
      <c r="L172" s="951"/>
      <c r="M172" s="53">
        <f t="shared" si="33"/>
        <v>1</v>
      </c>
      <c r="N172" s="951"/>
      <c r="O172" s="53">
        <f t="shared" si="34"/>
        <v>1</v>
      </c>
      <c r="P172" s="951"/>
      <c r="Q172" s="53">
        <f t="shared" si="35"/>
        <v>1</v>
      </c>
      <c r="R172" s="484">
        <f t="shared" si="36"/>
        <v>0</v>
      </c>
      <c r="S172" s="789">
        <f t="shared" si="27"/>
        <v>0</v>
      </c>
    </row>
    <row r="173" spans="1:19">
      <c r="A173" s="953"/>
      <c r="B173" s="136"/>
      <c r="C173" s="53">
        <f t="shared" si="28"/>
        <v>1</v>
      </c>
      <c r="D173" s="951"/>
      <c r="E173" s="53">
        <f t="shared" si="29"/>
        <v>1</v>
      </c>
      <c r="F173" s="951"/>
      <c r="G173" s="53">
        <f t="shared" si="30"/>
        <v>1</v>
      </c>
      <c r="H173" s="951"/>
      <c r="I173" s="53">
        <f t="shared" si="31"/>
        <v>1</v>
      </c>
      <c r="J173" s="951"/>
      <c r="K173" s="53">
        <f t="shared" si="32"/>
        <v>1</v>
      </c>
      <c r="L173" s="951"/>
      <c r="M173" s="53">
        <f t="shared" si="33"/>
        <v>1</v>
      </c>
      <c r="N173" s="951"/>
      <c r="O173" s="53">
        <f t="shared" si="34"/>
        <v>1</v>
      </c>
      <c r="P173" s="951"/>
      <c r="Q173" s="53">
        <f t="shared" si="35"/>
        <v>1</v>
      </c>
      <c r="R173" s="484">
        <f t="shared" si="36"/>
        <v>0</v>
      </c>
      <c r="S173" s="789">
        <f t="shared" si="27"/>
        <v>0</v>
      </c>
    </row>
    <row r="174" spans="1:19">
      <c r="A174" s="953"/>
      <c r="B174" s="136"/>
      <c r="C174" s="53">
        <f t="shared" si="28"/>
        <v>1</v>
      </c>
      <c r="D174" s="951"/>
      <c r="E174" s="53">
        <f t="shared" si="29"/>
        <v>1</v>
      </c>
      <c r="F174" s="951"/>
      <c r="G174" s="53">
        <f t="shared" si="30"/>
        <v>1</v>
      </c>
      <c r="H174" s="951"/>
      <c r="I174" s="53">
        <f t="shared" si="31"/>
        <v>1</v>
      </c>
      <c r="J174" s="951"/>
      <c r="K174" s="53">
        <f t="shared" si="32"/>
        <v>1</v>
      </c>
      <c r="L174" s="951"/>
      <c r="M174" s="53">
        <f t="shared" si="33"/>
        <v>1</v>
      </c>
      <c r="N174" s="951"/>
      <c r="O174" s="53">
        <f t="shared" si="34"/>
        <v>1</v>
      </c>
      <c r="P174" s="951"/>
      <c r="Q174" s="53">
        <f t="shared" si="35"/>
        <v>1</v>
      </c>
      <c r="R174" s="484">
        <f t="shared" si="36"/>
        <v>0</v>
      </c>
      <c r="S174" s="789">
        <f t="shared" si="27"/>
        <v>0</v>
      </c>
    </row>
    <row r="175" spans="1:19">
      <c r="A175" s="953"/>
      <c r="B175" s="136"/>
      <c r="C175" s="53">
        <f t="shared" si="28"/>
        <v>1</v>
      </c>
      <c r="D175" s="951"/>
      <c r="E175" s="53">
        <f t="shared" si="29"/>
        <v>1</v>
      </c>
      <c r="F175" s="951"/>
      <c r="G175" s="53">
        <f t="shared" si="30"/>
        <v>1</v>
      </c>
      <c r="H175" s="951"/>
      <c r="I175" s="53">
        <f t="shared" si="31"/>
        <v>1</v>
      </c>
      <c r="J175" s="951"/>
      <c r="K175" s="53">
        <f t="shared" si="32"/>
        <v>1</v>
      </c>
      <c r="L175" s="951"/>
      <c r="M175" s="53">
        <f t="shared" si="33"/>
        <v>1</v>
      </c>
      <c r="N175" s="951"/>
      <c r="O175" s="53">
        <f t="shared" si="34"/>
        <v>1</v>
      </c>
      <c r="P175" s="951"/>
      <c r="Q175" s="53">
        <f t="shared" si="35"/>
        <v>1</v>
      </c>
      <c r="R175" s="484">
        <f t="shared" si="36"/>
        <v>0</v>
      </c>
      <c r="S175" s="789">
        <f t="shared" si="27"/>
        <v>0</v>
      </c>
    </row>
    <row r="176" spans="1:19">
      <c r="A176" s="953"/>
      <c r="B176" s="136"/>
      <c r="C176" s="53">
        <f t="shared" si="28"/>
        <v>1</v>
      </c>
      <c r="D176" s="951"/>
      <c r="E176" s="53">
        <f t="shared" si="29"/>
        <v>1</v>
      </c>
      <c r="F176" s="951"/>
      <c r="G176" s="53">
        <f t="shared" si="30"/>
        <v>1</v>
      </c>
      <c r="H176" s="951"/>
      <c r="I176" s="53">
        <f t="shared" si="31"/>
        <v>1</v>
      </c>
      <c r="J176" s="951"/>
      <c r="K176" s="53">
        <f t="shared" si="32"/>
        <v>1</v>
      </c>
      <c r="L176" s="951"/>
      <c r="M176" s="53">
        <f t="shared" si="33"/>
        <v>1</v>
      </c>
      <c r="N176" s="951"/>
      <c r="O176" s="53">
        <f t="shared" si="34"/>
        <v>1</v>
      </c>
      <c r="P176" s="951"/>
      <c r="Q176" s="53">
        <f t="shared" si="35"/>
        <v>1</v>
      </c>
      <c r="R176" s="484">
        <f t="shared" si="36"/>
        <v>0</v>
      </c>
      <c r="S176" s="789">
        <f t="shared" si="27"/>
        <v>0</v>
      </c>
    </row>
    <row r="177" spans="1:19">
      <c r="A177" s="953"/>
      <c r="B177" s="136"/>
      <c r="C177" s="53">
        <f t="shared" si="28"/>
        <v>1</v>
      </c>
      <c r="D177" s="951"/>
      <c r="E177" s="53">
        <f t="shared" si="29"/>
        <v>1</v>
      </c>
      <c r="F177" s="951"/>
      <c r="G177" s="53">
        <f t="shared" si="30"/>
        <v>1</v>
      </c>
      <c r="H177" s="951"/>
      <c r="I177" s="53">
        <f t="shared" si="31"/>
        <v>1</v>
      </c>
      <c r="J177" s="951"/>
      <c r="K177" s="53">
        <f t="shared" si="32"/>
        <v>1</v>
      </c>
      <c r="L177" s="951"/>
      <c r="M177" s="53">
        <f t="shared" si="33"/>
        <v>1</v>
      </c>
      <c r="N177" s="951"/>
      <c r="O177" s="53">
        <f t="shared" si="34"/>
        <v>1</v>
      </c>
      <c r="P177" s="951"/>
      <c r="Q177" s="53">
        <f t="shared" si="35"/>
        <v>1</v>
      </c>
      <c r="R177" s="484">
        <f t="shared" si="36"/>
        <v>0</v>
      </c>
      <c r="S177" s="789">
        <f t="shared" si="27"/>
        <v>0</v>
      </c>
    </row>
    <row r="178" spans="1:19">
      <c r="A178" s="953"/>
      <c r="B178" s="136"/>
      <c r="C178" s="53">
        <f t="shared" si="28"/>
        <v>1</v>
      </c>
      <c r="D178" s="951"/>
      <c r="E178" s="53">
        <f t="shared" si="29"/>
        <v>1</v>
      </c>
      <c r="F178" s="951"/>
      <c r="G178" s="53">
        <f t="shared" si="30"/>
        <v>1</v>
      </c>
      <c r="H178" s="951"/>
      <c r="I178" s="53">
        <f t="shared" si="31"/>
        <v>1</v>
      </c>
      <c r="J178" s="951"/>
      <c r="K178" s="53">
        <f t="shared" si="32"/>
        <v>1</v>
      </c>
      <c r="L178" s="951"/>
      <c r="M178" s="53">
        <f t="shared" si="33"/>
        <v>1</v>
      </c>
      <c r="N178" s="951"/>
      <c r="O178" s="53">
        <f t="shared" si="34"/>
        <v>1</v>
      </c>
      <c r="P178" s="951"/>
      <c r="Q178" s="53">
        <f t="shared" si="35"/>
        <v>1</v>
      </c>
      <c r="R178" s="484">
        <f t="shared" si="36"/>
        <v>0</v>
      </c>
      <c r="S178" s="789">
        <f t="shared" si="27"/>
        <v>0</v>
      </c>
    </row>
    <row r="179" spans="1:19">
      <c r="A179" s="953"/>
      <c r="B179" s="136"/>
      <c r="C179" s="53">
        <f t="shared" si="28"/>
        <v>1</v>
      </c>
      <c r="D179" s="951"/>
      <c r="E179" s="53">
        <f t="shared" si="29"/>
        <v>1</v>
      </c>
      <c r="F179" s="951"/>
      <c r="G179" s="53">
        <f t="shared" si="30"/>
        <v>1</v>
      </c>
      <c r="H179" s="951"/>
      <c r="I179" s="53">
        <f t="shared" si="31"/>
        <v>1</v>
      </c>
      <c r="J179" s="951"/>
      <c r="K179" s="53">
        <f t="shared" si="32"/>
        <v>1</v>
      </c>
      <c r="L179" s="951"/>
      <c r="M179" s="53">
        <f t="shared" si="33"/>
        <v>1</v>
      </c>
      <c r="N179" s="951"/>
      <c r="O179" s="53">
        <f t="shared" si="34"/>
        <v>1</v>
      </c>
      <c r="P179" s="951"/>
      <c r="Q179" s="53">
        <f t="shared" si="35"/>
        <v>1</v>
      </c>
      <c r="R179" s="484">
        <f t="shared" si="36"/>
        <v>0</v>
      </c>
      <c r="S179" s="789">
        <f t="shared" si="27"/>
        <v>0</v>
      </c>
    </row>
    <row r="180" spans="1:19">
      <c r="A180" s="953"/>
      <c r="B180" s="136"/>
      <c r="C180" s="53">
        <f t="shared" si="28"/>
        <v>1</v>
      </c>
      <c r="D180" s="951"/>
      <c r="E180" s="53">
        <f t="shared" si="29"/>
        <v>1</v>
      </c>
      <c r="F180" s="951"/>
      <c r="G180" s="53">
        <f t="shared" si="30"/>
        <v>1</v>
      </c>
      <c r="H180" s="951"/>
      <c r="I180" s="53">
        <f t="shared" si="31"/>
        <v>1</v>
      </c>
      <c r="J180" s="951"/>
      <c r="K180" s="53">
        <f t="shared" si="32"/>
        <v>1</v>
      </c>
      <c r="L180" s="951"/>
      <c r="M180" s="53">
        <f t="shared" si="33"/>
        <v>1</v>
      </c>
      <c r="N180" s="951"/>
      <c r="O180" s="53">
        <f t="shared" si="34"/>
        <v>1</v>
      </c>
      <c r="P180" s="951"/>
      <c r="Q180" s="53">
        <f t="shared" si="35"/>
        <v>1</v>
      </c>
      <c r="R180" s="484">
        <f t="shared" si="36"/>
        <v>0</v>
      </c>
      <c r="S180" s="789">
        <f t="shared" si="27"/>
        <v>0</v>
      </c>
    </row>
    <row r="181" spans="1:19">
      <c r="A181" s="953"/>
      <c r="B181" s="136"/>
      <c r="C181" s="53">
        <f t="shared" si="28"/>
        <v>1</v>
      </c>
      <c r="D181" s="951"/>
      <c r="E181" s="53">
        <f t="shared" si="29"/>
        <v>1</v>
      </c>
      <c r="F181" s="951"/>
      <c r="G181" s="53">
        <f t="shared" si="30"/>
        <v>1</v>
      </c>
      <c r="H181" s="951"/>
      <c r="I181" s="53">
        <f t="shared" si="31"/>
        <v>1</v>
      </c>
      <c r="J181" s="951"/>
      <c r="K181" s="53">
        <f t="shared" si="32"/>
        <v>1</v>
      </c>
      <c r="L181" s="951"/>
      <c r="M181" s="53">
        <f t="shared" si="33"/>
        <v>1</v>
      </c>
      <c r="N181" s="951"/>
      <c r="O181" s="53">
        <f t="shared" si="34"/>
        <v>1</v>
      </c>
      <c r="P181" s="951"/>
      <c r="Q181" s="53">
        <f t="shared" si="35"/>
        <v>1</v>
      </c>
      <c r="R181" s="484">
        <f t="shared" si="36"/>
        <v>0</v>
      </c>
      <c r="S181" s="789">
        <f t="shared" si="27"/>
        <v>0</v>
      </c>
    </row>
    <row r="182" spans="1:19">
      <c r="A182" s="953"/>
      <c r="B182" s="136"/>
      <c r="C182" s="53">
        <f t="shared" si="28"/>
        <v>1</v>
      </c>
      <c r="D182" s="951"/>
      <c r="E182" s="53">
        <f t="shared" si="29"/>
        <v>1</v>
      </c>
      <c r="F182" s="951"/>
      <c r="G182" s="53">
        <f t="shared" si="30"/>
        <v>1</v>
      </c>
      <c r="H182" s="951"/>
      <c r="I182" s="53">
        <f t="shared" si="31"/>
        <v>1</v>
      </c>
      <c r="J182" s="951"/>
      <c r="K182" s="53">
        <f t="shared" si="32"/>
        <v>1</v>
      </c>
      <c r="L182" s="951"/>
      <c r="M182" s="53">
        <f t="shared" si="33"/>
        <v>1</v>
      </c>
      <c r="N182" s="951"/>
      <c r="O182" s="53">
        <f t="shared" si="34"/>
        <v>1</v>
      </c>
      <c r="P182" s="951"/>
      <c r="Q182" s="53">
        <f t="shared" si="35"/>
        <v>1</v>
      </c>
      <c r="R182" s="484">
        <f t="shared" si="36"/>
        <v>0</v>
      </c>
      <c r="S182" s="789">
        <f t="shared" si="27"/>
        <v>0</v>
      </c>
    </row>
    <row r="183" spans="1:19">
      <c r="A183" s="953"/>
      <c r="B183" s="136"/>
      <c r="C183" s="53">
        <f t="shared" si="28"/>
        <v>1</v>
      </c>
      <c r="D183" s="951"/>
      <c r="E183" s="53">
        <f t="shared" si="29"/>
        <v>1</v>
      </c>
      <c r="F183" s="951"/>
      <c r="G183" s="53">
        <f t="shared" si="30"/>
        <v>1</v>
      </c>
      <c r="H183" s="951"/>
      <c r="I183" s="53">
        <f t="shared" si="31"/>
        <v>1</v>
      </c>
      <c r="J183" s="951"/>
      <c r="K183" s="53">
        <f t="shared" si="32"/>
        <v>1</v>
      </c>
      <c r="L183" s="951"/>
      <c r="M183" s="53">
        <f t="shared" si="33"/>
        <v>1</v>
      </c>
      <c r="N183" s="951"/>
      <c r="O183" s="53">
        <f t="shared" si="34"/>
        <v>1</v>
      </c>
      <c r="P183" s="951"/>
      <c r="Q183" s="53">
        <f t="shared" si="35"/>
        <v>1</v>
      </c>
      <c r="R183" s="484">
        <f t="shared" si="36"/>
        <v>0</v>
      </c>
      <c r="S183" s="789">
        <f t="shared" si="27"/>
        <v>0</v>
      </c>
    </row>
    <row r="184" spans="1:19">
      <c r="A184" s="953"/>
      <c r="B184" s="136"/>
      <c r="C184" s="53">
        <f t="shared" si="28"/>
        <v>1</v>
      </c>
      <c r="D184" s="951"/>
      <c r="E184" s="53">
        <f t="shared" si="29"/>
        <v>1</v>
      </c>
      <c r="F184" s="951"/>
      <c r="G184" s="53">
        <f t="shared" si="30"/>
        <v>1</v>
      </c>
      <c r="H184" s="951"/>
      <c r="I184" s="53">
        <f t="shared" si="31"/>
        <v>1</v>
      </c>
      <c r="J184" s="951"/>
      <c r="K184" s="53">
        <f t="shared" si="32"/>
        <v>1</v>
      </c>
      <c r="L184" s="951"/>
      <c r="M184" s="53">
        <f t="shared" si="33"/>
        <v>1</v>
      </c>
      <c r="N184" s="951"/>
      <c r="O184" s="53">
        <f t="shared" si="34"/>
        <v>1</v>
      </c>
      <c r="P184" s="951"/>
      <c r="Q184" s="53">
        <f t="shared" si="35"/>
        <v>1</v>
      </c>
      <c r="R184" s="484">
        <f t="shared" si="36"/>
        <v>0</v>
      </c>
      <c r="S184" s="789">
        <f t="shared" si="27"/>
        <v>0</v>
      </c>
    </row>
    <row r="185" spans="1:19">
      <c r="A185" s="953"/>
      <c r="B185" s="136"/>
      <c r="C185" s="53">
        <f t="shared" si="28"/>
        <v>1</v>
      </c>
      <c r="D185" s="951"/>
      <c r="E185" s="53">
        <f t="shared" si="29"/>
        <v>1</v>
      </c>
      <c r="F185" s="951"/>
      <c r="G185" s="53">
        <f t="shared" si="30"/>
        <v>1</v>
      </c>
      <c r="H185" s="951"/>
      <c r="I185" s="53">
        <f t="shared" si="31"/>
        <v>1</v>
      </c>
      <c r="J185" s="951"/>
      <c r="K185" s="53">
        <f t="shared" si="32"/>
        <v>1</v>
      </c>
      <c r="L185" s="951"/>
      <c r="M185" s="53">
        <f t="shared" si="33"/>
        <v>1</v>
      </c>
      <c r="N185" s="951"/>
      <c r="O185" s="53">
        <f t="shared" si="34"/>
        <v>1</v>
      </c>
      <c r="P185" s="951"/>
      <c r="Q185" s="53">
        <f t="shared" si="35"/>
        <v>1</v>
      </c>
      <c r="R185" s="484">
        <f t="shared" si="36"/>
        <v>0</v>
      </c>
      <c r="S185" s="789">
        <f t="shared" si="27"/>
        <v>0</v>
      </c>
    </row>
    <row r="186" spans="1:19">
      <c r="A186" s="953"/>
      <c r="B186" s="136"/>
      <c r="C186" s="53">
        <f t="shared" si="28"/>
        <v>1</v>
      </c>
      <c r="D186" s="951"/>
      <c r="E186" s="53">
        <f t="shared" si="29"/>
        <v>1</v>
      </c>
      <c r="F186" s="951"/>
      <c r="G186" s="53">
        <f t="shared" si="30"/>
        <v>1</v>
      </c>
      <c r="H186" s="951"/>
      <c r="I186" s="53">
        <f t="shared" si="31"/>
        <v>1</v>
      </c>
      <c r="J186" s="951"/>
      <c r="K186" s="53">
        <f t="shared" si="32"/>
        <v>1</v>
      </c>
      <c r="L186" s="951"/>
      <c r="M186" s="53">
        <f t="shared" si="33"/>
        <v>1</v>
      </c>
      <c r="N186" s="951"/>
      <c r="O186" s="53">
        <f t="shared" si="34"/>
        <v>1</v>
      </c>
      <c r="P186" s="951"/>
      <c r="Q186" s="53">
        <f t="shared" si="35"/>
        <v>1</v>
      </c>
      <c r="R186" s="484">
        <f t="shared" si="36"/>
        <v>0</v>
      </c>
      <c r="S186" s="789">
        <f t="shared" si="27"/>
        <v>0</v>
      </c>
    </row>
    <row r="187" spans="1:19">
      <c r="A187" s="953"/>
      <c r="B187" s="136"/>
      <c r="C187" s="53">
        <f t="shared" si="28"/>
        <v>1</v>
      </c>
      <c r="D187" s="951"/>
      <c r="E187" s="53">
        <f t="shared" si="29"/>
        <v>1</v>
      </c>
      <c r="F187" s="951"/>
      <c r="G187" s="53">
        <f t="shared" si="30"/>
        <v>1</v>
      </c>
      <c r="H187" s="951"/>
      <c r="I187" s="53">
        <f t="shared" si="31"/>
        <v>1</v>
      </c>
      <c r="J187" s="951"/>
      <c r="K187" s="53">
        <f t="shared" si="32"/>
        <v>1</v>
      </c>
      <c r="L187" s="951"/>
      <c r="M187" s="53">
        <f t="shared" si="33"/>
        <v>1</v>
      </c>
      <c r="N187" s="951"/>
      <c r="O187" s="53">
        <f t="shared" si="34"/>
        <v>1</v>
      </c>
      <c r="P187" s="951"/>
      <c r="Q187" s="53">
        <f t="shared" si="35"/>
        <v>1</v>
      </c>
      <c r="R187" s="484">
        <f t="shared" si="36"/>
        <v>0</v>
      </c>
      <c r="S187" s="789">
        <f t="shared" ref="S187:S222" si="37">ROUND(R187*B187/10000,0)</f>
        <v>0</v>
      </c>
    </row>
    <row r="188" spans="1:19">
      <c r="A188" s="953"/>
      <c r="B188" s="136"/>
      <c r="C188" s="53">
        <f t="shared" si="28"/>
        <v>1</v>
      </c>
      <c r="D188" s="951"/>
      <c r="E188" s="53">
        <f t="shared" si="29"/>
        <v>1</v>
      </c>
      <c r="F188" s="951"/>
      <c r="G188" s="53">
        <f t="shared" si="30"/>
        <v>1</v>
      </c>
      <c r="H188" s="951"/>
      <c r="I188" s="53">
        <f t="shared" si="31"/>
        <v>1</v>
      </c>
      <c r="J188" s="951"/>
      <c r="K188" s="53">
        <f t="shared" si="32"/>
        <v>1</v>
      </c>
      <c r="L188" s="951"/>
      <c r="M188" s="53">
        <f t="shared" si="33"/>
        <v>1</v>
      </c>
      <c r="N188" s="951"/>
      <c r="O188" s="53">
        <f t="shared" si="34"/>
        <v>1</v>
      </c>
      <c r="P188" s="951"/>
      <c r="Q188" s="53">
        <f t="shared" si="35"/>
        <v>1</v>
      </c>
      <c r="R188" s="484">
        <f t="shared" si="36"/>
        <v>0</v>
      </c>
      <c r="S188" s="789">
        <f t="shared" si="37"/>
        <v>0</v>
      </c>
    </row>
    <row r="189" spans="1:19">
      <c r="A189" s="953"/>
      <c r="B189" s="136"/>
      <c r="C189" s="53">
        <f t="shared" si="28"/>
        <v>1</v>
      </c>
      <c r="D189" s="951"/>
      <c r="E189" s="53">
        <f t="shared" si="29"/>
        <v>1</v>
      </c>
      <c r="F189" s="951"/>
      <c r="G189" s="53">
        <f t="shared" si="30"/>
        <v>1</v>
      </c>
      <c r="H189" s="951"/>
      <c r="I189" s="53">
        <f t="shared" si="31"/>
        <v>1</v>
      </c>
      <c r="J189" s="951"/>
      <c r="K189" s="53">
        <f t="shared" si="32"/>
        <v>1</v>
      </c>
      <c r="L189" s="951"/>
      <c r="M189" s="53">
        <f t="shared" si="33"/>
        <v>1</v>
      </c>
      <c r="N189" s="951"/>
      <c r="O189" s="53">
        <f t="shared" si="34"/>
        <v>1</v>
      </c>
      <c r="P189" s="951"/>
      <c r="Q189" s="53">
        <f t="shared" si="35"/>
        <v>1</v>
      </c>
      <c r="R189" s="484">
        <f t="shared" si="36"/>
        <v>0</v>
      </c>
      <c r="S189" s="789">
        <f t="shared" si="37"/>
        <v>0</v>
      </c>
    </row>
    <row r="190" spans="1:19">
      <c r="A190" s="953"/>
      <c r="B190" s="136"/>
      <c r="C190" s="53">
        <f t="shared" si="28"/>
        <v>1</v>
      </c>
      <c r="D190" s="951"/>
      <c r="E190" s="53">
        <f t="shared" si="29"/>
        <v>1</v>
      </c>
      <c r="F190" s="951"/>
      <c r="G190" s="53">
        <f t="shared" si="30"/>
        <v>1</v>
      </c>
      <c r="H190" s="951"/>
      <c r="I190" s="53">
        <f t="shared" si="31"/>
        <v>1</v>
      </c>
      <c r="J190" s="951"/>
      <c r="K190" s="53">
        <f t="shared" si="32"/>
        <v>1</v>
      </c>
      <c r="L190" s="951"/>
      <c r="M190" s="53">
        <f t="shared" si="33"/>
        <v>1</v>
      </c>
      <c r="N190" s="951"/>
      <c r="O190" s="53">
        <f t="shared" si="34"/>
        <v>1</v>
      </c>
      <c r="P190" s="951"/>
      <c r="Q190" s="53">
        <f t="shared" si="35"/>
        <v>1</v>
      </c>
      <c r="R190" s="484">
        <f t="shared" si="36"/>
        <v>0</v>
      </c>
      <c r="S190" s="789">
        <f t="shared" si="37"/>
        <v>0</v>
      </c>
    </row>
    <row r="191" spans="1:19">
      <c r="A191" s="953"/>
      <c r="B191" s="136"/>
      <c r="C191" s="53">
        <f t="shared" si="28"/>
        <v>1</v>
      </c>
      <c r="D191" s="951"/>
      <c r="E191" s="53">
        <f t="shared" si="29"/>
        <v>1</v>
      </c>
      <c r="F191" s="951"/>
      <c r="G191" s="53">
        <f t="shared" si="30"/>
        <v>1</v>
      </c>
      <c r="H191" s="951"/>
      <c r="I191" s="53">
        <f t="shared" si="31"/>
        <v>1</v>
      </c>
      <c r="J191" s="951"/>
      <c r="K191" s="53">
        <f t="shared" si="32"/>
        <v>1</v>
      </c>
      <c r="L191" s="951"/>
      <c r="M191" s="53">
        <f t="shared" si="33"/>
        <v>1</v>
      </c>
      <c r="N191" s="951"/>
      <c r="O191" s="53">
        <f t="shared" si="34"/>
        <v>1</v>
      </c>
      <c r="P191" s="951"/>
      <c r="Q191" s="53">
        <f t="shared" si="35"/>
        <v>1</v>
      </c>
      <c r="R191" s="484">
        <f t="shared" si="36"/>
        <v>0</v>
      </c>
      <c r="S191" s="789">
        <f t="shared" si="37"/>
        <v>0</v>
      </c>
    </row>
    <row r="192" spans="1:19">
      <c r="A192" s="953"/>
      <c r="B192" s="136"/>
      <c r="C192" s="53">
        <f t="shared" si="28"/>
        <v>1</v>
      </c>
      <c r="D192" s="951"/>
      <c r="E192" s="53">
        <f t="shared" si="29"/>
        <v>1</v>
      </c>
      <c r="F192" s="951"/>
      <c r="G192" s="53">
        <f t="shared" si="30"/>
        <v>1</v>
      </c>
      <c r="H192" s="951"/>
      <c r="I192" s="53">
        <f t="shared" si="31"/>
        <v>1</v>
      </c>
      <c r="J192" s="951"/>
      <c r="K192" s="53">
        <f t="shared" si="32"/>
        <v>1</v>
      </c>
      <c r="L192" s="951"/>
      <c r="M192" s="53">
        <f t="shared" si="33"/>
        <v>1</v>
      </c>
      <c r="N192" s="951"/>
      <c r="O192" s="53">
        <f t="shared" si="34"/>
        <v>1</v>
      </c>
      <c r="P192" s="951"/>
      <c r="Q192" s="53">
        <f t="shared" si="35"/>
        <v>1</v>
      </c>
      <c r="R192" s="484">
        <f t="shared" si="36"/>
        <v>0</v>
      </c>
      <c r="S192" s="789">
        <f t="shared" si="37"/>
        <v>0</v>
      </c>
    </row>
    <row r="193" spans="1:19">
      <c r="A193" s="953"/>
      <c r="B193" s="136"/>
      <c r="C193" s="53">
        <f t="shared" si="28"/>
        <v>1</v>
      </c>
      <c r="D193" s="951"/>
      <c r="E193" s="53">
        <f t="shared" si="29"/>
        <v>1</v>
      </c>
      <c r="F193" s="951"/>
      <c r="G193" s="53">
        <f t="shared" si="30"/>
        <v>1</v>
      </c>
      <c r="H193" s="951"/>
      <c r="I193" s="53">
        <f t="shared" si="31"/>
        <v>1</v>
      </c>
      <c r="J193" s="951"/>
      <c r="K193" s="53">
        <f t="shared" si="32"/>
        <v>1</v>
      </c>
      <c r="L193" s="951"/>
      <c r="M193" s="53">
        <f t="shared" si="33"/>
        <v>1</v>
      </c>
      <c r="N193" s="951"/>
      <c r="O193" s="53">
        <f t="shared" si="34"/>
        <v>1</v>
      </c>
      <c r="P193" s="951"/>
      <c r="Q193" s="53">
        <f t="shared" si="35"/>
        <v>1</v>
      </c>
      <c r="R193" s="484">
        <f t="shared" si="36"/>
        <v>0</v>
      </c>
      <c r="S193" s="789">
        <f t="shared" si="37"/>
        <v>0</v>
      </c>
    </row>
    <row r="194" spans="1:19">
      <c r="A194" s="953"/>
      <c r="B194" s="136"/>
      <c r="C194" s="53">
        <f t="shared" si="28"/>
        <v>1</v>
      </c>
      <c r="D194" s="951"/>
      <c r="E194" s="53">
        <f t="shared" si="29"/>
        <v>1</v>
      </c>
      <c r="F194" s="951"/>
      <c r="G194" s="53">
        <f t="shared" si="30"/>
        <v>1</v>
      </c>
      <c r="H194" s="951"/>
      <c r="I194" s="53">
        <f t="shared" si="31"/>
        <v>1</v>
      </c>
      <c r="J194" s="951"/>
      <c r="K194" s="53">
        <f t="shared" si="32"/>
        <v>1</v>
      </c>
      <c r="L194" s="951"/>
      <c r="M194" s="53">
        <f t="shared" si="33"/>
        <v>1</v>
      </c>
      <c r="N194" s="951"/>
      <c r="O194" s="53">
        <f t="shared" si="34"/>
        <v>1</v>
      </c>
      <c r="P194" s="951"/>
      <c r="Q194" s="53">
        <f t="shared" si="35"/>
        <v>1</v>
      </c>
      <c r="R194" s="484">
        <f t="shared" si="36"/>
        <v>0</v>
      </c>
      <c r="S194" s="789">
        <f t="shared" si="37"/>
        <v>0</v>
      </c>
    </row>
    <row r="195" spans="1:19">
      <c r="A195" s="953"/>
      <c r="B195" s="136"/>
      <c r="C195" s="53">
        <f t="shared" si="28"/>
        <v>1</v>
      </c>
      <c r="D195" s="951"/>
      <c r="E195" s="53">
        <f t="shared" si="29"/>
        <v>1</v>
      </c>
      <c r="F195" s="951"/>
      <c r="G195" s="53">
        <f t="shared" si="30"/>
        <v>1</v>
      </c>
      <c r="H195" s="951"/>
      <c r="I195" s="53">
        <f t="shared" si="31"/>
        <v>1</v>
      </c>
      <c r="J195" s="951"/>
      <c r="K195" s="53">
        <f t="shared" si="32"/>
        <v>1</v>
      </c>
      <c r="L195" s="951"/>
      <c r="M195" s="53">
        <f t="shared" si="33"/>
        <v>1</v>
      </c>
      <c r="N195" s="951"/>
      <c r="O195" s="53">
        <f t="shared" si="34"/>
        <v>1</v>
      </c>
      <c r="P195" s="951"/>
      <c r="Q195" s="53">
        <f t="shared" si="35"/>
        <v>1</v>
      </c>
      <c r="R195" s="484">
        <f t="shared" si="36"/>
        <v>0</v>
      </c>
      <c r="S195" s="789">
        <f t="shared" si="37"/>
        <v>0</v>
      </c>
    </row>
    <row r="196" spans="1:19">
      <c r="A196" s="953"/>
      <c r="B196" s="136"/>
      <c r="C196" s="53">
        <f t="shared" si="28"/>
        <v>1</v>
      </c>
      <c r="D196" s="951"/>
      <c r="E196" s="53">
        <f t="shared" si="29"/>
        <v>1</v>
      </c>
      <c r="F196" s="951"/>
      <c r="G196" s="53">
        <f t="shared" si="30"/>
        <v>1</v>
      </c>
      <c r="H196" s="951"/>
      <c r="I196" s="53">
        <f t="shared" si="31"/>
        <v>1</v>
      </c>
      <c r="J196" s="951"/>
      <c r="K196" s="53">
        <f t="shared" si="32"/>
        <v>1</v>
      </c>
      <c r="L196" s="951"/>
      <c r="M196" s="53">
        <f t="shared" si="33"/>
        <v>1</v>
      </c>
      <c r="N196" s="951"/>
      <c r="O196" s="53">
        <f t="shared" si="34"/>
        <v>1</v>
      </c>
      <c r="P196" s="951"/>
      <c r="Q196" s="53">
        <f t="shared" si="35"/>
        <v>1</v>
      </c>
      <c r="R196" s="484">
        <f t="shared" si="36"/>
        <v>0</v>
      </c>
      <c r="S196" s="789">
        <f t="shared" si="37"/>
        <v>0</v>
      </c>
    </row>
    <row r="197" spans="1:19">
      <c r="A197" s="953"/>
      <c r="B197" s="136"/>
      <c r="C197" s="53">
        <f t="shared" si="28"/>
        <v>1</v>
      </c>
      <c r="D197" s="951"/>
      <c r="E197" s="53">
        <f t="shared" si="29"/>
        <v>1</v>
      </c>
      <c r="F197" s="951"/>
      <c r="G197" s="53">
        <f t="shared" si="30"/>
        <v>1</v>
      </c>
      <c r="H197" s="951"/>
      <c r="I197" s="53">
        <f t="shared" si="31"/>
        <v>1</v>
      </c>
      <c r="J197" s="951"/>
      <c r="K197" s="53">
        <f t="shared" si="32"/>
        <v>1</v>
      </c>
      <c r="L197" s="951"/>
      <c r="M197" s="53">
        <f t="shared" si="33"/>
        <v>1</v>
      </c>
      <c r="N197" s="951"/>
      <c r="O197" s="53">
        <f t="shared" si="34"/>
        <v>1</v>
      </c>
      <c r="P197" s="951"/>
      <c r="Q197" s="53">
        <f t="shared" si="35"/>
        <v>1</v>
      </c>
      <c r="R197" s="484">
        <f t="shared" si="36"/>
        <v>0</v>
      </c>
      <c r="S197" s="789">
        <f t="shared" si="37"/>
        <v>0</v>
      </c>
    </row>
    <row r="198" spans="1:19">
      <c r="A198" s="953"/>
      <c r="B198" s="136"/>
      <c r="C198" s="53">
        <f t="shared" si="28"/>
        <v>1</v>
      </c>
      <c r="D198" s="951"/>
      <c r="E198" s="53">
        <f t="shared" si="29"/>
        <v>1</v>
      </c>
      <c r="F198" s="951"/>
      <c r="G198" s="53">
        <f t="shared" si="30"/>
        <v>1</v>
      </c>
      <c r="H198" s="951"/>
      <c r="I198" s="53">
        <f t="shared" si="31"/>
        <v>1</v>
      </c>
      <c r="J198" s="951"/>
      <c r="K198" s="53">
        <f t="shared" si="32"/>
        <v>1</v>
      </c>
      <c r="L198" s="951"/>
      <c r="M198" s="53">
        <f t="shared" si="33"/>
        <v>1</v>
      </c>
      <c r="N198" s="951"/>
      <c r="O198" s="53">
        <f t="shared" si="34"/>
        <v>1</v>
      </c>
      <c r="P198" s="951"/>
      <c r="Q198" s="53">
        <f t="shared" si="35"/>
        <v>1</v>
      </c>
      <c r="R198" s="484">
        <f t="shared" si="36"/>
        <v>0</v>
      </c>
      <c r="S198" s="789">
        <f t="shared" si="37"/>
        <v>0</v>
      </c>
    </row>
    <row r="199" spans="1:19">
      <c r="A199" s="953"/>
      <c r="B199" s="136"/>
      <c r="C199" s="53">
        <f t="shared" si="28"/>
        <v>1</v>
      </c>
      <c r="D199" s="951"/>
      <c r="E199" s="53">
        <f t="shared" si="29"/>
        <v>1</v>
      </c>
      <c r="F199" s="951"/>
      <c r="G199" s="53">
        <f t="shared" si="30"/>
        <v>1</v>
      </c>
      <c r="H199" s="951"/>
      <c r="I199" s="53">
        <f t="shared" si="31"/>
        <v>1</v>
      </c>
      <c r="J199" s="951"/>
      <c r="K199" s="53">
        <f t="shared" si="32"/>
        <v>1</v>
      </c>
      <c r="L199" s="951"/>
      <c r="M199" s="53">
        <f t="shared" si="33"/>
        <v>1</v>
      </c>
      <c r="N199" s="951"/>
      <c r="O199" s="53">
        <f t="shared" si="34"/>
        <v>1</v>
      </c>
      <c r="P199" s="951"/>
      <c r="Q199" s="53">
        <f t="shared" si="35"/>
        <v>1</v>
      </c>
      <c r="R199" s="484">
        <f t="shared" si="36"/>
        <v>0</v>
      </c>
      <c r="S199" s="789">
        <f t="shared" si="37"/>
        <v>0</v>
      </c>
    </row>
    <row r="200" spans="1:19">
      <c r="A200" s="953"/>
      <c r="B200" s="136"/>
      <c r="C200" s="53">
        <f t="shared" si="28"/>
        <v>1</v>
      </c>
      <c r="D200" s="951"/>
      <c r="E200" s="53">
        <f t="shared" si="29"/>
        <v>1</v>
      </c>
      <c r="F200" s="951"/>
      <c r="G200" s="53">
        <f t="shared" si="30"/>
        <v>1</v>
      </c>
      <c r="H200" s="951"/>
      <c r="I200" s="53">
        <f t="shared" si="31"/>
        <v>1</v>
      </c>
      <c r="J200" s="951"/>
      <c r="K200" s="53">
        <f t="shared" si="32"/>
        <v>1</v>
      </c>
      <c r="L200" s="951"/>
      <c r="M200" s="53">
        <f t="shared" si="33"/>
        <v>1</v>
      </c>
      <c r="N200" s="951"/>
      <c r="O200" s="53">
        <f t="shared" si="34"/>
        <v>1</v>
      </c>
      <c r="P200" s="951"/>
      <c r="Q200" s="53">
        <f t="shared" si="35"/>
        <v>1</v>
      </c>
      <c r="R200" s="484">
        <f t="shared" si="36"/>
        <v>0</v>
      </c>
      <c r="S200" s="789">
        <f t="shared" si="37"/>
        <v>0</v>
      </c>
    </row>
    <row r="201" spans="1:19">
      <c r="A201" s="953"/>
      <c r="B201" s="136"/>
      <c r="C201" s="53">
        <f t="shared" si="28"/>
        <v>1</v>
      </c>
      <c r="D201" s="951"/>
      <c r="E201" s="53">
        <f t="shared" si="29"/>
        <v>1</v>
      </c>
      <c r="F201" s="951"/>
      <c r="G201" s="53">
        <f t="shared" si="30"/>
        <v>1</v>
      </c>
      <c r="H201" s="951"/>
      <c r="I201" s="53">
        <f t="shared" si="31"/>
        <v>1</v>
      </c>
      <c r="J201" s="951"/>
      <c r="K201" s="53">
        <f t="shared" si="32"/>
        <v>1</v>
      </c>
      <c r="L201" s="951"/>
      <c r="M201" s="53">
        <f t="shared" si="33"/>
        <v>1</v>
      </c>
      <c r="N201" s="951"/>
      <c r="O201" s="53">
        <f t="shared" si="34"/>
        <v>1</v>
      </c>
      <c r="P201" s="951"/>
      <c r="Q201" s="53">
        <f t="shared" si="35"/>
        <v>1</v>
      </c>
      <c r="R201" s="484">
        <f t="shared" si="36"/>
        <v>0</v>
      </c>
      <c r="S201" s="789">
        <f t="shared" si="37"/>
        <v>0</v>
      </c>
    </row>
    <row r="202" spans="1:19">
      <c r="A202" s="953"/>
      <c r="B202" s="136"/>
      <c r="C202" s="53">
        <f t="shared" si="28"/>
        <v>1</v>
      </c>
      <c r="D202" s="951"/>
      <c r="E202" s="53">
        <f t="shared" si="29"/>
        <v>1</v>
      </c>
      <c r="F202" s="951"/>
      <c r="G202" s="53">
        <f t="shared" si="30"/>
        <v>1</v>
      </c>
      <c r="H202" s="951"/>
      <c r="I202" s="53">
        <f t="shared" si="31"/>
        <v>1</v>
      </c>
      <c r="J202" s="951"/>
      <c r="K202" s="53">
        <f t="shared" si="32"/>
        <v>1</v>
      </c>
      <c r="L202" s="951"/>
      <c r="M202" s="53">
        <f t="shared" si="33"/>
        <v>1</v>
      </c>
      <c r="N202" s="951"/>
      <c r="O202" s="53">
        <f t="shared" si="34"/>
        <v>1</v>
      </c>
      <c r="P202" s="951"/>
      <c r="Q202" s="53">
        <f t="shared" si="35"/>
        <v>1</v>
      </c>
      <c r="R202" s="484">
        <f t="shared" si="36"/>
        <v>0</v>
      </c>
      <c r="S202" s="789">
        <f t="shared" si="37"/>
        <v>0</v>
      </c>
    </row>
    <row r="203" spans="1:19">
      <c r="A203" s="953"/>
      <c r="B203" s="136"/>
      <c r="C203" s="53">
        <f t="shared" si="28"/>
        <v>1</v>
      </c>
      <c r="D203" s="951"/>
      <c r="E203" s="53">
        <f t="shared" si="29"/>
        <v>1</v>
      </c>
      <c r="F203" s="951"/>
      <c r="G203" s="53">
        <f t="shared" si="30"/>
        <v>1</v>
      </c>
      <c r="H203" s="951"/>
      <c r="I203" s="53">
        <f t="shared" si="31"/>
        <v>1</v>
      </c>
      <c r="J203" s="951"/>
      <c r="K203" s="53">
        <f t="shared" si="32"/>
        <v>1</v>
      </c>
      <c r="L203" s="951"/>
      <c r="M203" s="53">
        <f t="shared" si="33"/>
        <v>1</v>
      </c>
      <c r="N203" s="951"/>
      <c r="O203" s="53">
        <f t="shared" si="34"/>
        <v>1</v>
      </c>
      <c r="P203" s="951"/>
      <c r="Q203" s="53">
        <f t="shared" si="35"/>
        <v>1</v>
      </c>
      <c r="R203" s="484">
        <f t="shared" si="36"/>
        <v>0</v>
      </c>
      <c r="S203" s="789">
        <f t="shared" si="37"/>
        <v>0</v>
      </c>
    </row>
    <row r="204" spans="1:19">
      <c r="A204" s="953"/>
      <c r="B204" s="136"/>
      <c r="C204" s="53">
        <f t="shared" si="28"/>
        <v>1</v>
      </c>
      <c r="D204" s="951"/>
      <c r="E204" s="53">
        <f t="shared" si="29"/>
        <v>1</v>
      </c>
      <c r="F204" s="951"/>
      <c r="G204" s="53">
        <f t="shared" si="30"/>
        <v>1</v>
      </c>
      <c r="H204" s="951"/>
      <c r="I204" s="53">
        <f t="shared" si="31"/>
        <v>1</v>
      </c>
      <c r="J204" s="951"/>
      <c r="K204" s="53">
        <f t="shared" si="32"/>
        <v>1</v>
      </c>
      <c r="L204" s="951"/>
      <c r="M204" s="53">
        <f t="shared" si="33"/>
        <v>1</v>
      </c>
      <c r="N204" s="951"/>
      <c r="O204" s="53">
        <f t="shared" si="34"/>
        <v>1</v>
      </c>
      <c r="P204" s="951"/>
      <c r="Q204" s="53">
        <f t="shared" si="35"/>
        <v>1</v>
      </c>
      <c r="R204" s="484">
        <f t="shared" si="36"/>
        <v>0</v>
      </c>
      <c r="S204" s="789">
        <f t="shared" si="37"/>
        <v>0</v>
      </c>
    </row>
    <row r="205" spans="1:19">
      <c r="A205" s="953"/>
      <c r="B205" s="136"/>
      <c r="C205" s="53">
        <f t="shared" si="28"/>
        <v>1</v>
      </c>
      <c r="D205" s="951"/>
      <c r="E205" s="53">
        <f t="shared" si="29"/>
        <v>1</v>
      </c>
      <c r="F205" s="951"/>
      <c r="G205" s="53">
        <f t="shared" si="30"/>
        <v>1</v>
      </c>
      <c r="H205" s="951"/>
      <c r="I205" s="53">
        <f t="shared" si="31"/>
        <v>1</v>
      </c>
      <c r="J205" s="951"/>
      <c r="K205" s="53">
        <f t="shared" si="32"/>
        <v>1</v>
      </c>
      <c r="L205" s="951"/>
      <c r="M205" s="53">
        <f t="shared" si="33"/>
        <v>1</v>
      </c>
      <c r="N205" s="951"/>
      <c r="O205" s="53">
        <f t="shared" si="34"/>
        <v>1</v>
      </c>
      <c r="P205" s="951"/>
      <c r="Q205" s="53">
        <f t="shared" si="35"/>
        <v>1</v>
      </c>
      <c r="R205" s="484">
        <f t="shared" si="36"/>
        <v>0</v>
      </c>
      <c r="S205" s="789">
        <f t="shared" si="37"/>
        <v>0</v>
      </c>
    </row>
    <row r="206" spans="1:19">
      <c r="A206" s="953"/>
      <c r="B206" s="136"/>
      <c r="C206" s="53">
        <f t="shared" si="28"/>
        <v>1</v>
      </c>
      <c r="D206" s="951"/>
      <c r="E206" s="53">
        <f t="shared" si="29"/>
        <v>1</v>
      </c>
      <c r="F206" s="951"/>
      <c r="G206" s="53">
        <f t="shared" si="30"/>
        <v>1</v>
      </c>
      <c r="H206" s="951"/>
      <c r="I206" s="53">
        <f t="shared" si="31"/>
        <v>1</v>
      </c>
      <c r="J206" s="951"/>
      <c r="K206" s="53">
        <f t="shared" si="32"/>
        <v>1</v>
      </c>
      <c r="L206" s="951"/>
      <c r="M206" s="53">
        <f t="shared" si="33"/>
        <v>1</v>
      </c>
      <c r="N206" s="951"/>
      <c r="O206" s="53">
        <f t="shared" si="34"/>
        <v>1</v>
      </c>
      <c r="P206" s="951"/>
      <c r="Q206" s="53">
        <f t="shared" si="35"/>
        <v>1</v>
      </c>
      <c r="R206" s="484">
        <f t="shared" si="36"/>
        <v>0</v>
      </c>
      <c r="S206" s="789">
        <f t="shared" si="37"/>
        <v>0</v>
      </c>
    </row>
    <row r="207" spans="1:19">
      <c r="A207" s="953"/>
      <c r="B207" s="136"/>
      <c r="C207" s="53">
        <f t="shared" si="28"/>
        <v>1</v>
      </c>
      <c r="D207" s="951"/>
      <c r="E207" s="53">
        <f t="shared" si="29"/>
        <v>1</v>
      </c>
      <c r="F207" s="951"/>
      <c r="G207" s="53">
        <f t="shared" si="30"/>
        <v>1</v>
      </c>
      <c r="H207" s="951"/>
      <c r="I207" s="53">
        <f t="shared" si="31"/>
        <v>1</v>
      </c>
      <c r="J207" s="951"/>
      <c r="K207" s="53">
        <f t="shared" si="32"/>
        <v>1</v>
      </c>
      <c r="L207" s="951"/>
      <c r="M207" s="53">
        <f t="shared" si="33"/>
        <v>1</v>
      </c>
      <c r="N207" s="951"/>
      <c r="O207" s="53">
        <f t="shared" si="34"/>
        <v>1</v>
      </c>
      <c r="P207" s="951"/>
      <c r="Q207" s="53">
        <f t="shared" si="35"/>
        <v>1</v>
      </c>
      <c r="R207" s="484">
        <f t="shared" si="36"/>
        <v>0</v>
      </c>
      <c r="S207" s="789">
        <f t="shared" si="37"/>
        <v>0</v>
      </c>
    </row>
    <row r="208" spans="1:19">
      <c r="A208" s="953"/>
      <c r="B208" s="136"/>
      <c r="C208" s="53">
        <f t="shared" si="28"/>
        <v>1</v>
      </c>
      <c r="D208" s="951"/>
      <c r="E208" s="53">
        <f t="shared" si="29"/>
        <v>1</v>
      </c>
      <c r="F208" s="951"/>
      <c r="G208" s="53">
        <f t="shared" si="30"/>
        <v>1</v>
      </c>
      <c r="H208" s="951"/>
      <c r="I208" s="53">
        <f t="shared" si="31"/>
        <v>1</v>
      </c>
      <c r="J208" s="951"/>
      <c r="K208" s="53">
        <f t="shared" si="32"/>
        <v>1</v>
      </c>
      <c r="L208" s="951"/>
      <c r="M208" s="53">
        <f t="shared" si="33"/>
        <v>1</v>
      </c>
      <c r="N208" s="951"/>
      <c r="O208" s="53">
        <f t="shared" si="34"/>
        <v>1</v>
      </c>
      <c r="P208" s="951"/>
      <c r="Q208" s="53">
        <f t="shared" si="35"/>
        <v>1</v>
      </c>
      <c r="R208" s="484">
        <f t="shared" si="36"/>
        <v>0</v>
      </c>
      <c r="S208" s="789">
        <f t="shared" si="37"/>
        <v>0</v>
      </c>
    </row>
    <row r="209" spans="1:19">
      <c r="A209" s="953"/>
      <c r="B209" s="136"/>
      <c r="C209" s="53">
        <f t="shared" si="28"/>
        <v>1</v>
      </c>
      <c r="D209" s="951"/>
      <c r="E209" s="53">
        <f t="shared" si="29"/>
        <v>1</v>
      </c>
      <c r="F209" s="951"/>
      <c r="G209" s="53">
        <f t="shared" si="30"/>
        <v>1</v>
      </c>
      <c r="H209" s="951"/>
      <c r="I209" s="53">
        <f t="shared" si="31"/>
        <v>1</v>
      </c>
      <c r="J209" s="951"/>
      <c r="K209" s="53">
        <f t="shared" si="32"/>
        <v>1</v>
      </c>
      <c r="L209" s="951"/>
      <c r="M209" s="53">
        <f t="shared" si="33"/>
        <v>1</v>
      </c>
      <c r="N209" s="951"/>
      <c r="O209" s="53">
        <f t="shared" si="34"/>
        <v>1</v>
      </c>
      <c r="P209" s="951"/>
      <c r="Q209" s="53">
        <f t="shared" si="35"/>
        <v>1</v>
      </c>
      <c r="R209" s="484">
        <f t="shared" si="36"/>
        <v>0</v>
      </c>
      <c r="S209" s="789">
        <f t="shared" si="37"/>
        <v>0</v>
      </c>
    </row>
    <row r="210" spans="1:19">
      <c r="A210" s="953"/>
      <c r="B210" s="136"/>
      <c r="C210" s="53">
        <f t="shared" si="28"/>
        <v>1</v>
      </c>
      <c r="D210" s="951"/>
      <c r="E210" s="53">
        <f t="shared" si="29"/>
        <v>1</v>
      </c>
      <c r="F210" s="951"/>
      <c r="G210" s="53">
        <f t="shared" si="30"/>
        <v>1</v>
      </c>
      <c r="H210" s="951"/>
      <c r="I210" s="53">
        <f t="shared" si="31"/>
        <v>1</v>
      </c>
      <c r="J210" s="951"/>
      <c r="K210" s="53">
        <f t="shared" si="32"/>
        <v>1</v>
      </c>
      <c r="L210" s="951"/>
      <c r="M210" s="53">
        <f t="shared" si="33"/>
        <v>1</v>
      </c>
      <c r="N210" s="951"/>
      <c r="O210" s="53">
        <f t="shared" si="34"/>
        <v>1</v>
      </c>
      <c r="P210" s="951"/>
      <c r="Q210" s="53">
        <f t="shared" si="35"/>
        <v>1</v>
      </c>
      <c r="R210" s="484">
        <f t="shared" si="36"/>
        <v>0</v>
      </c>
      <c r="S210" s="789">
        <f t="shared" si="37"/>
        <v>0</v>
      </c>
    </row>
    <row r="211" spans="1:19">
      <c r="A211" s="953"/>
      <c r="B211" s="136"/>
      <c r="C211" s="53">
        <f t="shared" si="28"/>
        <v>1</v>
      </c>
      <c r="D211" s="951"/>
      <c r="E211" s="53">
        <f t="shared" si="29"/>
        <v>1</v>
      </c>
      <c r="F211" s="951"/>
      <c r="G211" s="53">
        <f t="shared" si="30"/>
        <v>1</v>
      </c>
      <c r="H211" s="951"/>
      <c r="I211" s="53">
        <f t="shared" si="31"/>
        <v>1</v>
      </c>
      <c r="J211" s="951"/>
      <c r="K211" s="53">
        <f t="shared" si="32"/>
        <v>1</v>
      </c>
      <c r="L211" s="951"/>
      <c r="M211" s="53">
        <f t="shared" si="33"/>
        <v>1</v>
      </c>
      <c r="N211" s="951"/>
      <c r="O211" s="53">
        <f t="shared" si="34"/>
        <v>1</v>
      </c>
      <c r="P211" s="951"/>
      <c r="Q211" s="53">
        <f t="shared" si="35"/>
        <v>1</v>
      </c>
      <c r="R211" s="484">
        <f t="shared" si="36"/>
        <v>0</v>
      </c>
      <c r="S211" s="789">
        <f t="shared" si="37"/>
        <v>0</v>
      </c>
    </row>
    <row r="212" spans="1:19">
      <c r="A212" s="953"/>
      <c r="B212" s="136"/>
      <c r="C212" s="53">
        <f t="shared" si="28"/>
        <v>1</v>
      </c>
      <c r="D212" s="951"/>
      <c r="E212" s="53">
        <f t="shared" si="29"/>
        <v>1</v>
      </c>
      <c r="F212" s="951"/>
      <c r="G212" s="53">
        <f t="shared" si="30"/>
        <v>1</v>
      </c>
      <c r="H212" s="951"/>
      <c r="I212" s="53">
        <f t="shared" si="31"/>
        <v>1</v>
      </c>
      <c r="J212" s="951"/>
      <c r="K212" s="53">
        <f t="shared" si="32"/>
        <v>1</v>
      </c>
      <c r="L212" s="951"/>
      <c r="M212" s="53">
        <f t="shared" si="33"/>
        <v>1</v>
      </c>
      <c r="N212" s="951"/>
      <c r="O212" s="53">
        <f t="shared" si="34"/>
        <v>1</v>
      </c>
      <c r="P212" s="951"/>
      <c r="Q212" s="53">
        <f t="shared" si="35"/>
        <v>1</v>
      </c>
      <c r="R212" s="484">
        <f t="shared" si="36"/>
        <v>0</v>
      </c>
      <c r="S212" s="789">
        <f t="shared" si="37"/>
        <v>0</v>
      </c>
    </row>
    <row r="213" spans="1:19">
      <c r="A213" s="953"/>
      <c r="B213" s="136"/>
      <c r="C213" s="53">
        <f t="shared" si="28"/>
        <v>1</v>
      </c>
      <c r="D213" s="951"/>
      <c r="E213" s="53">
        <f t="shared" si="29"/>
        <v>1</v>
      </c>
      <c r="F213" s="951"/>
      <c r="G213" s="53">
        <f t="shared" si="30"/>
        <v>1</v>
      </c>
      <c r="H213" s="951"/>
      <c r="I213" s="53">
        <f t="shared" si="31"/>
        <v>1</v>
      </c>
      <c r="J213" s="951"/>
      <c r="K213" s="53">
        <f t="shared" si="32"/>
        <v>1</v>
      </c>
      <c r="L213" s="951"/>
      <c r="M213" s="53">
        <f t="shared" si="33"/>
        <v>1</v>
      </c>
      <c r="N213" s="951"/>
      <c r="O213" s="53">
        <f t="shared" si="34"/>
        <v>1</v>
      </c>
      <c r="P213" s="951"/>
      <c r="Q213" s="53">
        <f t="shared" si="35"/>
        <v>1</v>
      </c>
      <c r="R213" s="484">
        <f t="shared" si="36"/>
        <v>0</v>
      </c>
      <c r="S213" s="789">
        <f t="shared" si="37"/>
        <v>0</v>
      </c>
    </row>
    <row r="214" spans="1:19">
      <c r="A214" s="953"/>
      <c r="B214" s="136"/>
      <c r="C214" s="53">
        <f t="shared" si="28"/>
        <v>1</v>
      </c>
      <c r="D214" s="951"/>
      <c r="E214" s="53">
        <f t="shared" si="29"/>
        <v>1</v>
      </c>
      <c r="F214" s="951"/>
      <c r="G214" s="53">
        <f t="shared" si="30"/>
        <v>1</v>
      </c>
      <c r="H214" s="951"/>
      <c r="I214" s="53">
        <f t="shared" si="31"/>
        <v>1</v>
      </c>
      <c r="J214" s="951"/>
      <c r="K214" s="53">
        <f t="shared" si="32"/>
        <v>1</v>
      </c>
      <c r="L214" s="951"/>
      <c r="M214" s="53">
        <f t="shared" si="33"/>
        <v>1</v>
      </c>
      <c r="N214" s="951"/>
      <c r="O214" s="53">
        <f t="shared" si="34"/>
        <v>1</v>
      </c>
      <c r="P214" s="951"/>
      <c r="Q214" s="53">
        <f t="shared" si="35"/>
        <v>1</v>
      </c>
      <c r="R214" s="484">
        <f t="shared" si="36"/>
        <v>0</v>
      </c>
      <c r="S214" s="789">
        <f t="shared" si="37"/>
        <v>0</v>
      </c>
    </row>
    <row r="215" spans="1:19">
      <c r="A215" s="953"/>
      <c r="B215" s="136"/>
      <c r="C215" s="53">
        <f t="shared" si="28"/>
        <v>1</v>
      </c>
      <c r="D215" s="951"/>
      <c r="E215" s="53">
        <f t="shared" si="29"/>
        <v>1</v>
      </c>
      <c r="F215" s="951"/>
      <c r="G215" s="53">
        <f t="shared" si="30"/>
        <v>1</v>
      </c>
      <c r="H215" s="951"/>
      <c r="I215" s="53">
        <f t="shared" si="31"/>
        <v>1</v>
      </c>
      <c r="J215" s="951"/>
      <c r="K215" s="53">
        <f t="shared" si="32"/>
        <v>1</v>
      </c>
      <c r="L215" s="951"/>
      <c r="M215" s="53">
        <f t="shared" si="33"/>
        <v>1</v>
      </c>
      <c r="N215" s="951"/>
      <c r="O215" s="53">
        <f t="shared" si="34"/>
        <v>1</v>
      </c>
      <c r="P215" s="951"/>
      <c r="Q215" s="53">
        <f t="shared" si="35"/>
        <v>1</v>
      </c>
      <c r="R215" s="484">
        <f t="shared" si="36"/>
        <v>0</v>
      </c>
      <c r="S215" s="789">
        <f t="shared" si="37"/>
        <v>0</v>
      </c>
    </row>
    <row r="216" spans="1:19">
      <c r="A216" s="953"/>
      <c r="B216" s="136"/>
      <c r="C216" s="53">
        <f t="shared" si="28"/>
        <v>1</v>
      </c>
      <c r="D216" s="951"/>
      <c r="E216" s="53">
        <f t="shared" si="29"/>
        <v>1</v>
      </c>
      <c r="F216" s="951"/>
      <c r="G216" s="53">
        <f t="shared" si="30"/>
        <v>1</v>
      </c>
      <c r="H216" s="951"/>
      <c r="I216" s="53">
        <f t="shared" si="31"/>
        <v>1</v>
      </c>
      <c r="J216" s="951"/>
      <c r="K216" s="53">
        <f t="shared" si="32"/>
        <v>1</v>
      </c>
      <c r="L216" s="951"/>
      <c r="M216" s="53">
        <f t="shared" si="33"/>
        <v>1</v>
      </c>
      <c r="N216" s="951"/>
      <c r="O216" s="53">
        <f t="shared" si="34"/>
        <v>1</v>
      </c>
      <c r="P216" s="951"/>
      <c r="Q216" s="53">
        <f t="shared" si="35"/>
        <v>1</v>
      </c>
      <c r="R216" s="484">
        <f t="shared" si="36"/>
        <v>0</v>
      </c>
      <c r="S216" s="789">
        <f t="shared" si="37"/>
        <v>0</v>
      </c>
    </row>
    <row r="217" spans="1:19">
      <c r="A217" s="953"/>
      <c r="B217" s="136"/>
      <c r="C217" s="53">
        <f t="shared" si="28"/>
        <v>1</v>
      </c>
      <c r="D217" s="951"/>
      <c r="E217" s="53">
        <f t="shared" si="29"/>
        <v>1</v>
      </c>
      <c r="F217" s="951"/>
      <c r="G217" s="53">
        <f t="shared" si="30"/>
        <v>1</v>
      </c>
      <c r="H217" s="951"/>
      <c r="I217" s="53">
        <f t="shared" si="31"/>
        <v>1</v>
      </c>
      <c r="J217" s="951"/>
      <c r="K217" s="53">
        <f t="shared" si="32"/>
        <v>1</v>
      </c>
      <c r="L217" s="951"/>
      <c r="M217" s="53">
        <f t="shared" si="33"/>
        <v>1</v>
      </c>
      <c r="N217" s="951"/>
      <c r="O217" s="53">
        <f t="shared" si="34"/>
        <v>1</v>
      </c>
      <c r="P217" s="951"/>
      <c r="Q217" s="53">
        <f t="shared" si="35"/>
        <v>1</v>
      </c>
      <c r="R217" s="484">
        <f t="shared" si="36"/>
        <v>0</v>
      </c>
      <c r="S217" s="789">
        <f t="shared" si="37"/>
        <v>0</v>
      </c>
    </row>
    <row r="218" spans="1:19">
      <c r="A218" s="953"/>
      <c r="B218" s="136"/>
      <c r="C218" s="53">
        <f t="shared" ref="C218:C281" si="38">IF(B218="",1,(LOOKUP(B218,$3:$3,$4:$4)-LOOKUP($B$24,$3:$3,$4:$4)+100)/100)</f>
        <v>1</v>
      </c>
      <c r="D218" s="951"/>
      <c r="E218" s="53">
        <f t="shared" ref="E218:E281" si="39">(SUMIF($5:$5,D218,$6:$6)-SUMIF($5:$5,$D$24,$6:$6)+100)/100</f>
        <v>1</v>
      </c>
      <c r="F218" s="951"/>
      <c r="G218" s="53">
        <f t="shared" ref="G218:G281" si="40">(SUMIF($7:$7,F218,$8:$8)-SUMIF($7:$7,$F$24,$8:$8)+100)/100</f>
        <v>1</v>
      </c>
      <c r="H218" s="951"/>
      <c r="I218" s="53">
        <f t="shared" ref="I218:I281" si="41">(SUMIF($9:$9,H218,$10:$10)-SUMIF($9:$9,$H$24,$10:$10)+100)/100</f>
        <v>1</v>
      </c>
      <c r="J218" s="951"/>
      <c r="K218" s="53">
        <f t="shared" ref="K218:K281" si="42">(SUMIF($11:$11,J218,$12:$12)-SUMIF($11:$11,$J$24,$12:$12)+100)/100</f>
        <v>1</v>
      </c>
      <c r="L218" s="951"/>
      <c r="M218" s="53">
        <f t="shared" ref="M218:M281" si="43">(SUMIF($13:$13,L218,$14:$14)-SUMIF($13:$13,$L$24,$14:$14)+100)/100</f>
        <v>1</v>
      </c>
      <c r="N218" s="951"/>
      <c r="O218" s="53">
        <f t="shared" ref="O218:O281" si="44">(SUMIF($15:$15,N218,$16:$16)-SUMIF($15:$15,$N$24,$16:$16)+100)/100</f>
        <v>1</v>
      </c>
      <c r="P218" s="951"/>
      <c r="Q218" s="53">
        <f t="shared" ref="Q218:Q281" si="45">(SUMIF($17:$17,P218,$18:$18)-SUMIF($17:$17,$P$24,$18:$18)+100)/100</f>
        <v>1</v>
      </c>
      <c r="R218" s="484">
        <f t="shared" ref="R218:R281" si="46">IF(B218="",0,ROUND($R$24*C218*E218*G218*I218*K218*M218*O218*Q218,0))</f>
        <v>0</v>
      </c>
      <c r="S218" s="789">
        <f t="shared" si="37"/>
        <v>0</v>
      </c>
    </row>
    <row r="219" spans="1:19">
      <c r="A219" s="953"/>
      <c r="B219" s="136"/>
      <c r="C219" s="53">
        <f t="shared" si="38"/>
        <v>1</v>
      </c>
      <c r="D219" s="951"/>
      <c r="E219" s="53">
        <f t="shared" si="39"/>
        <v>1</v>
      </c>
      <c r="F219" s="951"/>
      <c r="G219" s="53">
        <f t="shared" si="40"/>
        <v>1</v>
      </c>
      <c r="H219" s="951"/>
      <c r="I219" s="53">
        <f t="shared" si="41"/>
        <v>1</v>
      </c>
      <c r="J219" s="951"/>
      <c r="K219" s="53">
        <f t="shared" si="42"/>
        <v>1</v>
      </c>
      <c r="L219" s="951"/>
      <c r="M219" s="53">
        <f t="shared" si="43"/>
        <v>1</v>
      </c>
      <c r="N219" s="951"/>
      <c r="O219" s="53">
        <f t="shared" si="44"/>
        <v>1</v>
      </c>
      <c r="P219" s="951"/>
      <c r="Q219" s="53">
        <f t="shared" si="45"/>
        <v>1</v>
      </c>
      <c r="R219" s="484">
        <f t="shared" si="46"/>
        <v>0</v>
      </c>
      <c r="S219" s="789">
        <f t="shared" si="37"/>
        <v>0</v>
      </c>
    </row>
    <row r="220" spans="1:19">
      <c r="A220" s="953"/>
      <c r="B220" s="136"/>
      <c r="C220" s="53">
        <f t="shared" si="38"/>
        <v>1</v>
      </c>
      <c r="D220" s="951"/>
      <c r="E220" s="53">
        <f t="shared" si="39"/>
        <v>1</v>
      </c>
      <c r="F220" s="951"/>
      <c r="G220" s="53">
        <f t="shared" si="40"/>
        <v>1</v>
      </c>
      <c r="H220" s="951"/>
      <c r="I220" s="53">
        <f t="shared" si="41"/>
        <v>1</v>
      </c>
      <c r="J220" s="951"/>
      <c r="K220" s="53">
        <f t="shared" si="42"/>
        <v>1</v>
      </c>
      <c r="L220" s="951"/>
      <c r="M220" s="53">
        <f t="shared" si="43"/>
        <v>1</v>
      </c>
      <c r="N220" s="951"/>
      <c r="O220" s="53">
        <f t="shared" si="44"/>
        <v>1</v>
      </c>
      <c r="P220" s="951"/>
      <c r="Q220" s="53">
        <f t="shared" si="45"/>
        <v>1</v>
      </c>
      <c r="R220" s="484">
        <f t="shared" si="46"/>
        <v>0</v>
      </c>
      <c r="S220" s="789">
        <f t="shared" si="37"/>
        <v>0</v>
      </c>
    </row>
    <row r="221" spans="1:19">
      <c r="A221" s="953"/>
      <c r="B221" s="136"/>
      <c r="C221" s="53">
        <f t="shared" si="38"/>
        <v>1</v>
      </c>
      <c r="D221" s="951"/>
      <c r="E221" s="53">
        <f t="shared" si="39"/>
        <v>1</v>
      </c>
      <c r="F221" s="951"/>
      <c r="G221" s="53">
        <f t="shared" si="40"/>
        <v>1</v>
      </c>
      <c r="H221" s="951"/>
      <c r="I221" s="53">
        <f t="shared" si="41"/>
        <v>1</v>
      </c>
      <c r="J221" s="951"/>
      <c r="K221" s="53">
        <f t="shared" si="42"/>
        <v>1</v>
      </c>
      <c r="L221" s="951"/>
      <c r="M221" s="53">
        <f t="shared" si="43"/>
        <v>1</v>
      </c>
      <c r="N221" s="951"/>
      <c r="O221" s="53">
        <f t="shared" si="44"/>
        <v>1</v>
      </c>
      <c r="P221" s="951"/>
      <c r="Q221" s="53">
        <f t="shared" si="45"/>
        <v>1</v>
      </c>
      <c r="R221" s="484">
        <f t="shared" si="46"/>
        <v>0</v>
      </c>
      <c r="S221" s="789">
        <f t="shared" si="37"/>
        <v>0</v>
      </c>
    </row>
    <row r="222" spans="1:19">
      <c r="A222" s="953"/>
      <c r="B222" s="136"/>
      <c r="C222" s="53">
        <f t="shared" si="38"/>
        <v>1</v>
      </c>
      <c r="D222" s="951"/>
      <c r="E222" s="53">
        <f t="shared" si="39"/>
        <v>1</v>
      </c>
      <c r="F222" s="951"/>
      <c r="G222" s="53">
        <f t="shared" si="40"/>
        <v>1</v>
      </c>
      <c r="H222" s="951"/>
      <c r="I222" s="53">
        <f t="shared" si="41"/>
        <v>1</v>
      </c>
      <c r="J222" s="951"/>
      <c r="K222" s="53">
        <f t="shared" si="42"/>
        <v>1</v>
      </c>
      <c r="L222" s="951"/>
      <c r="M222" s="53">
        <f t="shared" si="43"/>
        <v>1</v>
      </c>
      <c r="N222" s="951"/>
      <c r="O222" s="53">
        <f t="shared" si="44"/>
        <v>1</v>
      </c>
      <c r="P222" s="951"/>
      <c r="Q222" s="53">
        <f t="shared" si="45"/>
        <v>1</v>
      </c>
      <c r="R222" s="484">
        <f t="shared" si="46"/>
        <v>0</v>
      </c>
      <c r="S222" s="789">
        <f t="shared" si="37"/>
        <v>0</v>
      </c>
    </row>
    <row r="223" spans="1:19">
      <c r="A223" s="953"/>
      <c r="B223" s="136"/>
      <c r="C223" s="53">
        <f t="shared" si="38"/>
        <v>1</v>
      </c>
      <c r="D223" s="951"/>
      <c r="E223" s="53">
        <f t="shared" si="39"/>
        <v>1</v>
      </c>
      <c r="F223" s="951"/>
      <c r="G223" s="53">
        <f t="shared" si="40"/>
        <v>1</v>
      </c>
      <c r="H223" s="951"/>
      <c r="I223" s="53">
        <f t="shared" si="41"/>
        <v>1</v>
      </c>
      <c r="J223" s="951"/>
      <c r="K223" s="53">
        <f t="shared" si="42"/>
        <v>1</v>
      </c>
      <c r="L223" s="951"/>
      <c r="M223" s="53">
        <f t="shared" si="43"/>
        <v>1</v>
      </c>
      <c r="N223" s="951"/>
      <c r="O223" s="53">
        <f t="shared" si="44"/>
        <v>1</v>
      </c>
      <c r="P223" s="951"/>
      <c r="Q223" s="53">
        <f t="shared" si="45"/>
        <v>1</v>
      </c>
      <c r="R223" s="484">
        <f t="shared" si="46"/>
        <v>0</v>
      </c>
      <c r="S223" s="789">
        <f t="shared" ref="S223:S286" si="47">ROUND(R223*B223/10000,0)</f>
        <v>0</v>
      </c>
    </row>
    <row r="224" spans="1:19">
      <c r="A224" s="953"/>
      <c r="B224" s="136"/>
      <c r="C224" s="53">
        <f t="shared" si="38"/>
        <v>1</v>
      </c>
      <c r="D224" s="951"/>
      <c r="E224" s="53">
        <f t="shared" si="39"/>
        <v>1</v>
      </c>
      <c r="F224" s="951"/>
      <c r="G224" s="53">
        <f t="shared" si="40"/>
        <v>1</v>
      </c>
      <c r="H224" s="951"/>
      <c r="I224" s="53">
        <f t="shared" si="41"/>
        <v>1</v>
      </c>
      <c r="J224" s="951"/>
      <c r="K224" s="53">
        <f t="shared" si="42"/>
        <v>1</v>
      </c>
      <c r="L224" s="951"/>
      <c r="M224" s="53">
        <f t="shared" si="43"/>
        <v>1</v>
      </c>
      <c r="N224" s="951"/>
      <c r="O224" s="53">
        <f t="shared" si="44"/>
        <v>1</v>
      </c>
      <c r="P224" s="951"/>
      <c r="Q224" s="53">
        <f t="shared" si="45"/>
        <v>1</v>
      </c>
      <c r="R224" s="484">
        <f t="shared" si="46"/>
        <v>0</v>
      </c>
      <c r="S224" s="789">
        <f t="shared" si="47"/>
        <v>0</v>
      </c>
    </row>
    <row r="225" spans="1:19">
      <c r="A225" s="953"/>
      <c r="B225" s="136"/>
      <c r="C225" s="53">
        <f t="shared" si="38"/>
        <v>1</v>
      </c>
      <c r="D225" s="951"/>
      <c r="E225" s="53">
        <f t="shared" si="39"/>
        <v>1</v>
      </c>
      <c r="F225" s="951"/>
      <c r="G225" s="53">
        <f t="shared" si="40"/>
        <v>1</v>
      </c>
      <c r="H225" s="951"/>
      <c r="I225" s="53">
        <f t="shared" si="41"/>
        <v>1</v>
      </c>
      <c r="J225" s="951"/>
      <c r="K225" s="53">
        <f t="shared" si="42"/>
        <v>1</v>
      </c>
      <c r="L225" s="951"/>
      <c r="M225" s="53">
        <f t="shared" si="43"/>
        <v>1</v>
      </c>
      <c r="N225" s="951"/>
      <c r="O225" s="53">
        <f t="shared" si="44"/>
        <v>1</v>
      </c>
      <c r="P225" s="951"/>
      <c r="Q225" s="53">
        <f t="shared" si="45"/>
        <v>1</v>
      </c>
      <c r="R225" s="484">
        <f t="shared" si="46"/>
        <v>0</v>
      </c>
      <c r="S225" s="789">
        <f t="shared" si="47"/>
        <v>0</v>
      </c>
    </row>
    <row r="226" spans="1:19">
      <c r="A226" s="953"/>
      <c r="B226" s="136"/>
      <c r="C226" s="53">
        <f t="shared" si="38"/>
        <v>1</v>
      </c>
      <c r="D226" s="951"/>
      <c r="E226" s="53">
        <f t="shared" si="39"/>
        <v>1</v>
      </c>
      <c r="F226" s="951"/>
      <c r="G226" s="53">
        <f t="shared" si="40"/>
        <v>1</v>
      </c>
      <c r="H226" s="951"/>
      <c r="I226" s="53">
        <f t="shared" si="41"/>
        <v>1</v>
      </c>
      <c r="J226" s="951"/>
      <c r="K226" s="53">
        <f t="shared" si="42"/>
        <v>1</v>
      </c>
      <c r="L226" s="951"/>
      <c r="M226" s="53">
        <f t="shared" si="43"/>
        <v>1</v>
      </c>
      <c r="N226" s="951"/>
      <c r="O226" s="53">
        <f t="shared" si="44"/>
        <v>1</v>
      </c>
      <c r="P226" s="951"/>
      <c r="Q226" s="53">
        <f t="shared" si="45"/>
        <v>1</v>
      </c>
      <c r="R226" s="484">
        <f t="shared" si="46"/>
        <v>0</v>
      </c>
      <c r="S226" s="789">
        <f t="shared" si="47"/>
        <v>0</v>
      </c>
    </row>
    <row r="227" spans="1:19">
      <c r="A227" s="953"/>
      <c r="B227" s="136"/>
      <c r="C227" s="53">
        <f t="shared" si="38"/>
        <v>1</v>
      </c>
      <c r="D227" s="951"/>
      <c r="E227" s="53">
        <f t="shared" si="39"/>
        <v>1</v>
      </c>
      <c r="F227" s="951"/>
      <c r="G227" s="53">
        <f t="shared" si="40"/>
        <v>1</v>
      </c>
      <c r="H227" s="951"/>
      <c r="I227" s="53">
        <f t="shared" si="41"/>
        <v>1</v>
      </c>
      <c r="J227" s="951"/>
      <c r="K227" s="53">
        <f t="shared" si="42"/>
        <v>1</v>
      </c>
      <c r="L227" s="951"/>
      <c r="M227" s="53">
        <f t="shared" si="43"/>
        <v>1</v>
      </c>
      <c r="N227" s="951"/>
      <c r="O227" s="53">
        <f t="shared" si="44"/>
        <v>1</v>
      </c>
      <c r="P227" s="951"/>
      <c r="Q227" s="53">
        <f t="shared" si="45"/>
        <v>1</v>
      </c>
      <c r="R227" s="484">
        <f t="shared" si="46"/>
        <v>0</v>
      </c>
      <c r="S227" s="789">
        <f t="shared" si="47"/>
        <v>0</v>
      </c>
    </row>
    <row r="228" spans="1:19">
      <c r="A228" s="953"/>
      <c r="B228" s="136"/>
      <c r="C228" s="53">
        <f t="shared" si="38"/>
        <v>1</v>
      </c>
      <c r="D228" s="951"/>
      <c r="E228" s="53">
        <f t="shared" si="39"/>
        <v>1</v>
      </c>
      <c r="F228" s="951"/>
      <c r="G228" s="53">
        <f t="shared" si="40"/>
        <v>1</v>
      </c>
      <c r="H228" s="951"/>
      <c r="I228" s="53">
        <f t="shared" si="41"/>
        <v>1</v>
      </c>
      <c r="J228" s="951"/>
      <c r="K228" s="53">
        <f t="shared" si="42"/>
        <v>1</v>
      </c>
      <c r="L228" s="951"/>
      <c r="M228" s="53">
        <f t="shared" si="43"/>
        <v>1</v>
      </c>
      <c r="N228" s="951"/>
      <c r="O228" s="53">
        <f t="shared" si="44"/>
        <v>1</v>
      </c>
      <c r="P228" s="951"/>
      <c r="Q228" s="53">
        <f t="shared" si="45"/>
        <v>1</v>
      </c>
      <c r="R228" s="484">
        <f t="shared" si="46"/>
        <v>0</v>
      </c>
      <c r="S228" s="789">
        <f t="shared" si="47"/>
        <v>0</v>
      </c>
    </row>
    <row r="229" spans="1:19">
      <c r="A229" s="953"/>
      <c r="B229" s="136"/>
      <c r="C229" s="53">
        <f t="shared" si="38"/>
        <v>1</v>
      </c>
      <c r="D229" s="951"/>
      <c r="E229" s="53">
        <f t="shared" si="39"/>
        <v>1</v>
      </c>
      <c r="F229" s="951"/>
      <c r="G229" s="53">
        <f t="shared" si="40"/>
        <v>1</v>
      </c>
      <c r="H229" s="951"/>
      <c r="I229" s="53">
        <f t="shared" si="41"/>
        <v>1</v>
      </c>
      <c r="J229" s="951"/>
      <c r="K229" s="53">
        <f t="shared" si="42"/>
        <v>1</v>
      </c>
      <c r="L229" s="951"/>
      <c r="M229" s="53">
        <f t="shared" si="43"/>
        <v>1</v>
      </c>
      <c r="N229" s="951"/>
      <c r="O229" s="53">
        <f t="shared" si="44"/>
        <v>1</v>
      </c>
      <c r="P229" s="951"/>
      <c r="Q229" s="53">
        <f t="shared" si="45"/>
        <v>1</v>
      </c>
      <c r="R229" s="484">
        <f t="shared" si="46"/>
        <v>0</v>
      </c>
      <c r="S229" s="789">
        <f t="shared" si="47"/>
        <v>0</v>
      </c>
    </row>
    <row r="230" spans="1:19">
      <c r="A230" s="953"/>
      <c r="B230" s="136"/>
      <c r="C230" s="53">
        <f t="shared" si="38"/>
        <v>1</v>
      </c>
      <c r="D230" s="951"/>
      <c r="E230" s="53">
        <f t="shared" si="39"/>
        <v>1</v>
      </c>
      <c r="F230" s="951"/>
      <c r="G230" s="53">
        <f t="shared" si="40"/>
        <v>1</v>
      </c>
      <c r="H230" s="951"/>
      <c r="I230" s="53">
        <f t="shared" si="41"/>
        <v>1</v>
      </c>
      <c r="J230" s="951"/>
      <c r="K230" s="53">
        <f t="shared" si="42"/>
        <v>1</v>
      </c>
      <c r="L230" s="951"/>
      <c r="M230" s="53">
        <f t="shared" si="43"/>
        <v>1</v>
      </c>
      <c r="N230" s="951"/>
      <c r="O230" s="53">
        <f t="shared" si="44"/>
        <v>1</v>
      </c>
      <c r="P230" s="951"/>
      <c r="Q230" s="53">
        <f t="shared" si="45"/>
        <v>1</v>
      </c>
      <c r="R230" s="484">
        <f t="shared" si="46"/>
        <v>0</v>
      </c>
      <c r="S230" s="789">
        <f t="shared" si="47"/>
        <v>0</v>
      </c>
    </row>
    <row r="231" spans="1:19">
      <c r="A231" s="953"/>
      <c r="B231" s="136"/>
      <c r="C231" s="53">
        <f t="shared" si="38"/>
        <v>1</v>
      </c>
      <c r="D231" s="951"/>
      <c r="E231" s="53">
        <f t="shared" si="39"/>
        <v>1</v>
      </c>
      <c r="F231" s="951"/>
      <c r="G231" s="53">
        <f t="shared" si="40"/>
        <v>1</v>
      </c>
      <c r="H231" s="951"/>
      <c r="I231" s="53">
        <f t="shared" si="41"/>
        <v>1</v>
      </c>
      <c r="J231" s="951"/>
      <c r="K231" s="53">
        <f t="shared" si="42"/>
        <v>1</v>
      </c>
      <c r="L231" s="951"/>
      <c r="M231" s="53">
        <f t="shared" si="43"/>
        <v>1</v>
      </c>
      <c r="N231" s="951"/>
      <c r="O231" s="53">
        <f t="shared" si="44"/>
        <v>1</v>
      </c>
      <c r="P231" s="951"/>
      <c r="Q231" s="53">
        <f t="shared" si="45"/>
        <v>1</v>
      </c>
      <c r="R231" s="484">
        <f t="shared" si="46"/>
        <v>0</v>
      </c>
      <c r="S231" s="789">
        <f t="shared" si="47"/>
        <v>0</v>
      </c>
    </row>
    <row r="232" spans="1:19">
      <c r="A232" s="953"/>
      <c r="B232" s="136"/>
      <c r="C232" s="53">
        <f t="shared" si="38"/>
        <v>1</v>
      </c>
      <c r="D232" s="951"/>
      <c r="E232" s="53">
        <f t="shared" si="39"/>
        <v>1</v>
      </c>
      <c r="F232" s="951"/>
      <c r="G232" s="53">
        <f t="shared" si="40"/>
        <v>1</v>
      </c>
      <c r="H232" s="951"/>
      <c r="I232" s="53">
        <f t="shared" si="41"/>
        <v>1</v>
      </c>
      <c r="J232" s="951"/>
      <c r="K232" s="53">
        <f t="shared" si="42"/>
        <v>1</v>
      </c>
      <c r="L232" s="951"/>
      <c r="M232" s="53">
        <f t="shared" si="43"/>
        <v>1</v>
      </c>
      <c r="N232" s="951"/>
      <c r="O232" s="53">
        <f t="shared" si="44"/>
        <v>1</v>
      </c>
      <c r="P232" s="951"/>
      <c r="Q232" s="53">
        <f t="shared" si="45"/>
        <v>1</v>
      </c>
      <c r="R232" s="484">
        <f t="shared" si="46"/>
        <v>0</v>
      </c>
      <c r="S232" s="789">
        <f t="shared" si="47"/>
        <v>0</v>
      </c>
    </row>
    <row r="233" spans="1:19">
      <c r="A233" s="953"/>
      <c r="B233" s="136"/>
      <c r="C233" s="53">
        <f t="shared" si="38"/>
        <v>1</v>
      </c>
      <c r="D233" s="951"/>
      <c r="E233" s="53">
        <f t="shared" si="39"/>
        <v>1</v>
      </c>
      <c r="F233" s="951"/>
      <c r="G233" s="53">
        <f t="shared" si="40"/>
        <v>1</v>
      </c>
      <c r="H233" s="951"/>
      <c r="I233" s="53">
        <f t="shared" si="41"/>
        <v>1</v>
      </c>
      <c r="J233" s="951"/>
      <c r="K233" s="53">
        <f t="shared" si="42"/>
        <v>1</v>
      </c>
      <c r="L233" s="951"/>
      <c r="M233" s="53">
        <f t="shared" si="43"/>
        <v>1</v>
      </c>
      <c r="N233" s="951"/>
      <c r="O233" s="53">
        <f t="shared" si="44"/>
        <v>1</v>
      </c>
      <c r="P233" s="951"/>
      <c r="Q233" s="53">
        <f t="shared" si="45"/>
        <v>1</v>
      </c>
      <c r="R233" s="484">
        <f t="shared" si="46"/>
        <v>0</v>
      </c>
      <c r="S233" s="789">
        <f t="shared" si="47"/>
        <v>0</v>
      </c>
    </row>
    <row r="234" spans="1:19">
      <c r="A234" s="953"/>
      <c r="B234" s="136"/>
      <c r="C234" s="53">
        <f t="shared" si="38"/>
        <v>1</v>
      </c>
      <c r="D234" s="951"/>
      <c r="E234" s="53">
        <f t="shared" si="39"/>
        <v>1</v>
      </c>
      <c r="F234" s="951"/>
      <c r="G234" s="53">
        <f t="shared" si="40"/>
        <v>1</v>
      </c>
      <c r="H234" s="951"/>
      <c r="I234" s="53">
        <f t="shared" si="41"/>
        <v>1</v>
      </c>
      <c r="J234" s="951"/>
      <c r="K234" s="53">
        <f t="shared" si="42"/>
        <v>1</v>
      </c>
      <c r="L234" s="951"/>
      <c r="M234" s="53">
        <f t="shared" si="43"/>
        <v>1</v>
      </c>
      <c r="N234" s="951"/>
      <c r="O234" s="53">
        <f t="shared" si="44"/>
        <v>1</v>
      </c>
      <c r="P234" s="951"/>
      <c r="Q234" s="53">
        <f t="shared" si="45"/>
        <v>1</v>
      </c>
      <c r="R234" s="484">
        <f t="shared" si="46"/>
        <v>0</v>
      </c>
      <c r="S234" s="789">
        <f t="shared" si="47"/>
        <v>0</v>
      </c>
    </row>
    <row r="235" spans="1:19">
      <c r="A235" s="953"/>
      <c r="B235" s="136"/>
      <c r="C235" s="53">
        <f t="shared" si="38"/>
        <v>1</v>
      </c>
      <c r="D235" s="951"/>
      <c r="E235" s="53">
        <f t="shared" si="39"/>
        <v>1</v>
      </c>
      <c r="F235" s="951"/>
      <c r="G235" s="53">
        <f t="shared" si="40"/>
        <v>1</v>
      </c>
      <c r="H235" s="951"/>
      <c r="I235" s="53">
        <f t="shared" si="41"/>
        <v>1</v>
      </c>
      <c r="J235" s="951"/>
      <c r="K235" s="53">
        <f t="shared" si="42"/>
        <v>1</v>
      </c>
      <c r="L235" s="951"/>
      <c r="M235" s="53">
        <f t="shared" si="43"/>
        <v>1</v>
      </c>
      <c r="N235" s="951"/>
      <c r="O235" s="53">
        <f t="shared" si="44"/>
        <v>1</v>
      </c>
      <c r="P235" s="951"/>
      <c r="Q235" s="53">
        <f t="shared" si="45"/>
        <v>1</v>
      </c>
      <c r="R235" s="484">
        <f t="shared" si="46"/>
        <v>0</v>
      </c>
      <c r="S235" s="789">
        <f t="shared" si="47"/>
        <v>0</v>
      </c>
    </row>
    <row r="236" spans="1:19">
      <c r="A236" s="953"/>
      <c r="B236" s="136"/>
      <c r="C236" s="53">
        <f t="shared" si="38"/>
        <v>1</v>
      </c>
      <c r="D236" s="951"/>
      <c r="E236" s="53">
        <f t="shared" si="39"/>
        <v>1</v>
      </c>
      <c r="F236" s="951"/>
      <c r="G236" s="53">
        <f t="shared" si="40"/>
        <v>1</v>
      </c>
      <c r="H236" s="951"/>
      <c r="I236" s="53">
        <f t="shared" si="41"/>
        <v>1</v>
      </c>
      <c r="J236" s="951"/>
      <c r="K236" s="53">
        <f t="shared" si="42"/>
        <v>1</v>
      </c>
      <c r="L236" s="951"/>
      <c r="M236" s="53">
        <f t="shared" si="43"/>
        <v>1</v>
      </c>
      <c r="N236" s="951"/>
      <c r="O236" s="53">
        <f t="shared" si="44"/>
        <v>1</v>
      </c>
      <c r="P236" s="951"/>
      <c r="Q236" s="53">
        <f t="shared" si="45"/>
        <v>1</v>
      </c>
      <c r="R236" s="484">
        <f t="shared" si="46"/>
        <v>0</v>
      </c>
      <c r="S236" s="789">
        <f t="shared" si="47"/>
        <v>0</v>
      </c>
    </row>
    <row r="237" spans="1:19">
      <c r="A237" s="953"/>
      <c r="B237" s="136"/>
      <c r="C237" s="53">
        <f t="shared" si="38"/>
        <v>1</v>
      </c>
      <c r="D237" s="951"/>
      <c r="E237" s="53">
        <f t="shared" si="39"/>
        <v>1</v>
      </c>
      <c r="F237" s="951"/>
      <c r="G237" s="53">
        <f t="shared" si="40"/>
        <v>1</v>
      </c>
      <c r="H237" s="951"/>
      <c r="I237" s="53">
        <f t="shared" si="41"/>
        <v>1</v>
      </c>
      <c r="J237" s="951"/>
      <c r="K237" s="53">
        <f t="shared" si="42"/>
        <v>1</v>
      </c>
      <c r="L237" s="951"/>
      <c r="M237" s="53">
        <f t="shared" si="43"/>
        <v>1</v>
      </c>
      <c r="N237" s="951"/>
      <c r="O237" s="53">
        <f t="shared" si="44"/>
        <v>1</v>
      </c>
      <c r="P237" s="951"/>
      <c r="Q237" s="53">
        <f t="shared" si="45"/>
        <v>1</v>
      </c>
      <c r="R237" s="484">
        <f t="shared" si="46"/>
        <v>0</v>
      </c>
      <c r="S237" s="789">
        <f t="shared" si="47"/>
        <v>0</v>
      </c>
    </row>
    <row r="238" spans="1:19">
      <c r="A238" s="953"/>
      <c r="B238" s="136"/>
      <c r="C238" s="53">
        <f t="shared" si="38"/>
        <v>1</v>
      </c>
      <c r="D238" s="951"/>
      <c r="E238" s="53">
        <f t="shared" si="39"/>
        <v>1</v>
      </c>
      <c r="F238" s="951"/>
      <c r="G238" s="53">
        <f t="shared" si="40"/>
        <v>1</v>
      </c>
      <c r="H238" s="951"/>
      <c r="I238" s="53">
        <f t="shared" si="41"/>
        <v>1</v>
      </c>
      <c r="J238" s="951"/>
      <c r="K238" s="53">
        <f t="shared" si="42"/>
        <v>1</v>
      </c>
      <c r="L238" s="951"/>
      <c r="M238" s="53">
        <f t="shared" si="43"/>
        <v>1</v>
      </c>
      <c r="N238" s="951"/>
      <c r="O238" s="53">
        <f t="shared" si="44"/>
        <v>1</v>
      </c>
      <c r="P238" s="951"/>
      <c r="Q238" s="53">
        <f t="shared" si="45"/>
        <v>1</v>
      </c>
      <c r="R238" s="484">
        <f t="shared" si="46"/>
        <v>0</v>
      </c>
      <c r="S238" s="789">
        <f t="shared" si="47"/>
        <v>0</v>
      </c>
    </row>
    <row r="239" spans="1:19">
      <c r="A239" s="953"/>
      <c r="B239" s="136"/>
      <c r="C239" s="53">
        <f t="shared" si="38"/>
        <v>1</v>
      </c>
      <c r="D239" s="951"/>
      <c r="E239" s="53">
        <f t="shared" si="39"/>
        <v>1</v>
      </c>
      <c r="F239" s="951"/>
      <c r="G239" s="53">
        <f t="shared" si="40"/>
        <v>1</v>
      </c>
      <c r="H239" s="951"/>
      <c r="I239" s="53">
        <f t="shared" si="41"/>
        <v>1</v>
      </c>
      <c r="J239" s="951"/>
      <c r="K239" s="53">
        <f t="shared" si="42"/>
        <v>1</v>
      </c>
      <c r="L239" s="951"/>
      <c r="M239" s="53">
        <f t="shared" si="43"/>
        <v>1</v>
      </c>
      <c r="N239" s="951"/>
      <c r="O239" s="53">
        <f t="shared" si="44"/>
        <v>1</v>
      </c>
      <c r="P239" s="951"/>
      <c r="Q239" s="53">
        <f t="shared" si="45"/>
        <v>1</v>
      </c>
      <c r="R239" s="484">
        <f t="shared" si="46"/>
        <v>0</v>
      </c>
      <c r="S239" s="789">
        <f t="shared" si="47"/>
        <v>0</v>
      </c>
    </row>
    <row r="240" spans="1:19">
      <c r="A240" s="953"/>
      <c r="B240" s="136"/>
      <c r="C240" s="53">
        <f t="shared" si="38"/>
        <v>1</v>
      </c>
      <c r="D240" s="951"/>
      <c r="E240" s="53">
        <f t="shared" si="39"/>
        <v>1</v>
      </c>
      <c r="F240" s="951"/>
      <c r="G240" s="53">
        <f t="shared" si="40"/>
        <v>1</v>
      </c>
      <c r="H240" s="951"/>
      <c r="I240" s="53">
        <f t="shared" si="41"/>
        <v>1</v>
      </c>
      <c r="J240" s="951"/>
      <c r="K240" s="53">
        <f t="shared" si="42"/>
        <v>1</v>
      </c>
      <c r="L240" s="951"/>
      <c r="M240" s="53">
        <f t="shared" si="43"/>
        <v>1</v>
      </c>
      <c r="N240" s="951"/>
      <c r="O240" s="53">
        <f t="shared" si="44"/>
        <v>1</v>
      </c>
      <c r="P240" s="951"/>
      <c r="Q240" s="53">
        <f t="shared" si="45"/>
        <v>1</v>
      </c>
      <c r="R240" s="484">
        <f t="shared" si="46"/>
        <v>0</v>
      </c>
      <c r="S240" s="789">
        <f t="shared" si="47"/>
        <v>0</v>
      </c>
    </row>
    <row r="241" spans="1:19">
      <c r="A241" s="953"/>
      <c r="B241" s="136"/>
      <c r="C241" s="53">
        <f t="shared" si="38"/>
        <v>1</v>
      </c>
      <c r="D241" s="951"/>
      <c r="E241" s="53">
        <f t="shared" si="39"/>
        <v>1</v>
      </c>
      <c r="F241" s="951"/>
      <c r="G241" s="53">
        <f t="shared" si="40"/>
        <v>1</v>
      </c>
      <c r="H241" s="951"/>
      <c r="I241" s="53">
        <f t="shared" si="41"/>
        <v>1</v>
      </c>
      <c r="J241" s="951"/>
      <c r="K241" s="53">
        <f t="shared" si="42"/>
        <v>1</v>
      </c>
      <c r="L241" s="951"/>
      <c r="M241" s="53">
        <f t="shared" si="43"/>
        <v>1</v>
      </c>
      <c r="N241" s="951"/>
      <c r="O241" s="53">
        <f t="shared" si="44"/>
        <v>1</v>
      </c>
      <c r="P241" s="951"/>
      <c r="Q241" s="53">
        <f t="shared" si="45"/>
        <v>1</v>
      </c>
      <c r="R241" s="484">
        <f t="shared" si="46"/>
        <v>0</v>
      </c>
      <c r="S241" s="789">
        <f t="shared" si="47"/>
        <v>0</v>
      </c>
    </row>
    <row r="242" spans="1:19">
      <c r="A242" s="953"/>
      <c r="B242" s="136"/>
      <c r="C242" s="53">
        <f t="shared" si="38"/>
        <v>1</v>
      </c>
      <c r="D242" s="951"/>
      <c r="E242" s="53">
        <f t="shared" si="39"/>
        <v>1</v>
      </c>
      <c r="F242" s="951"/>
      <c r="G242" s="53">
        <f t="shared" si="40"/>
        <v>1</v>
      </c>
      <c r="H242" s="951"/>
      <c r="I242" s="53">
        <f t="shared" si="41"/>
        <v>1</v>
      </c>
      <c r="J242" s="951"/>
      <c r="K242" s="53">
        <f t="shared" si="42"/>
        <v>1</v>
      </c>
      <c r="L242" s="951"/>
      <c r="M242" s="53">
        <f t="shared" si="43"/>
        <v>1</v>
      </c>
      <c r="N242" s="951"/>
      <c r="O242" s="53">
        <f t="shared" si="44"/>
        <v>1</v>
      </c>
      <c r="P242" s="951"/>
      <c r="Q242" s="53">
        <f t="shared" si="45"/>
        <v>1</v>
      </c>
      <c r="R242" s="484">
        <f t="shared" si="46"/>
        <v>0</v>
      </c>
      <c r="S242" s="789">
        <f t="shared" si="47"/>
        <v>0</v>
      </c>
    </row>
    <row r="243" spans="1:19">
      <c r="A243" s="953"/>
      <c r="B243" s="136"/>
      <c r="C243" s="53">
        <f t="shared" si="38"/>
        <v>1</v>
      </c>
      <c r="D243" s="951"/>
      <c r="E243" s="53">
        <f t="shared" si="39"/>
        <v>1</v>
      </c>
      <c r="F243" s="951"/>
      <c r="G243" s="53">
        <f t="shared" si="40"/>
        <v>1</v>
      </c>
      <c r="H243" s="951"/>
      <c r="I243" s="53">
        <f t="shared" si="41"/>
        <v>1</v>
      </c>
      <c r="J243" s="951"/>
      <c r="K243" s="53">
        <f t="shared" si="42"/>
        <v>1</v>
      </c>
      <c r="L243" s="951"/>
      <c r="M243" s="53">
        <f t="shared" si="43"/>
        <v>1</v>
      </c>
      <c r="N243" s="951"/>
      <c r="O243" s="53">
        <f t="shared" si="44"/>
        <v>1</v>
      </c>
      <c r="P243" s="951"/>
      <c r="Q243" s="53">
        <f t="shared" si="45"/>
        <v>1</v>
      </c>
      <c r="R243" s="484">
        <f t="shared" si="46"/>
        <v>0</v>
      </c>
      <c r="S243" s="789">
        <f t="shared" si="47"/>
        <v>0</v>
      </c>
    </row>
    <row r="244" spans="1:19">
      <c r="A244" s="953"/>
      <c r="B244" s="136"/>
      <c r="C244" s="53">
        <f t="shared" si="38"/>
        <v>1</v>
      </c>
      <c r="D244" s="951"/>
      <c r="E244" s="53">
        <f t="shared" si="39"/>
        <v>1</v>
      </c>
      <c r="F244" s="951"/>
      <c r="G244" s="53">
        <f t="shared" si="40"/>
        <v>1</v>
      </c>
      <c r="H244" s="951"/>
      <c r="I244" s="53">
        <f t="shared" si="41"/>
        <v>1</v>
      </c>
      <c r="J244" s="951"/>
      <c r="K244" s="53">
        <f t="shared" si="42"/>
        <v>1</v>
      </c>
      <c r="L244" s="951"/>
      <c r="M244" s="53">
        <f t="shared" si="43"/>
        <v>1</v>
      </c>
      <c r="N244" s="951"/>
      <c r="O244" s="53">
        <f t="shared" si="44"/>
        <v>1</v>
      </c>
      <c r="P244" s="951"/>
      <c r="Q244" s="53">
        <f t="shared" si="45"/>
        <v>1</v>
      </c>
      <c r="R244" s="484">
        <f t="shared" si="46"/>
        <v>0</v>
      </c>
      <c r="S244" s="789">
        <f t="shared" si="47"/>
        <v>0</v>
      </c>
    </row>
    <row r="245" spans="1:19">
      <c r="A245" s="953"/>
      <c r="B245" s="136"/>
      <c r="C245" s="53">
        <f t="shared" si="38"/>
        <v>1</v>
      </c>
      <c r="D245" s="951"/>
      <c r="E245" s="53">
        <f t="shared" si="39"/>
        <v>1</v>
      </c>
      <c r="F245" s="951"/>
      <c r="G245" s="53">
        <f t="shared" si="40"/>
        <v>1</v>
      </c>
      <c r="H245" s="951"/>
      <c r="I245" s="53">
        <f t="shared" si="41"/>
        <v>1</v>
      </c>
      <c r="J245" s="951"/>
      <c r="K245" s="53">
        <f t="shared" si="42"/>
        <v>1</v>
      </c>
      <c r="L245" s="951"/>
      <c r="M245" s="53">
        <f t="shared" si="43"/>
        <v>1</v>
      </c>
      <c r="N245" s="951"/>
      <c r="O245" s="53">
        <f t="shared" si="44"/>
        <v>1</v>
      </c>
      <c r="P245" s="951"/>
      <c r="Q245" s="53">
        <f t="shared" si="45"/>
        <v>1</v>
      </c>
      <c r="R245" s="484">
        <f t="shared" si="46"/>
        <v>0</v>
      </c>
      <c r="S245" s="789">
        <f t="shared" si="47"/>
        <v>0</v>
      </c>
    </row>
    <row r="246" spans="1:19">
      <c r="A246" s="953"/>
      <c r="B246" s="136"/>
      <c r="C246" s="53">
        <f t="shared" si="38"/>
        <v>1</v>
      </c>
      <c r="D246" s="951"/>
      <c r="E246" s="53">
        <f t="shared" si="39"/>
        <v>1</v>
      </c>
      <c r="F246" s="951"/>
      <c r="G246" s="53">
        <f t="shared" si="40"/>
        <v>1</v>
      </c>
      <c r="H246" s="951"/>
      <c r="I246" s="53">
        <f t="shared" si="41"/>
        <v>1</v>
      </c>
      <c r="J246" s="951"/>
      <c r="K246" s="53">
        <f t="shared" si="42"/>
        <v>1</v>
      </c>
      <c r="L246" s="951"/>
      <c r="M246" s="53">
        <f t="shared" si="43"/>
        <v>1</v>
      </c>
      <c r="N246" s="951"/>
      <c r="O246" s="53">
        <f t="shared" si="44"/>
        <v>1</v>
      </c>
      <c r="P246" s="951"/>
      <c r="Q246" s="53">
        <f t="shared" si="45"/>
        <v>1</v>
      </c>
      <c r="R246" s="484">
        <f t="shared" si="46"/>
        <v>0</v>
      </c>
      <c r="S246" s="789">
        <f t="shared" si="47"/>
        <v>0</v>
      </c>
    </row>
    <row r="247" spans="1:19">
      <c r="A247" s="953"/>
      <c r="B247" s="136"/>
      <c r="C247" s="53">
        <f t="shared" si="38"/>
        <v>1</v>
      </c>
      <c r="D247" s="951"/>
      <c r="E247" s="53">
        <f t="shared" si="39"/>
        <v>1</v>
      </c>
      <c r="F247" s="951"/>
      <c r="G247" s="53">
        <f t="shared" si="40"/>
        <v>1</v>
      </c>
      <c r="H247" s="951"/>
      <c r="I247" s="53">
        <f t="shared" si="41"/>
        <v>1</v>
      </c>
      <c r="J247" s="951"/>
      <c r="K247" s="53">
        <f t="shared" si="42"/>
        <v>1</v>
      </c>
      <c r="L247" s="951"/>
      <c r="M247" s="53">
        <f t="shared" si="43"/>
        <v>1</v>
      </c>
      <c r="N247" s="951"/>
      <c r="O247" s="53">
        <f t="shared" si="44"/>
        <v>1</v>
      </c>
      <c r="P247" s="951"/>
      <c r="Q247" s="53">
        <f t="shared" si="45"/>
        <v>1</v>
      </c>
      <c r="R247" s="484">
        <f t="shared" si="46"/>
        <v>0</v>
      </c>
      <c r="S247" s="789">
        <f t="shared" si="47"/>
        <v>0</v>
      </c>
    </row>
    <row r="248" spans="1:19">
      <c r="A248" s="953"/>
      <c r="B248" s="136"/>
      <c r="C248" s="53">
        <f t="shared" si="38"/>
        <v>1</v>
      </c>
      <c r="D248" s="951"/>
      <c r="E248" s="53">
        <f t="shared" si="39"/>
        <v>1</v>
      </c>
      <c r="F248" s="951"/>
      <c r="G248" s="53">
        <f t="shared" si="40"/>
        <v>1</v>
      </c>
      <c r="H248" s="951"/>
      <c r="I248" s="53">
        <f t="shared" si="41"/>
        <v>1</v>
      </c>
      <c r="J248" s="951"/>
      <c r="K248" s="53">
        <f t="shared" si="42"/>
        <v>1</v>
      </c>
      <c r="L248" s="951"/>
      <c r="M248" s="53">
        <f t="shared" si="43"/>
        <v>1</v>
      </c>
      <c r="N248" s="951"/>
      <c r="O248" s="53">
        <f t="shared" si="44"/>
        <v>1</v>
      </c>
      <c r="P248" s="951"/>
      <c r="Q248" s="53">
        <f t="shared" si="45"/>
        <v>1</v>
      </c>
      <c r="R248" s="484">
        <f t="shared" si="46"/>
        <v>0</v>
      </c>
      <c r="S248" s="789">
        <f t="shared" si="47"/>
        <v>0</v>
      </c>
    </row>
    <row r="249" spans="1:19">
      <c r="A249" s="953"/>
      <c r="B249" s="136"/>
      <c r="C249" s="53">
        <f t="shared" si="38"/>
        <v>1</v>
      </c>
      <c r="D249" s="951"/>
      <c r="E249" s="53">
        <f t="shared" si="39"/>
        <v>1</v>
      </c>
      <c r="F249" s="951"/>
      <c r="G249" s="53">
        <f t="shared" si="40"/>
        <v>1</v>
      </c>
      <c r="H249" s="951"/>
      <c r="I249" s="53">
        <f t="shared" si="41"/>
        <v>1</v>
      </c>
      <c r="J249" s="951"/>
      <c r="K249" s="53">
        <f t="shared" si="42"/>
        <v>1</v>
      </c>
      <c r="L249" s="951"/>
      <c r="M249" s="53">
        <f t="shared" si="43"/>
        <v>1</v>
      </c>
      <c r="N249" s="951"/>
      <c r="O249" s="53">
        <f t="shared" si="44"/>
        <v>1</v>
      </c>
      <c r="P249" s="951"/>
      <c r="Q249" s="53">
        <f t="shared" si="45"/>
        <v>1</v>
      </c>
      <c r="R249" s="484">
        <f t="shared" si="46"/>
        <v>0</v>
      </c>
      <c r="S249" s="789">
        <f t="shared" si="47"/>
        <v>0</v>
      </c>
    </row>
    <row r="250" spans="1:19">
      <c r="A250" s="953"/>
      <c r="B250" s="136"/>
      <c r="C250" s="53">
        <f t="shared" si="38"/>
        <v>1</v>
      </c>
      <c r="D250" s="951"/>
      <c r="E250" s="53">
        <f t="shared" si="39"/>
        <v>1</v>
      </c>
      <c r="F250" s="951"/>
      <c r="G250" s="53">
        <f t="shared" si="40"/>
        <v>1</v>
      </c>
      <c r="H250" s="951"/>
      <c r="I250" s="53">
        <f t="shared" si="41"/>
        <v>1</v>
      </c>
      <c r="J250" s="951"/>
      <c r="K250" s="53">
        <f t="shared" si="42"/>
        <v>1</v>
      </c>
      <c r="L250" s="951"/>
      <c r="M250" s="53">
        <f t="shared" si="43"/>
        <v>1</v>
      </c>
      <c r="N250" s="951"/>
      <c r="O250" s="53">
        <f t="shared" si="44"/>
        <v>1</v>
      </c>
      <c r="P250" s="951"/>
      <c r="Q250" s="53">
        <f t="shared" si="45"/>
        <v>1</v>
      </c>
      <c r="R250" s="484">
        <f t="shared" si="46"/>
        <v>0</v>
      </c>
      <c r="S250" s="789">
        <f t="shared" si="47"/>
        <v>0</v>
      </c>
    </row>
    <row r="251" spans="1:19">
      <c r="A251" s="953"/>
      <c r="B251" s="136"/>
      <c r="C251" s="53">
        <f t="shared" si="38"/>
        <v>1</v>
      </c>
      <c r="D251" s="951"/>
      <c r="E251" s="53">
        <f t="shared" si="39"/>
        <v>1</v>
      </c>
      <c r="F251" s="951"/>
      <c r="G251" s="53">
        <f t="shared" si="40"/>
        <v>1</v>
      </c>
      <c r="H251" s="951"/>
      <c r="I251" s="53">
        <f t="shared" si="41"/>
        <v>1</v>
      </c>
      <c r="J251" s="951"/>
      <c r="K251" s="53">
        <f t="shared" si="42"/>
        <v>1</v>
      </c>
      <c r="L251" s="951"/>
      <c r="M251" s="53">
        <f t="shared" si="43"/>
        <v>1</v>
      </c>
      <c r="N251" s="951"/>
      <c r="O251" s="53">
        <f t="shared" si="44"/>
        <v>1</v>
      </c>
      <c r="P251" s="951"/>
      <c r="Q251" s="53">
        <f t="shared" si="45"/>
        <v>1</v>
      </c>
      <c r="R251" s="484">
        <f t="shared" si="46"/>
        <v>0</v>
      </c>
      <c r="S251" s="789">
        <f t="shared" si="47"/>
        <v>0</v>
      </c>
    </row>
    <row r="252" spans="1:19">
      <c r="A252" s="953"/>
      <c r="B252" s="136"/>
      <c r="C252" s="53">
        <f t="shared" si="38"/>
        <v>1</v>
      </c>
      <c r="D252" s="951"/>
      <c r="E252" s="53">
        <f t="shared" si="39"/>
        <v>1</v>
      </c>
      <c r="F252" s="951"/>
      <c r="G252" s="53">
        <f t="shared" si="40"/>
        <v>1</v>
      </c>
      <c r="H252" s="951"/>
      <c r="I252" s="53">
        <f t="shared" si="41"/>
        <v>1</v>
      </c>
      <c r="J252" s="951"/>
      <c r="K252" s="53">
        <f t="shared" si="42"/>
        <v>1</v>
      </c>
      <c r="L252" s="951"/>
      <c r="M252" s="53">
        <f t="shared" si="43"/>
        <v>1</v>
      </c>
      <c r="N252" s="951"/>
      <c r="O252" s="53">
        <f t="shared" si="44"/>
        <v>1</v>
      </c>
      <c r="P252" s="951"/>
      <c r="Q252" s="53">
        <f t="shared" si="45"/>
        <v>1</v>
      </c>
      <c r="R252" s="484">
        <f t="shared" si="46"/>
        <v>0</v>
      </c>
      <c r="S252" s="789">
        <f t="shared" si="47"/>
        <v>0</v>
      </c>
    </row>
    <row r="253" spans="1:19">
      <c r="A253" s="953"/>
      <c r="B253" s="136"/>
      <c r="C253" s="53">
        <f t="shared" si="38"/>
        <v>1</v>
      </c>
      <c r="D253" s="951"/>
      <c r="E253" s="53">
        <f t="shared" si="39"/>
        <v>1</v>
      </c>
      <c r="F253" s="951"/>
      <c r="G253" s="53">
        <f t="shared" si="40"/>
        <v>1</v>
      </c>
      <c r="H253" s="951"/>
      <c r="I253" s="53">
        <f t="shared" si="41"/>
        <v>1</v>
      </c>
      <c r="J253" s="951"/>
      <c r="K253" s="53">
        <f t="shared" si="42"/>
        <v>1</v>
      </c>
      <c r="L253" s="951"/>
      <c r="M253" s="53">
        <f t="shared" si="43"/>
        <v>1</v>
      </c>
      <c r="N253" s="951"/>
      <c r="O253" s="53">
        <f t="shared" si="44"/>
        <v>1</v>
      </c>
      <c r="P253" s="951"/>
      <c r="Q253" s="53">
        <f t="shared" si="45"/>
        <v>1</v>
      </c>
      <c r="R253" s="484">
        <f t="shared" si="46"/>
        <v>0</v>
      </c>
      <c r="S253" s="789">
        <f t="shared" si="47"/>
        <v>0</v>
      </c>
    </row>
    <row r="254" spans="1:19">
      <c r="A254" s="953"/>
      <c r="B254" s="136"/>
      <c r="C254" s="53">
        <f t="shared" si="38"/>
        <v>1</v>
      </c>
      <c r="D254" s="951"/>
      <c r="E254" s="53">
        <f t="shared" si="39"/>
        <v>1</v>
      </c>
      <c r="F254" s="951"/>
      <c r="G254" s="53">
        <f t="shared" si="40"/>
        <v>1</v>
      </c>
      <c r="H254" s="951"/>
      <c r="I254" s="53">
        <f t="shared" si="41"/>
        <v>1</v>
      </c>
      <c r="J254" s="951"/>
      <c r="K254" s="53">
        <f t="shared" si="42"/>
        <v>1</v>
      </c>
      <c r="L254" s="951"/>
      <c r="M254" s="53">
        <f t="shared" si="43"/>
        <v>1</v>
      </c>
      <c r="N254" s="951"/>
      <c r="O254" s="53">
        <f t="shared" si="44"/>
        <v>1</v>
      </c>
      <c r="P254" s="951"/>
      <c r="Q254" s="53">
        <f t="shared" si="45"/>
        <v>1</v>
      </c>
      <c r="R254" s="484">
        <f t="shared" si="46"/>
        <v>0</v>
      </c>
      <c r="S254" s="789">
        <f t="shared" si="47"/>
        <v>0</v>
      </c>
    </row>
    <row r="255" spans="1:19">
      <c r="A255" s="953"/>
      <c r="B255" s="136"/>
      <c r="C255" s="53">
        <f t="shared" si="38"/>
        <v>1</v>
      </c>
      <c r="D255" s="951"/>
      <c r="E255" s="53">
        <f t="shared" si="39"/>
        <v>1</v>
      </c>
      <c r="F255" s="951"/>
      <c r="G255" s="53">
        <f t="shared" si="40"/>
        <v>1</v>
      </c>
      <c r="H255" s="951"/>
      <c r="I255" s="53">
        <f t="shared" si="41"/>
        <v>1</v>
      </c>
      <c r="J255" s="951"/>
      <c r="K255" s="53">
        <f t="shared" si="42"/>
        <v>1</v>
      </c>
      <c r="L255" s="951"/>
      <c r="M255" s="53">
        <f t="shared" si="43"/>
        <v>1</v>
      </c>
      <c r="N255" s="951"/>
      <c r="O255" s="53">
        <f t="shared" si="44"/>
        <v>1</v>
      </c>
      <c r="P255" s="951"/>
      <c r="Q255" s="53">
        <f t="shared" si="45"/>
        <v>1</v>
      </c>
      <c r="R255" s="484">
        <f t="shared" si="46"/>
        <v>0</v>
      </c>
      <c r="S255" s="789">
        <f t="shared" si="47"/>
        <v>0</v>
      </c>
    </row>
    <row r="256" spans="1:19">
      <c r="A256" s="953"/>
      <c r="B256" s="136"/>
      <c r="C256" s="53">
        <f t="shared" si="38"/>
        <v>1</v>
      </c>
      <c r="D256" s="951"/>
      <c r="E256" s="53">
        <f t="shared" si="39"/>
        <v>1</v>
      </c>
      <c r="F256" s="951"/>
      <c r="G256" s="53">
        <f t="shared" si="40"/>
        <v>1</v>
      </c>
      <c r="H256" s="951"/>
      <c r="I256" s="53">
        <f t="shared" si="41"/>
        <v>1</v>
      </c>
      <c r="J256" s="951"/>
      <c r="K256" s="53">
        <f t="shared" si="42"/>
        <v>1</v>
      </c>
      <c r="L256" s="951"/>
      <c r="M256" s="53">
        <f t="shared" si="43"/>
        <v>1</v>
      </c>
      <c r="N256" s="951"/>
      <c r="O256" s="53">
        <f t="shared" si="44"/>
        <v>1</v>
      </c>
      <c r="P256" s="951"/>
      <c r="Q256" s="53">
        <f t="shared" si="45"/>
        <v>1</v>
      </c>
      <c r="R256" s="484">
        <f t="shared" si="46"/>
        <v>0</v>
      </c>
      <c r="S256" s="789">
        <f t="shared" si="47"/>
        <v>0</v>
      </c>
    </row>
    <row r="257" spans="1:19">
      <c r="A257" s="953"/>
      <c r="B257" s="136"/>
      <c r="C257" s="53">
        <f t="shared" si="38"/>
        <v>1</v>
      </c>
      <c r="D257" s="951"/>
      <c r="E257" s="53">
        <f t="shared" si="39"/>
        <v>1</v>
      </c>
      <c r="F257" s="951"/>
      <c r="G257" s="53">
        <f t="shared" si="40"/>
        <v>1</v>
      </c>
      <c r="H257" s="951"/>
      <c r="I257" s="53">
        <f t="shared" si="41"/>
        <v>1</v>
      </c>
      <c r="J257" s="951"/>
      <c r="K257" s="53">
        <f t="shared" si="42"/>
        <v>1</v>
      </c>
      <c r="L257" s="951"/>
      <c r="M257" s="53">
        <f t="shared" si="43"/>
        <v>1</v>
      </c>
      <c r="N257" s="951"/>
      <c r="O257" s="53">
        <f t="shared" si="44"/>
        <v>1</v>
      </c>
      <c r="P257" s="951"/>
      <c r="Q257" s="53">
        <f t="shared" si="45"/>
        <v>1</v>
      </c>
      <c r="R257" s="484">
        <f t="shared" si="46"/>
        <v>0</v>
      </c>
      <c r="S257" s="789">
        <f t="shared" si="47"/>
        <v>0</v>
      </c>
    </row>
    <row r="258" spans="1:19">
      <c r="A258" s="953"/>
      <c r="B258" s="136"/>
      <c r="C258" s="53">
        <f t="shared" si="38"/>
        <v>1</v>
      </c>
      <c r="D258" s="951"/>
      <c r="E258" s="53">
        <f t="shared" si="39"/>
        <v>1</v>
      </c>
      <c r="F258" s="951"/>
      <c r="G258" s="53">
        <f t="shared" si="40"/>
        <v>1</v>
      </c>
      <c r="H258" s="951"/>
      <c r="I258" s="53">
        <f t="shared" si="41"/>
        <v>1</v>
      </c>
      <c r="J258" s="951"/>
      <c r="K258" s="53">
        <f t="shared" si="42"/>
        <v>1</v>
      </c>
      <c r="L258" s="951"/>
      <c r="M258" s="53">
        <f t="shared" si="43"/>
        <v>1</v>
      </c>
      <c r="N258" s="951"/>
      <c r="O258" s="53">
        <f t="shared" si="44"/>
        <v>1</v>
      </c>
      <c r="P258" s="951"/>
      <c r="Q258" s="53">
        <f t="shared" si="45"/>
        <v>1</v>
      </c>
      <c r="R258" s="484">
        <f t="shared" si="46"/>
        <v>0</v>
      </c>
      <c r="S258" s="789">
        <f t="shared" si="47"/>
        <v>0</v>
      </c>
    </row>
    <row r="259" spans="1:19">
      <c r="A259" s="953"/>
      <c r="B259" s="136"/>
      <c r="C259" s="53">
        <f t="shared" si="38"/>
        <v>1</v>
      </c>
      <c r="D259" s="951"/>
      <c r="E259" s="53">
        <f t="shared" si="39"/>
        <v>1</v>
      </c>
      <c r="F259" s="951"/>
      <c r="G259" s="53">
        <f t="shared" si="40"/>
        <v>1</v>
      </c>
      <c r="H259" s="951"/>
      <c r="I259" s="53">
        <f t="shared" si="41"/>
        <v>1</v>
      </c>
      <c r="J259" s="951"/>
      <c r="K259" s="53">
        <f t="shared" si="42"/>
        <v>1</v>
      </c>
      <c r="L259" s="951"/>
      <c r="M259" s="53">
        <f t="shared" si="43"/>
        <v>1</v>
      </c>
      <c r="N259" s="951"/>
      <c r="O259" s="53">
        <f t="shared" si="44"/>
        <v>1</v>
      </c>
      <c r="P259" s="951"/>
      <c r="Q259" s="53">
        <f t="shared" si="45"/>
        <v>1</v>
      </c>
      <c r="R259" s="484">
        <f t="shared" si="46"/>
        <v>0</v>
      </c>
      <c r="S259" s="789">
        <f t="shared" si="47"/>
        <v>0</v>
      </c>
    </row>
    <row r="260" spans="1:19">
      <c r="A260" s="953"/>
      <c r="B260" s="136"/>
      <c r="C260" s="53">
        <f t="shared" si="38"/>
        <v>1</v>
      </c>
      <c r="D260" s="951"/>
      <c r="E260" s="53">
        <f t="shared" si="39"/>
        <v>1</v>
      </c>
      <c r="F260" s="951"/>
      <c r="G260" s="53">
        <f t="shared" si="40"/>
        <v>1</v>
      </c>
      <c r="H260" s="951"/>
      <c r="I260" s="53">
        <f t="shared" si="41"/>
        <v>1</v>
      </c>
      <c r="J260" s="951"/>
      <c r="K260" s="53">
        <f t="shared" si="42"/>
        <v>1</v>
      </c>
      <c r="L260" s="951"/>
      <c r="M260" s="53">
        <f t="shared" si="43"/>
        <v>1</v>
      </c>
      <c r="N260" s="951"/>
      <c r="O260" s="53">
        <f t="shared" si="44"/>
        <v>1</v>
      </c>
      <c r="P260" s="951"/>
      <c r="Q260" s="53">
        <f t="shared" si="45"/>
        <v>1</v>
      </c>
      <c r="R260" s="484">
        <f t="shared" si="46"/>
        <v>0</v>
      </c>
      <c r="S260" s="789">
        <f t="shared" si="47"/>
        <v>0</v>
      </c>
    </row>
    <row r="261" spans="1:19">
      <c r="A261" s="953"/>
      <c r="B261" s="136"/>
      <c r="C261" s="53">
        <f t="shared" si="38"/>
        <v>1</v>
      </c>
      <c r="D261" s="951"/>
      <c r="E261" s="53">
        <f t="shared" si="39"/>
        <v>1</v>
      </c>
      <c r="F261" s="951"/>
      <c r="G261" s="53">
        <f t="shared" si="40"/>
        <v>1</v>
      </c>
      <c r="H261" s="951"/>
      <c r="I261" s="53">
        <f t="shared" si="41"/>
        <v>1</v>
      </c>
      <c r="J261" s="951"/>
      <c r="K261" s="53">
        <f t="shared" si="42"/>
        <v>1</v>
      </c>
      <c r="L261" s="951"/>
      <c r="M261" s="53">
        <f t="shared" si="43"/>
        <v>1</v>
      </c>
      <c r="N261" s="951"/>
      <c r="O261" s="53">
        <f t="shared" si="44"/>
        <v>1</v>
      </c>
      <c r="P261" s="951"/>
      <c r="Q261" s="53">
        <f t="shared" si="45"/>
        <v>1</v>
      </c>
      <c r="R261" s="484">
        <f t="shared" si="46"/>
        <v>0</v>
      </c>
      <c r="S261" s="789">
        <f t="shared" si="47"/>
        <v>0</v>
      </c>
    </row>
    <row r="262" spans="1:19">
      <c r="A262" s="953"/>
      <c r="B262" s="136"/>
      <c r="C262" s="53">
        <f t="shared" si="38"/>
        <v>1</v>
      </c>
      <c r="D262" s="951"/>
      <c r="E262" s="53">
        <f t="shared" si="39"/>
        <v>1</v>
      </c>
      <c r="F262" s="951"/>
      <c r="G262" s="53">
        <f t="shared" si="40"/>
        <v>1</v>
      </c>
      <c r="H262" s="951"/>
      <c r="I262" s="53">
        <f t="shared" si="41"/>
        <v>1</v>
      </c>
      <c r="J262" s="951"/>
      <c r="K262" s="53">
        <f t="shared" si="42"/>
        <v>1</v>
      </c>
      <c r="L262" s="951"/>
      <c r="M262" s="53">
        <f t="shared" si="43"/>
        <v>1</v>
      </c>
      <c r="N262" s="951"/>
      <c r="O262" s="53">
        <f t="shared" si="44"/>
        <v>1</v>
      </c>
      <c r="P262" s="951"/>
      <c r="Q262" s="53">
        <f t="shared" si="45"/>
        <v>1</v>
      </c>
      <c r="R262" s="484">
        <f t="shared" si="46"/>
        <v>0</v>
      </c>
      <c r="S262" s="789">
        <f t="shared" si="47"/>
        <v>0</v>
      </c>
    </row>
    <row r="263" spans="1:19">
      <c r="A263" s="953"/>
      <c r="B263" s="136"/>
      <c r="C263" s="53">
        <f t="shared" si="38"/>
        <v>1</v>
      </c>
      <c r="D263" s="951"/>
      <c r="E263" s="53">
        <f t="shared" si="39"/>
        <v>1</v>
      </c>
      <c r="F263" s="951"/>
      <c r="G263" s="53">
        <f t="shared" si="40"/>
        <v>1</v>
      </c>
      <c r="H263" s="951"/>
      <c r="I263" s="53">
        <f t="shared" si="41"/>
        <v>1</v>
      </c>
      <c r="J263" s="951"/>
      <c r="K263" s="53">
        <f t="shared" si="42"/>
        <v>1</v>
      </c>
      <c r="L263" s="951"/>
      <c r="M263" s="53">
        <f t="shared" si="43"/>
        <v>1</v>
      </c>
      <c r="N263" s="951"/>
      <c r="O263" s="53">
        <f t="shared" si="44"/>
        <v>1</v>
      </c>
      <c r="P263" s="951"/>
      <c r="Q263" s="53">
        <f t="shared" si="45"/>
        <v>1</v>
      </c>
      <c r="R263" s="484">
        <f t="shared" si="46"/>
        <v>0</v>
      </c>
      <c r="S263" s="789">
        <f t="shared" si="47"/>
        <v>0</v>
      </c>
    </row>
    <row r="264" spans="1:19">
      <c r="A264" s="953"/>
      <c r="B264" s="136"/>
      <c r="C264" s="53">
        <f t="shared" si="38"/>
        <v>1</v>
      </c>
      <c r="D264" s="951"/>
      <c r="E264" s="53">
        <f t="shared" si="39"/>
        <v>1</v>
      </c>
      <c r="F264" s="951"/>
      <c r="G264" s="53">
        <f t="shared" si="40"/>
        <v>1</v>
      </c>
      <c r="H264" s="951"/>
      <c r="I264" s="53">
        <f t="shared" si="41"/>
        <v>1</v>
      </c>
      <c r="J264" s="951"/>
      <c r="K264" s="53">
        <f t="shared" si="42"/>
        <v>1</v>
      </c>
      <c r="L264" s="951"/>
      <c r="M264" s="53">
        <f t="shared" si="43"/>
        <v>1</v>
      </c>
      <c r="N264" s="951"/>
      <c r="O264" s="53">
        <f t="shared" si="44"/>
        <v>1</v>
      </c>
      <c r="P264" s="951"/>
      <c r="Q264" s="53">
        <f t="shared" si="45"/>
        <v>1</v>
      </c>
      <c r="R264" s="484">
        <f t="shared" si="46"/>
        <v>0</v>
      </c>
      <c r="S264" s="789">
        <f t="shared" si="47"/>
        <v>0</v>
      </c>
    </row>
    <row r="265" spans="1:19">
      <c r="A265" s="953"/>
      <c r="B265" s="136"/>
      <c r="C265" s="53">
        <f t="shared" si="38"/>
        <v>1</v>
      </c>
      <c r="D265" s="951"/>
      <c r="E265" s="53">
        <f t="shared" si="39"/>
        <v>1</v>
      </c>
      <c r="F265" s="951"/>
      <c r="G265" s="53">
        <f t="shared" si="40"/>
        <v>1</v>
      </c>
      <c r="H265" s="951"/>
      <c r="I265" s="53">
        <f t="shared" si="41"/>
        <v>1</v>
      </c>
      <c r="J265" s="951"/>
      <c r="K265" s="53">
        <f t="shared" si="42"/>
        <v>1</v>
      </c>
      <c r="L265" s="951"/>
      <c r="M265" s="53">
        <f t="shared" si="43"/>
        <v>1</v>
      </c>
      <c r="N265" s="951"/>
      <c r="O265" s="53">
        <f t="shared" si="44"/>
        <v>1</v>
      </c>
      <c r="P265" s="951"/>
      <c r="Q265" s="53">
        <f t="shared" si="45"/>
        <v>1</v>
      </c>
      <c r="R265" s="484">
        <f t="shared" si="46"/>
        <v>0</v>
      </c>
      <c r="S265" s="789">
        <f t="shared" si="47"/>
        <v>0</v>
      </c>
    </row>
    <row r="266" spans="1:19">
      <c r="A266" s="953"/>
      <c r="B266" s="136"/>
      <c r="C266" s="53">
        <f t="shared" si="38"/>
        <v>1</v>
      </c>
      <c r="D266" s="951"/>
      <c r="E266" s="53">
        <f t="shared" si="39"/>
        <v>1</v>
      </c>
      <c r="F266" s="951"/>
      <c r="G266" s="53">
        <f t="shared" si="40"/>
        <v>1</v>
      </c>
      <c r="H266" s="951"/>
      <c r="I266" s="53">
        <f t="shared" si="41"/>
        <v>1</v>
      </c>
      <c r="J266" s="951"/>
      <c r="K266" s="53">
        <f t="shared" si="42"/>
        <v>1</v>
      </c>
      <c r="L266" s="951"/>
      <c r="M266" s="53">
        <f t="shared" si="43"/>
        <v>1</v>
      </c>
      <c r="N266" s="951"/>
      <c r="O266" s="53">
        <f t="shared" si="44"/>
        <v>1</v>
      </c>
      <c r="P266" s="951"/>
      <c r="Q266" s="53">
        <f t="shared" si="45"/>
        <v>1</v>
      </c>
      <c r="R266" s="484">
        <f t="shared" si="46"/>
        <v>0</v>
      </c>
      <c r="S266" s="789">
        <f t="shared" si="47"/>
        <v>0</v>
      </c>
    </row>
    <row r="267" spans="1:19">
      <c r="A267" s="953"/>
      <c r="B267" s="136"/>
      <c r="C267" s="53">
        <f t="shared" si="38"/>
        <v>1</v>
      </c>
      <c r="D267" s="951"/>
      <c r="E267" s="53">
        <f t="shared" si="39"/>
        <v>1</v>
      </c>
      <c r="F267" s="951"/>
      <c r="G267" s="53">
        <f t="shared" si="40"/>
        <v>1</v>
      </c>
      <c r="H267" s="951"/>
      <c r="I267" s="53">
        <f t="shared" si="41"/>
        <v>1</v>
      </c>
      <c r="J267" s="951"/>
      <c r="K267" s="53">
        <f t="shared" si="42"/>
        <v>1</v>
      </c>
      <c r="L267" s="951"/>
      <c r="M267" s="53">
        <f t="shared" si="43"/>
        <v>1</v>
      </c>
      <c r="N267" s="951"/>
      <c r="O267" s="53">
        <f t="shared" si="44"/>
        <v>1</v>
      </c>
      <c r="P267" s="951"/>
      <c r="Q267" s="53">
        <f t="shared" si="45"/>
        <v>1</v>
      </c>
      <c r="R267" s="484">
        <f t="shared" si="46"/>
        <v>0</v>
      </c>
      <c r="S267" s="789">
        <f t="shared" si="47"/>
        <v>0</v>
      </c>
    </row>
    <row r="268" spans="1:19">
      <c r="A268" s="953"/>
      <c r="B268" s="136"/>
      <c r="C268" s="53">
        <f t="shared" si="38"/>
        <v>1</v>
      </c>
      <c r="D268" s="951"/>
      <c r="E268" s="53">
        <f t="shared" si="39"/>
        <v>1</v>
      </c>
      <c r="F268" s="951"/>
      <c r="G268" s="53">
        <f t="shared" si="40"/>
        <v>1</v>
      </c>
      <c r="H268" s="951"/>
      <c r="I268" s="53">
        <f t="shared" si="41"/>
        <v>1</v>
      </c>
      <c r="J268" s="951"/>
      <c r="K268" s="53">
        <f t="shared" si="42"/>
        <v>1</v>
      </c>
      <c r="L268" s="951"/>
      <c r="M268" s="53">
        <f t="shared" si="43"/>
        <v>1</v>
      </c>
      <c r="N268" s="951"/>
      <c r="O268" s="53">
        <f t="shared" si="44"/>
        <v>1</v>
      </c>
      <c r="P268" s="951"/>
      <c r="Q268" s="53">
        <f t="shared" si="45"/>
        <v>1</v>
      </c>
      <c r="R268" s="484">
        <f t="shared" si="46"/>
        <v>0</v>
      </c>
      <c r="S268" s="789">
        <f t="shared" si="47"/>
        <v>0</v>
      </c>
    </row>
    <row r="269" spans="1:19">
      <c r="A269" s="953"/>
      <c r="B269" s="136"/>
      <c r="C269" s="53">
        <f t="shared" si="38"/>
        <v>1</v>
      </c>
      <c r="D269" s="951"/>
      <c r="E269" s="53">
        <f t="shared" si="39"/>
        <v>1</v>
      </c>
      <c r="F269" s="951"/>
      <c r="G269" s="53">
        <f t="shared" si="40"/>
        <v>1</v>
      </c>
      <c r="H269" s="951"/>
      <c r="I269" s="53">
        <f t="shared" si="41"/>
        <v>1</v>
      </c>
      <c r="J269" s="951"/>
      <c r="K269" s="53">
        <f t="shared" si="42"/>
        <v>1</v>
      </c>
      <c r="L269" s="951"/>
      <c r="M269" s="53">
        <f t="shared" si="43"/>
        <v>1</v>
      </c>
      <c r="N269" s="951"/>
      <c r="O269" s="53">
        <f t="shared" si="44"/>
        <v>1</v>
      </c>
      <c r="P269" s="951"/>
      <c r="Q269" s="53">
        <f t="shared" si="45"/>
        <v>1</v>
      </c>
      <c r="R269" s="484">
        <f t="shared" si="46"/>
        <v>0</v>
      </c>
      <c r="S269" s="789">
        <f t="shared" si="47"/>
        <v>0</v>
      </c>
    </row>
    <row r="270" spans="1:19">
      <c r="A270" s="953"/>
      <c r="B270" s="136"/>
      <c r="C270" s="53">
        <f t="shared" si="38"/>
        <v>1</v>
      </c>
      <c r="D270" s="951"/>
      <c r="E270" s="53">
        <f t="shared" si="39"/>
        <v>1</v>
      </c>
      <c r="F270" s="951"/>
      <c r="G270" s="53">
        <f t="shared" si="40"/>
        <v>1</v>
      </c>
      <c r="H270" s="951"/>
      <c r="I270" s="53">
        <f t="shared" si="41"/>
        <v>1</v>
      </c>
      <c r="J270" s="951"/>
      <c r="K270" s="53">
        <f t="shared" si="42"/>
        <v>1</v>
      </c>
      <c r="L270" s="951"/>
      <c r="M270" s="53">
        <f t="shared" si="43"/>
        <v>1</v>
      </c>
      <c r="N270" s="951"/>
      <c r="O270" s="53">
        <f t="shared" si="44"/>
        <v>1</v>
      </c>
      <c r="P270" s="951"/>
      <c r="Q270" s="53">
        <f t="shared" si="45"/>
        <v>1</v>
      </c>
      <c r="R270" s="484">
        <f t="shared" si="46"/>
        <v>0</v>
      </c>
      <c r="S270" s="789">
        <f t="shared" si="47"/>
        <v>0</v>
      </c>
    </row>
    <row r="271" spans="1:19">
      <c r="A271" s="953"/>
      <c r="B271" s="136"/>
      <c r="C271" s="53">
        <f t="shared" si="38"/>
        <v>1</v>
      </c>
      <c r="D271" s="951"/>
      <c r="E271" s="53">
        <f t="shared" si="39"/>
        <v>1</v>
      </c>
      <c r="F271" s="951"/>
      <c r="G271" s="53">
        <f t="shared" si="40"/>
        <v>1</v>
      </c>
      <c r="H271" s="951"/>
      <c r="I271" s="53">
        <f t="shared" si="41"/>
        <v>1</v>
      </c>
      <c r="J271" s="951"/>
      <c r="K271" s="53">
        <f t="shared" si="42"/>
        <v>1</v>
      </c>
      <c r="L271" s="951"/>
      <c r="M271" s="53">
        <f t="shared" si="43"/>
        <v>1</v>
      </c>
      <c r="N271" s="951"/>
      <c r="O271" s="53">
        <f t="shared" si="44"/>
        <v>1</v>
      </c>
      <c r="P271" s="951"/>
      <c r="Q271" s="53">
        <f t="shared" si="45"/>
        <v>1</v>
      </c>
      <c r="R271" s="484">
        <f t="shared" si="46"/>
        <v>0</v>
      </c>
      <c r="S271" s="789">
        <f t="shared" si="47"/>
        <v>0</v>
      </c>
    </row>
    <row r="272" spans="1:19">
      <c r="A272" s="953"/>
      <c r="B272" s="136"/>
      <c r="C272" s="53">
        <f t="shared" si="38"/>
        <v>1</v>
      </c>
      <c r="D272" s="951"/>
      <c r="E272" s="53">
        <f t="shared" si="39"/>
        <v>1</v>
      </c>
      <c r="F272" s="951"/>
      <c r="G272" s="53">
        <f t="shared" si="40"/>
        <v>1</v>
      </c>
      <c r="H272" s="951"/>
      <c r="I272" s="53">
        <f t="shared" si="41"/>
        <v>1</v>
      </c>
      <c r="J272" s="951"/>
      <c r="K272" s="53">
        <f t="shared" si="42"/>
        <v>1</v>
      </c>
      <c r="L272" s="951"/>
      <c r="M272" s="53">
        <f t="shared" si="43"/>
        <v>1</v>
      </c>
      <c r="N272" s="951"/>
      <c r="O272" s="53">
        <f t="shared" si="44"/>
        <v>1</v>
      </c>
      <c r="P272" s="951"/>
      <c r="Q272" s="53">
        <f t="shared" si="45"/>
        <v>1</v>
      </c>
      <c r="R272" s="484">
        <f t="shared" si="46"/>
        <v>0</v>
      </c>
      <c r="S272" s="789">
        <f t="shared" si="47"/>
        <v>0</v>
      </c>
    </row>
    <row r="273" spans="1:19">
      <c r="A273" s="953"/>
      <c r="B273" s="136"/>
      <c r="C273" s="53">
        <f t="shared" si="38"/>
        <v>1</v>
      </c>
      <c r="D273" s="951"/>
      <c r="E273" s="53">
        <f t="shared" si="39"/>
        <v>1</v>
      </c>
      <c r="F273" s="951"/>
      <c r="G273" s="53">
        <f t="shared" si="40"/>
        <v>1</v>
      </c>
      <c r="H273" s="951"/>
      <c r="I273" s="53">
        <f t="shared" si="41"/>
        <v>1</v>
      </c>
      <c r="J273" s="951"/>
      <c r="K273" s="53">
        <f t="shared" si="42"/>
        <v>1</v>
      </c>
      <c r="L273" s="951"/>
      <c r="M273" s="53">
        <f t="shared" si="43"/>
        <v>1</v>
      </c>
      <c r="N273" s="951"/>
      <c r="O273" s="53">
        <f t="shared" si="44"/>
        <v>1</v>
      </c>
      <c r="P273" s="951"/>
      <c r="Q273" s="53">
        <f t="shared" si="45"/>
        <v>1</v>
      </c>
      <c r="R273" s="484">
        <f t="shared" si="46"/>
        <v>0</v>
      </c>
      <c r="S273" s="789">
        <f t="shared" si="47"/>
        <v>0</v>
      </c>
    </row>
    <row r="274" spans="1:19">
      <c r="A274" s="953"/>
      <c r="B274" s="136"/>
      <c r="C274" s="53">
        <f t="shared" si="38"/>
        <v>1</v>
      </c>
      <c r="D274" s="951"/>
      <c r="E274" s="53">
        <f t="shared" si="39"/>
        <v>1</v>
      </c>
      <c r="F274" s="951"/>
      <c r="G274" s="53">
        <f t="shared" si="40"/>
        <v>1</v>
      </c>
      <c r="H274" s="951"/>
      <c r="I274" s="53">
        <f t="shared" si="41"/>
        <v>1</v>
      </c>
      <c r="J274" s="951"/>
      <c r="K274" s="53">
        <f t="shared" si="42"/>
        <v>1</v>
      </c>
      <c r="L274" s="951"/>
      <c r="M274" s="53">
        <f t="shared" si="43"/>
        <v>1</v>
      </c>
      <c r="N274" s="951"/>
      <c r="O274" s="53">
        <f t="shared" si="44"/>
        <v>1</v>
      </c>
      <c r="P274" s="951"/>
      <c r="Q274" s="53">
        <f t="shared" si="45"/>
        <v>1</v>
      </c>
      <c r="R274" s="484">
        <f t="shared" si="46"/>
        <v>0</v>
      </c>
      <c r="S274" s="789">
        <f t="shared" si="47"/>
        <v>0</v>
      </c>
    </row>
    <row r="275" spans="1:19">
      <c r="A275" s="953"/>
      <c r="B275" s="136"/>
      <c r="C275" s="53">
        <f t="shared" si="38"/>
        <v>1</v>
      </c>
      <c r="D275" s="951"/>
      <c r="E275" s="53">
        <f t="shared" si="39"/>
        <v>1</v>
      </c>
      <c r="F275" s="951"/>
      <c r="G275" s="53">
        <f t="shared" si="40"/>
        <v>1</v>
      </c>
      <c r="H275" s="951"/>
      <c r="I275" s="53">
        <f t="shared" si="41"/>
        <v>1</v>
      </c>
      <c r="J275" s="951"/>
      <c r="K275" s="53">
        <f t="shared" si="42"/>
        <v>1</v>
      </c>
      <c r="L275" s="951"/>
      <c r="M275" s="53">
        <f t="shared" si="43"/>
        <v>1</v>
      </c>
      <c r="N275" s="951"/>
      <c r="O275" s="53">
        <f t="shared" si="44"/>
        <v>1</v>
      </c>
      <c r="P275" s="951"/>
      <c r="Q275" s="53">
        <f t="shared" si="45"/>
        <v>1</v>
      </c>
      <c r="R275" s="484">
        <f t="shared" si="46"/>
        <v>0</v>
      </c>
      <c r="S275" s="789">
        <f t="shared" si="47"/>
        <v>0</v>
      </c>
    </row>
    <row r="276" spans="1:19">
      <c r="A276" s="953"/>
      <c r="B276" s="136"/>
      <c r="C276" s="53">
        <f t="shared" si="38"/>
        <v>1</v>
      </c>
      <c r="D276" s="951"/>
      <c r="E276" s="53">
        <f t="shared" si="39"/>
        <v>1</v>
      </c>
      <c r="F276" s="951"/>
      <c r="G276" s="53">
        <f t="shared" si="40"/>
        <v>1</v>
      </c>
      <c r="H276" s="951"/>
      <c r="I276" s="53">
        <f t="shared" si="41"/>
        <v>1</v>
      </c>
      <c r="J276" s="951"/>
      <c r="K276" s="53">
        <f t="shared" si="42"/>
        <v>1</v>
      </c>
      <c r="L276" s="951"/>
      <c r="M276" s="53">
        <f t="shared" si="43"/>
        <v>1</v>
      </c>
      <c r="N276" s="951"/>
      <c r="O276" s="53">
        <f t="shared" si="44"/>
        <v>1</v>
      </c>
      <c r="P276" s="951"/>
      <c r="Q276" s="53">
        <f t="shared" si="45"/>
        <v>1</v>
      </c>
      <c r="R276" s="484">
        <f t="shared" si="46"/>
        <v>0</v>
      </c>
      <c r="S276" s="789">
        <f t="shared" si="47"/>
        <v>0</v>
      </c>
    </row>
    <row r="277" spans="1:19">
      <c r="A277" s="953"/>
      <c r="B277" s="136"/>
      <c r="C277" s="53">
        <f t="shared" si="38"/>
        <v>1</v>
      </c>
      <c r="D277" s="951"/>
      <c r="E277" s="53">
        <f t="shared" si="39"/>
        <v>1</v>
      </c>
      <c r="F277" s="951"/>
      <c r="G277" s="53">
        <f t="shared" si="40"/>
        <v>1</v>
      </c>
      <c r="H277" s="951"/>
      <c r="I277" s="53">
        <f t="shared" si="41"/>
        <v>1</v>
      </c>
      <c r="J277" s="951"/>
      <c r="K277" s="53">
        <f t="shared" si="42"/>
        <v>1</v>
      </c>
      <c r="L277" s="951"/>
      <c r="M277" s="53">
        <f t="shared" si="43"/>
        <v>1</v>
      </c>
      <c r="N277" s="951"/>
      <c r="O277" s="53">
        <f t="shared" si="44"/>
        <v>1</v>
      </c>
      <c r="P277" s="951"/>
      <c r="Q277" s="53">
        <f t="shared" si="45"/>
        <v>1</v>
      </c>
      <c r="R277" s="484">
        <f t="shared" si="46"/>
        <v>0</v>
      </c>
      <c r="S277" s="789">
        <f t="shared" si="47"/>
        <v>0</v>
      </c>
    </row>
    <row r="278" spans="1:19">
      <c r="A278" s="953"/>
      <c r="B278" s="136"/>
      <c r="C278" s="53">
        <f t="shared" si="38"/>
        <v>1</v>
      </c>
      <c r="D278" s="951"/>
      <c r="E278" s="53">
        <f t="shared" si="39"/>
        <v>1</v>
      </c>
      <c r="F278" s="951"/>
      <c r="G278" s="53">
        <f t="shared" si="40"/>
        <v>1</v>
      </c>
      <c r="H278" s="951"/>
      <c r="I278" s="53">
        <f t="shared" si="41"/>
        <v>1</v>
      </c>
      <c r="J278" s="951"/>
      <c r="K278" s="53">
        <f t="shared" si="42"/>
        <v>1</v>
      </c>
      <c r="L278" s="951"/>
      <c r="M278" s="53">
        <f t="shared" si="43"/>
        <v>1</v>
      </c>
      <c r="N278" s="951"/>
      <c r="O278" s="53">
        <f t="shared" si="44"/>
        <v>1</v>
      </c>
      <c r="P278" s="951"/>
      <c r="Q278" s="53">
        <f t="shared" si="45"/>
        <v>1</v>
      </c>
      <c r="R278" s="484">
        <f t="shared" si="46"/>
        <v>0</v>
      </c>
      <c r="S278" s="789">
        <f t="shared" si="47"/>
        <v>0</v>
      </c>
    </row>
    <row r="279" spans="1:19">
      <c r="A279" s="953"/>
      <c r="B279" s="136"/>
      <c r="C279" s="53">
        <f t="shared" si="38"/>
        <v>1</v>
      </c>
      <c r="D279" s="951"/>
      <c r="E279" s="53">
        <f t="shared" si="39"/>
        <v>1</v>
      </c>
      <c r="F279" s="951"/>
      <c r="G279" s="53">
        <f t="shared" si="40"/>
        <v>1</v>
      </c>
      <c r="H279" s="951"/>
      <c r="I279" s="53">
        <f t="shared" si="41"/>
        <v>1</v>
      </c>
      <c r="J279" s="951"/>
      <c r="K279" s="53">
        <f t="shared" si="42"/>
        <v>1</v>
      </c>
      <c r="L279" s="951"/>
      <c r="M279" s="53">
        <f t="shared" si="43"/>
        <v>1</v>
      </c>
      <c r="N279" s="951"/>
      <c r="O279" s="53">
        <f t="shared" si="44"/>
        <v>1</v>
      </c>
      <c r="P279" s="951"/>
      <c r="Q279" s="53">
        <f t="shared" si="45"/>
        <v>1</v>
      </c>
      <c r="R279" s="484">
        <f t="shared" si="46"/>
        <v>0</v>
      </c>
      <c r="S279" s="789">
        <f t="shared" si="47"/>
        <v>0</v>
      </c>
    </row>
    <row r="280" spans="1:19">
      <c r="A280" s="953"/>
      <c r="B280" s="136"/>
      <c r="C280" s="53">
        <f t="shared" si="38"/>
        <v>1</v>
      </c>
      <c r="D280" s="951"/>
      <c r="E280" s="53">
        <f t="shared" si="39"/>
        <v>1</v>
      </c>
      <c r="F280" s="951"/>
      <c r="G280" s="53">
        <f t="shared" si="40"/>
        <v>1</v>
      </c>
      <c r="H280" s="951"/>
      <c r="I280" s="53">
        <f t="shared" si="41"/>
        <v>1</v>
      </c>
      <c r="J280" s="951"/>
      <c r="K280" s="53">
        <f t="shared" si="42"/>
        <v>1</v>
      </c>
      <c r="L280" s="951"/>
      <c r="M280" s="53">
        <f t="shared" si="43"/>
        <v>1</v>
      </c>
      <c r="N280" s="951"/>
      <c r="O280" s="53">
        <f t="shared" si="44"/>
        <v>1</v>
      </c>
      <c r="P280" s="951"/>
      <c r="Q280" s="53">
        <f t="shared" si="45"/>
        <v>1</v>
      </c>
      <c r="R280" s="484">
        <f t="shared" si="46"/>
        <v>0</v>
      </c>
      <c r="S280" s="789">
        <f t="shared" si="47"/>
        <v>0</v>
      </c>
    </row>
    <row r="281" spans="1:19">
      <c r="A281" s="953"/>
      <c r="B281" s="136"/>
      <c r="C281" s="53">
        <f t="shared" si="38"/>
        <v>1</v>
      </c>
      <c r="D281" s="951"/>
      <c r="E281" s="53">
        <f t="shared" si="39"/>
        <v>1</v>
      </c>
      <c r="F281" s="951"/>
      <c r="G281" s="53">
        <f t="shared" si="40"/>
        <v>1</v>
      </c>
      <c r="H281" s="951"/>
      <c r="I281" s="53">
        <f t="shared" si="41"/>
        <v>1</v>
      </c>
      <c r="J281" s="951"/>
      <c r="K281" s="53">
        <f t="shared" si="42"/>
        <v>1</v>
      </c>
      <c r="L281" s="951"/>
      <c r="M281" s="53">
        <f t="shared" si="43"/>
        <v>1</v>
      </c>
      <c r="N281" s="951"/>
      <c r="O281" s="53">
        <f t="shared" si="44"/>
        <v>1</v>
      </c>
      <c r="P281" s="951"/>
      <c r="Q281" s="53">
        <f t="shared" si="45"/>
        <v>1</v>
      </c>
      <c r="R281" s="484">
        <f t="shared" si="46"/>
        <v>0</v>
      </c>
      <c r="S281" s="789">
        <f t="shared" si="47"/>
        <v>0</v>
      </c>
    </row>
    <row r="282" spans="1:19">
      <c r="A282" s="953"/>
      <c r="B282" s="136"/>
      <c r="C282" s="53">
        <f t="shared" ref="C282:C345" si="48">IF(B282="",1,(LOOKUP(B282,$3:$3,$4:$4)-LOOKUP($B$24,$3:$3,$4:$4)+100)/100)</f>
        <v>1</v>
      </c>
      <c r="D282" s="951"/>
      <c r="E282" s="53">
        <f t="shared" ref="E282:E345" si="49">(SUMIF($5:$5,D282,$6:$6)-SUMIF($5:$5,$D$24,$6:$6)+100)/100</f>
        <v>1</v>
      </c>
      <c r="F282" s="951"/>
      <c r="G282" s="53">
        <f t="shared" ref="G282:G345" si="50">(SUMIF($7:$7,F282,$8:$8)-SUMIF($7:$7,$F$24,$8:$8)+100)/100</f>
        <v>1</v>
      </c>
      <c r="H282" s="951"/>
      <c r="I282" s="53">
        <f t="shared" ref="I282:I345" si="51">(SUMIF($9:$9,H282,$10:$10)-SUMIF($9:$9,$H$24,$10:$10)+100)/100</f>
        <v>1</v>
      </c>
      <c r="J282" s="951"/>
      <c r="K282" s="53">
        <f t="shared" ref="K282:K345" si="52">(SUMIF($11:$11,J282,$12:$12)-SUMIF($11:$11,$J$24,$12:$12)+100)/100</f>
        <v>1</v>
      </c>
      <c r="L282" s="951"/>
      <c r="M282" s="53">
        <f t="shared" ref="M282:M345" si="53">(SUMIF($13:$13,L282,$14:$14)-SUMIF($13:$13,$L$24,$14:$14)+100)/100</f>
        <v>1</v>
      </c>
      <c r="N282" s="951"/>
      <c r="O282" s="53">
        <f t="shared" ref="O282:O345" si="54">(SUMIF($15:$15,N282,$16:$16)-SUMIF($15:$15,$N$24,$16:$16)+100)/100</f>
        <v>1</v>
      </c>
      <c r="P282" s="951"/>
      <c r="Q282" s="53">
        <f t="shared" ref="Q282:Q345" si="55">(SUMIF($17:$17,P282,$18:$18)-SUMIF($17:$17,$P$24,$18:$18)+100)/100</f>
        <v>1</v>
      </c>
      <c r="R282" s="484">
        <f t="shared" ref="R282:R345" si="56">IF(B282="",0,ROUND($R$24*C282*E282*G282*I282*K282*M282*O282*Q282,0))</f>
        <v>0</v>
      </c>
      <c r="S282" s="789">
        <f t="shared" si="47"/>
        <v>0</v>
      </c>
    </row>
    <row r="283" spans="1:19">
      <c r="A283" s="953"/>
      <c r="B283" s="136"/>
      <c r="C283" s="53">
        <f t="shared" si="48"/>
        <v>1</v>
      </c>
      <c r="D283" s="951"/>
      <c r="E283" s="53">
        <f t="shared" si="49"/>
        <v>1</v>
      </c>
      <c r="F283" s="951"/>
      <c r="G283" s="53">
        <f t="shared" si="50"/>
        <v>1</v>
      </c>
      <c r="H283" s="951"/>
      <c r="I283" s="53">
        <f t="shared" si="51"/>
        <v>1</v>
      </c>
      <c r="J283" s="951"/>
      <c r="K283" s="53">
        <f t="shared" si="52"/>
        <v>1</v>
      </c>
      <c r="L283" s="951"/>
      <c r="M283" s="53">
        <f t="shared" si="53"/>
        <v>1</v>
      </c>
      <c r="N283" s="951"/>
      <c r="O283" s="53">
        <f t="shared" si="54"/>
        <v>1</v>
      </c>
      <c r="P283" s="951"/>
      <c r="Q283" s="53">
        <f t="shared" si="55"/>
        <v>1</v>
      </c>
      <c r="R283" s="484">
        <f t="shared" si="56"/>
        <v>0</v>
      </c>
      <c r="S283" s="789">
        <f t="shared" si="47"/>
        <v>0</v>
      </c>
    </row>
    <row r="284" spans="1:19">
      <c r="A284" s="953"/>
      <c r="B284" s="136"/>
      <c r="C284" s="53">
        <f t="shared" si="48"/>
        <v>1</v>
      </c>
      <c r="D284" s="951"/>
      <c r="E284" s="53">
        <f t="shared" si="49"/>
        <v>1</v>
      </c>
      <c r="F284" s="951"/>
      <c r="G284" s="53">
        <f t="shared" si="50"/>
        <v>1</v>
      </c>
      <c r="H284" s="951"/>
      <c r="I284" s="53">
        <f t="shared" si="51"/>
        <v>1</v>
      </c>
      <c r="J284" s="951"/>
      <c r="K284" s="53">
        <f t="shared" si="52"/>
        <v>1</v>
      </c>
      <c r="L284" s="951"/>
      <c r="M284" s="53">
        <f t="shared" si="53"/>
        <v>1</v>
      </c>
      <c r="N284" s="951"/>
      <c r="O284" s="53">
        <f t="shared" si="54"/>
        <v>1</v>
      </c>
      <c r="P284" s="951"/>
      <c r="Q284" s="53">
        <f t="shared" si="55"/>
        <v>1</v>
      </c>
      <c r="R284" s="484">
        <f t="shared" si="56"/>
        <v>0</v>
      </c>
      <c r="S284" s="789">
        <f t="shared" si="47"/>
        <v>0</v>
      </c>
    </row>
    <row r="285" spans="1:19">
      <c r="A285" s="953"/>
      <c r="B285" s="136"/>
      <c r="C285" s="53">
        <f t="shared" si="48"/>
        <v>1</v>
      </c>
      <c r="D285" s="951"/>
      <c r="E285" s="53">
        <f t="shared" si="49"/>
        <v>1</v>
      </c>
      <c r="F285" s="951"/>
      <c r="G285" s="53">
        <f t="shared" si="50"/>
        <v>1</v>
      </c>
      <c r="H285" s="951"/>
      <c r="I285" s="53">
        <f t="shared" si="51"/>
        <v>1</v>
      </c>
      <c r="J285" s="951"/>
      <c r="K285" s="53">
        <f t="shared" si="52"/>
        <v>1</v>
      </c>
      <c r="L285" s="951"/>
      <c r="M285" s="53">
        <f t="shared" si="53"/>
        <v>1</v>
      </c>
      <c r="N285" s="951"/>
      <c r="O285" s="53">
        <f t="shared" si="54"/>
        <v>1</v>
      </c>
      <c r="P285" s="951"/>
      <c r="Q285" s="53">
        <f t="shared" si="55"/>
        <v>1</v>
      </c>
      <c r="R285" s="484">
        <f t="shared" si="56"/>
        <v>0</v>
      </c>
      <c r="S285" s="789">
        <f t="shared" si="47"/>
        <v>0</v>
      </c>
    </row>
    <row r="286" spans="1:19">
      <c r="A286" s="953"/>
      <c r="B286" s="136"/>
      <c r="C286" s="53">
        <f t="shared" si="48"/>
        <v>1</v>
      </c>
      <c r="D286" s="951"/>
      <c r="E286" s="53">
        <f t="shared" si="49"/>
        <v>1</v>
      </c>
      <c r="F286" s="951"/>
      <c r="G286" s="53">
        <f t="shared" si="50"/>
        <v>1</v>
      </c>
      <c r="H286" s="951"/>
      <c r="I286" s="53">
        <f t="shared" si="51"/>
        <v>1</v>
      </c>
      <c r="J286" s="951"/>
      <c r="K286" s="53">
        <f t="shared" si="52"/>
        <v>1</v>
      </c>
      <c r="L286" s="951"/>
      <c r="M286" s="53">
        <f t="shared" si="53"/>
        <v>1</v>
      </c>
      <c r="N286" s="951"/>
      <c r="O286" s="53">
        <f t="shared" si="54"/>
        <v>1</v>
      </c>
      <c r="P286" s="951"/>
      <c r="Q286" s="53">
        <f t="shared" si="55"/>
        <v>1</v>
      </c>
      <c r="R286" s="484">
        <f t="shared" si="56"/>
        <v>0</v>
      </c>
      <c r="S286" s="789">
        <f t="shared" si="47"/>
        <v>0</v>
      </c>
    </row>
    <row r="287" spans="1:19">
      <c r="A287" s="953"/>
      <c r="B287" s="136"/>
      <c r="C287" s="53">
        <f t="shared" si="48"/>
        <v>1</v>
      </c>
      <c r="D287" s="951"/>
      <c r="E287" s="53">
        <f t="shared" si="49"/>
        <v>1</v>
      </c>
      <c r="F287" s="951"/>
      <c r="G287" s="53">
        <f t="shared" si="50"/>
        <v>1</v>
      </c>
      <c r="H287" s="951"/>
      <c r="I287" s="53">
        <f t="shared" si="51"/>
        <v>1</v>
      </c>
      <c r="J287" s="951"/>
      <c r="K287" s="53">
        <f t="shared" si="52"/>
        <v>1</v>
      </c>
      <c r="L287" s="951"/>
      <c r="M287" s="53">
        <f t="shared" si="53"/>
        <v>1</v>
      </c>
      <c r="N287" s="951"/>
      <c r="O287" s="53">
        <f t="shared" si="54"/>
        <v>1</v>
      </c>
      <c r="P287" s="951"/>
      <c r="Q287" s="53">
        <f t="shared" si="55"/>
        <v>1</v>
      </c>
      <c r="R287" s="484">
        <f t="shared" si="56"/>
        <v>0</v>
      </c>
      <c r="S287" s="789">
        <f t="shared" ref="S287:S320" si="57">ROUND(R287*B287/10000,0)</f>
        <v>0</v>
      </c>
    </row>
    <row r="288" spans="1:19">
      <c r="A288" s="953"/>
      <c r="B288" s="136"/>
      <c r="C288" s="53">
        <f t="shared" si="48"/>
        <v>1</v>
      </c>
      <c r="D288" s="951"/>
      <c r="E288" s="53">
        <f t="shared" si="49"/>
        <v>1</v>
      </c>
      <c r="F288" s="951"/>
      <c r="G288" s="53">
        <f t="shared" si="50"/>
        <v>1</v>
      </c>
      <c r="H288" s="951"/>
      <c r="I288" s="53">
        <f t="shared" si="51"/>
        <v>1</v>
      </c>
      <c r="J288" s="951"/>
      <c r="K288" s="53">
        <f t="shared" si="52"/>
        <v>1</v>
      </c>
      <c r="L288" s="951"/>
      <c r="M288" s="53">
        <f t="shared" si="53"/>
        <v>1</v>
      </c>
      <c r="N288" s="951"/>
      <c r="O288" s="53">
        <f t="shared" si="54"/>
        <v>1</v>
      </c>
      <c r="P288" s="951"/>
      <c r="Q288" s="53">
        <f t="shared" si="55"/>
        <v>1</v>
      </c>
      <c r="R288" s="484">
        <f t="shared" si="56"/>
        <v>0</v>
      </c>
      <c r="S288" s="789">
        <f t="shared" si="57"/>
        <v>0</v>
      </c>
    </row>
    <row r="289" spans="1:19">
      <c r="A289" s="953"/>
      <c r="B289" s="136"/>
      <c r="C289" s="53">
        <f t="shared" si="48"/>
        <v>1</v>
      </c>
      <c r="D289" s="951"/>
      <c r="E289" s="53">
        <f t="shared" si="49"/>
        <v>1</v>
      </c>
      <c r="F289" s="951"/>
      <c r="G289" s="53">
        <f t="shared" si="50"/>
        <v>1</v>
      </c>
      <c r="H289" s="951"/>
      <c r="I289" s="53">
        <f t="shared" si="51"/>
        <v>1</v>
      </c>
      <c r="J289" s="951"/>
      <c r="K289" s="53">
        <f t="shared" si="52"/>
        <v>1</v>
      </c>
      <c r="L289" s="951"/>
      <c r="M289" s="53">
        <f t="shared" si="53"/>
        <v>1</v>
      </c>
      <c r="N289" s="951"/>
      <c r="O289" s="53">
        <f t="shared" si="54"/>
        <v>1</v>
      </c>
      <c r="P289" s="951"/>
      <c r="Q289" s="53">
        <f t="shared" si="55"/>
        <v>1</v>
      </c>
      <c r="R289" s="484">
        <f t="shared" si="56"/>
        <v>0</v>
      </c>
      <c r="S289" s="789">
        <f t="shared" si="57"/>
        <v>0</v>
      </c>
    </row>
    <row r="290" spans="1:19">
      <c r="A290" s="953"/>
      <c r="B290" s="136"/>
      <c r="C290" s="53">
        <f t="shared" si="48"/>
        <v>1</v>
      </c>
      <c r="D290" s="951"/>
      <c r="E290" s="53">
        <f t="shared" si="49"/>
        <v>1</v>
      </c>
      <c r="F290" s="951"/>
      <c r="G290" s="53">
        <f t="shared" si="50"/>
        <v>1</v>
      </c>
      <c r="H290" s="951"/>
      <c r="I290" s="53">
        <f t="shared" si="51"/>
        <v>1</v>
      </c>
      <c r="J290" s="951"/>
      <c r="K290" s="53">
        <f t="shared" si="52"/>
        <v>1</v>
      </c>
      <c r="L290" s="951"/>
      <c r="M290" s="53">
        <f t="shared" si="53"/>
        <v>1</v>
      </c>
      <c r="N290" s="951"/>
      <c r="O290" s="53">
        <f t="shared" si="54"/>
        <v>1</v>
      </c>
      <c r="P290" s="951"/>
      <c r="Q290" s="53">
        <f t="shared" si="55"/>
        <v>1</v>
      </c>
      <c r="R290" s="484">
        <f t="shared" si="56"/>
        <v>0</v>
      </c>
      <c r="S290" s="789">
        <f t="shared" si="57"/>
        <v>0</v>
      </c>
    </row>
    <row r="291" spans="1:19">
      <c r="A291" s="953"/>
      <c r="B291" s="136"/>
      <c r="C291" s="53">
        <f t="shared" si="48"/>
        <v>1</v>
      </c>
      <c r="D291" s="951"/>
      <c r="E291" s="53">
        <f t="shared" si="49"/>
        <v>1</v>
      </c>
      <c r="F291" s="951"/>
      <c r="G291" s="53">
        <f t="shared" si="50"/>
        <v>1</v>
      </c>
      <c r="H291" s="951"/>
      <c r="I291" s="53">
        <f t="shared" si="51"/>
        <v>1</v>
      </c>
      <c r="J291" s="951"/>
      <c r="K291" s="53">
        <f t="shared" si="52"/>
        <v>1</v>
      </c>
      <c r="L291" s="951"/>
      <c r="M291" s="53">
        <f t="shared" si="53"/>
        <v>1</v>
      </c>
      <c r="N291" s="951"/>
      <c r="O291" s="53">
        <f t="shared" si="54"/>
        <v>1</v>
      </c>
      <c r="P291" s="951"/>
      <c r="Q291" s="53">
        <f t="shared" si="55"/>
        <v>1</v>
      </c>
      <c r="R291" s="484">
        <f t="shared" si="56"/>
        <v>0</v>
      </c>
      <c r="S291" s="789">
        <f t="shared" si="57"/>
        <v>0</v>
      </c>
    </row>
    <row r="292" spans="1:19">
      <c r="A292" s="953"/>
      <c r="B292" s="136"/>
      <c r="C292" s="53">
        <f t="shared" si="48"/>
        <v>1</v>
      </c>
      <c r="D292" s="951"/>
      <c r="E292" s="53">
        <f t="shared" si="49"/>
        <v>1</v>
      </c>
      <c r="F292" s="951"/>
      <c r="G292" s="53">
        <f t="shared" si="50"/>
        <v>1</v>
      </c>
      <c r="H292" s="951"/>
      <c r="I292" s="53">
        <f t="shared" si="51"/>
        <v>1</v>
      </c>
      <c r="J292" s="951"/>
      <c r="K292" s="53">
        <f t="shared" si="52"/>
        <v>1</v>
      </c>
      <c r="L292" s="951"/>
      <c r="M292" s="53">
        <f t="shared" si="53"/>
        <v>1</v>
      </c>
      <c r="N292" s="951"/>
      <c r="O292" s="53">
        <f t="shared" si="54"/>
        <v>1</v>
      </c>
      <c r="P292" s="951"/>
      <c r="Q292" s="53">
        <f t="shared" si="55"/>
        <v>1</v>
      </c>
      <c r="R292" s="484">
        <f t="shared" si="56"/>
        <v>0</v>
      </c>
      <c r="S292" s="789">
        <f t="shared" si="57"/>
        <v>0</v>
      </c>
    </row>
    <row r="293" spans="1:19">
      <c r="A293" s="953"/>
      <c r="B293" s="136"/>
      <c r="C293" s="53">
        <f t="shared" si="48"/>
        <v>1</v>
      </c>
      <c r="D293" s="951"/>
      <c r="E293" s="53">
        <f t="shared" si="49"/>
        <v>1</v>
      </c>
      <c r="F293" s="951"/>
      <c r="G293" s="53">
        <f t="shared" si="50"/>
        <v>1</v>
      </c>
      <c r="H293" s="951"/>
      <c r="I293" s="53">
        <f t="shared" si="51"/>
        <v>1</v>
      </c>
      <c r="J293" s="951"/>
      <c r="K293" s="53">
        <f t="shared" si="52"/>
        <v>1</v>
      </c>
      <c r="L293" s="951"/>
      <c r="M293" s="53">
        <f t="shared" si="53"/>
        <v>1</v>
      </c>
      <c r="N293" s="951"/>
      <c r="O293" s="53">
        <f t="shared" si="54"/>
        <v>1</v>
      </c>
      <c r="P293" s="951"/>
      <c r="Q293" s="53">
        <f t="shared" si="55"/>
        <v>1</v>
      </c>
      <c r="R293" s="484">
        <f t="shared" si="56"/>
        <v>0</v>
      </c>
      <c r="S293" s="789">
        <f t="shared" si="57"/>
        <v>0</v>
      </c>
    </row>
    <row r="294" spans="1:19">
      <c r="A294" s="953"/>
      <c r="B294" s="136"/>
      <c r="C294" s="53">
        <f t="shared" si="48"/>
        <v>1</v>
      </c>
      <c r="D294" s="951"/>
      <c r="E294" s="53">
        <f t="shared" si="49"/>
        <v>1</v>
      </c>
      <c r="F294" s="951"/>
      <c r="G294" s="53">
        <f t="shared" si="50"/>
        <v>1</v>
      </c>
      <c r="H294" s="951"/>
      <c r="I294" s="53">
        <f t="shared" si="51"/>
        <v>1</v>
      </c>
      <c r="J294" s="951"/>
      <c r="K294" s="53">
        <f t="shared" si="52"/>
        <v>1</v>
      </c>
      <c r="L294" s="951"/>
      <c r="M294" s="53">
        <f t="shared" si="53"/>
        <v>1</v>
      </c>
      <c r="N294" s="951"/>
      <c r="O294" s="53">
        <f t="shared" si="54"/>
        <v>1</v>
      </c>
      <c r="P294" s="951"/>
      <c r="Q294" s="53">
        <f t="shared" si="55"/>
        <v>1</v>
      </c>
      <c r="R294" s="484">
        <f t="shared" si="56"/>
        <v>0</v>
      </c>
      <c r="S294" s="789">
        <f t="shared" si="57"/>
        <v>0</v>
      </c>
    </row>
    <row r="295" spans="1:19">
      <c r="A295" s="953"/>
      <c r="B295" s="136"/>
      <c r="C295" s="53">
        <f t="shared" si="48"/>
        <v>1</v>
      </c>
      <c r="D295" s="951"/>
      <c r="E295" s="53">
        <f t="shared" si="49"/>
        <v>1</v>
      </c>
      <c r="F295" s="951"/>
      <c r="G295" s="53">
        <f t="shared" si="50"/>
        <v>1</v>
      </c>
      <c r="H295" s="951"/>
      <c r="I295" s="53">
        <f t="shared" si="51"/>
        <v>1</v>
      </c>
      <c r="J295" s="951"/>
      <c r="K295" s="53">
        <f t="shared" si="52"/>
        <v>1</v>
      </c>
      <c r="L295" s="951"/>
      <c r="M295" s="53">
        <f t="shared" si="53"/>
        <v>1</v>
      </c>
      <c r="N295" s="951"/>
      <c r="O295" s="53">
        <f t="shared" si="54"/>
        <v>1</v>
      </c>
      <c r="P295" s="951"/>
      <c r="Q295" s="53">
        <f t="shared" si="55"/>
        <v>1</v>
      </c>
      <c r="R295" s="484">
        <f t="shared" si="56"/>
        <v>0</v>
      </c>
      <c r="S295" s="789">
        <f t="shared" si="57"/>
        <v>0</v>
      </c>
    </row>
    <row r="296" spans="1:19">
      <c r="A296" s="953"/>
      <c r="B296" s="136"/>
      <c r="C296" s="53">
        <f t="shared" si="48"/>
        <v>1</v>
      </c>
      <c r="D296" s="951"/>
      <c r="E296" s="53">
        <f t="shared" si="49"/>
        <v>1</v>
      </c>
      <c r="F296" s="951"/>
      <c r="G296" s="53">
        <f t="shared" si="50"/>
        <v>1</v>
      </c>
      <c r="H296" s="951"/>
      <c r="I296" s="53">
        <f t="shared" si="51"/>
        <v>1</v>
      </c>
      <c r="J296" s="951"/>
      <c r="K296" s="53">
        <f t="shared" si="52"/>
        <v>1</v>
      </c>
      <c r="L296" s="951"/>
      <c r="M296" s="53">
        <f t="shared" si="53"/>
        <v>1</v>
      </c>
      <c r="N296" s="951"/>
      <c r="O296" s="53">
        <f t="shared" si="54"/>
        <v>1</v>
      </c>
      <c r="P296" s="951"/>
      <c r="Q296" s="53">
        <f t="shared" si="55"/>
        <v>1</v>
      </c>
      <c r="R296" s="484">
        <f t="shared" si="56"/>
        <v>0</v>
      </c>
      <c r="S296" s="789">
        <f t="shared" si="57"/>
        <v>0</v>
      </c>
    </row>
    <row r="297" spans="1:19">
      <c r="A297" s="953"/>
      <c r="B297" s="136"/>
      <c r="C297" s="53">
        <f t="shared" si="48"/>
        <v>1</v>
      </c>
      <c r="D297" s="951"/>
      <c r="E297" s="53">
        <f t="shared" si="49"/>
        <v>1</v>
      </c>
      <c r="F297" s="951"/>
      <c r="G297" s="53">
        <f t="shared" si="50"/>
        <v>1</v>
      </c>
      <c r="H297" s="951"/>
      <c r="I297" s="53">
        <f t="shared" si="51"/>
        <v>1</v>
      </c>
      <c r="J297" s="951"/>
      <c r="K297" s="53">
        <f t="shared" si="52"/>
        <v>1</v>
      </c>
      <c r="L297" s="951"/>
      <c r="M297" s="53">
        <f t="shared" si="53"/>
        <v>1</v>
      </c>
      <c r="N297" s="951"/>
      <c r="O297" s="53">
        <f t="shared" si="54"/>
        <v>1</v>
      </c>
      <c r="P297" s="951"/>
      <c r="Q297" s="53">
        <f t="shared" si="55"/>
        <v>1</v>
      </c>
      <c r="R297" s="484">
        <f t="shared" si="56"/>
        <v>0</v>
      </c>
      <c r="S297" s="789">
        <f t="shared" si="57"/>
        <v>0</v>
      </c>
    </row>
    <row r="298" spans="1:19">
      <c r="A298" s="953"/>
      <c r="B298" s="136"/>
      <c r="C298" s="53">
        <f t="shared" si="48"/>
        <v>1</v>
      </c>
      <c r="D298" s="951"/>
      <c r="E298" s="53">
        <f t="shared" si="49"/>
        <v>1</v>
      </c>
      <c r="F298" s="951"/>
      <c r="G298" s="53">
        <f t="shared" si="50"/>
        <v>1</v>
      </c>
      <c r="H298" s="951"/>
      <c r="I298" s="53">
        <f t="shared" si="51"/>
        <v>1</v>
      </c>
      <c r="J298" s="951"/>
      <c r="K298" s="53">
        <f t="shared" si="52"/>
        <v>1</v>
      </c>
      <c r="L298" s="951"/>
      <c r="M298" s="53">
        <f t="shared" si="53"/>
        <v>1</v>
      </c>
      <c r="N298" s="951"/>
      <c r="O298" s="53">
        <f t="shared" si="54"/>
        <v>1</v>
      </c>
      <c r="P298" s="951"/>
      <c r="Q298" s="53">
        <f t="shared" si="55"/>
        <v>1</v>
      </c>
      <c r="R298" s="484">
        <f t="shared" si="56"/>
        <v>0</v>
      </c>
      <c r="S298" s="789">
        <f t="shared" si="57"/>
        <v>0</v>
      </c>
    </row>
    <row r="299" spans="1:19">
      <c r="A299" s="953"/>
      <c r="B299" s="136"/>
      <c r="C299" s="53">
        <f t="shared" si="48"/>
        <v>1</v>
      </c>
      <c r="D299" s="951"/>
      <c r="E299" s="53">
        <f t="shared" si="49"/>
        <v>1</v>
      </c>
      <c r="F299" s="951"/>
      <c r="G299" s="53">
        <f t="shared" si="50"/>
        <v>1</v>
      </c>
      <c r="H299" s="951"/>
      <c r="I299" s="53">
        <f t="shared" si="51"/>
        <v>1</v>
      </c>
      <c r="J299" s="951"/>
      <c r="K299" s="53">
        <f t="shared" si="52"/>
        <v>1</v>
      </c>
      <c r="L299" s="951"/>
      <c r="M299" s="53">
        <f t="shared" si="53"/>
        <v>1</v>
      </c>
      <c r="N299" s="951"/>
      <c r="O299" s="53">
        <f t="shared" si="54"/>
        <v>1</v>
      </c>
      <c r="P299" s="951"/>
      <c r="Q299" s="53">
        <f t="shared" si="55"/>
        <v>1</v>
      </c>
      <c r="R299" s="484">
        <f t="shared" si="56"/>
        <v>0</v>
      </c>
      <c r="S299" s="789">
        <f t="shared" si="57"/>
        <v>0</v>
      </c>
    </row>
    <row r="300" spans="1:19">
      <c r="A300" s="953"/>
      <c r="B300" s="136"/>
      <c r="C300" s="53">
        <f t="shared" si="48"/>
        <v>1</v>
      </c>
      <c r="D300" s="951"/>
      <c r="E300" s="53">
        <f t="shared" si="49"/>
        <v>1</v>
      </c>
      <c r="F300" s="951"/>
      <c r="G300" s="53">
        <f t="shared" si="50"/>
        <v>1</v>
      </c>
      <c r="H300" s="951"/>
      <c r="I300" s="53">
        <f t="shared" si="51"/>
        <v>1</v>
      </c>
      <c r="J300" s="951"/>
      <c r="K300" s="53">
        <f t="shared" si="52"/>
        <v>1</v>
      </c>
      <c r="L300" s="951"/>
      <c r="M300" s="53">
        <f t="shared" si="53"/>
        <v>1</v>
      </c>
      <c r="N300" s="951"/>
      <c r="O300" s="53">
        <f t="shared" si="54"/>
        <v>1</v>
      </c>
      <c r="P300" s="951"/>
      <c r="Q300" s="53">
        <f t="shared" si="55"/>
        <v>1</v>
      </c>
      <c r="R300" s="484">
        <f t="shared" si="56"/>
        <v>0</v>
      </c>
      <c r="S300" s="789">
        <f t="shared" si="57"/>
        <v>0</v>
      </c>
    </row>
    <row r="301" spans="1:19">
      <c r="A301" s="953"/>
      <c r="B301" s="136"/>
      <c r="C301" s="53">
        <f t="shared" si="48"/>
        <v>1</v>
      </c>
      <c r="D301" s="951"/>
      <c r="E301" s="53">
        <f t="shared" si="49"/>
        <v>1</v>
      </c>
      <c r="F301" s="951"/>
      <c r="G301" s="53">
        <f t="shared" si="50"/>
        <v>1</v>
      </c>
      <c r="H301" s="951"/>
      <c r="I301" s="53">
        <f t="shared" si="51"/>
        <v>1</v>
      </c>
      <c r="J301" s="951"/>
      <c r="K301" s="53">
        <f t="shared" si="52"/>
        <v>1</v>
      </c>
      <c r="L301" s="951"/>
      <c r="M301" s="53">
        <f t="shared" si="53"/>
        <v>1</v>
      </c>
      <c r="N301" s="951"/>
      <c r="O301" s="53">
        <f t="shared" si="54"/>
        <v>1</v>
      </c>
      <c r="P301" s="951"/>
      <c r="Q301" s="53">
        <f t="shared" si="55"/>
        <v>1</v>
      </c>
      <c r="R301" s="484">
        <f t="shared" si="56"/>
        <v>0</v>
      </c>
      <c r="S301" s="789">
        <f t="shared" si="57"/>
        <v>0</v>
      </c>
    </row>
    <row r="302" spans="1:19">
      <c r="A302" s="953"/>
      <c r="B302" s="136"/>
      <c r="C302" s="53">
        <f t="shared" si="48"/>
        <v>1</v>
      </c>
      <c r="D302" s="951"/>
      <c r="E302" s="53">
        <f t="shared" si="49"/>
        <v>1</v>
      </c>
      <c r="F302" s="951"/>
      <c r="G302" s="53">
        <f t="shared" si="50"/>
        <v>1</v>
      </c>
      <c r="H302" s="951"/>
      <c r="I302" s="53">
        <f t="shared" si="51"/>
        <v>1</v>
      </c>
      <c r="J302" s="951"/>
      <c r="K302" s="53">
        <f t="shared" si="52"/>
        <v>1</v>
      </c>
      <c r="L302" s="951"/>
      <c r="M302" s="53">
        <f t="shared" si="53"/>
        <v>1</v>
      </c>
      <c r="N302" s="951"/>
      <c r="O302" s="53">
        <f t="shared" si="54"/>
        <v>1</v>
      </c>
      <c r="P302" s="951"/>
      <c r="Q302" s="53">
        <f t="shared" si="55"/>
        <v>1</v>
      </c>
      <c r="R302" s="484">
        <f t="shared" si="56"/>
        <v>0</v>
      </c>
      <c r="S302" s="789">
        <f t="shared" si="57"/>
        <v>0</v>
      </c>
    </row>
    <row r="303" spans="1:19">
      <c r="A303" s="953"/>
      <c r="B303" s="136"/>
      <c r="C303" s="53">
        <f t="shared" si="48"/>
        <v>1</v>
      </c>
      <c r="D303" s="951"/>
      <c r="E303" s="53">
        <f t="shared" si="49"/>
        <v>1</v>
      </c>
      <c r="F303" s="951"/>
      <c r="G303" s="53">
        <f t="shared" si="50"/>
        <v>1</v>
      </c>
      <c r="H303" s="951"/>
      <c r="I303" s="53">
        <f t="shared" si="51"/>
        <v>1</v>
      </c>
      <c r="J303" s="951"/>
      <c r="K303" s="53">
        <f t="shared" si="52"/>
        <v>1</v>
      </c>
      <c r="L303" s="951"/>
      <c r="M303" s="53">
        <f t="shared" si="53"/>
        <v>1</v>
      </c>
      <c r="N303" s="951"/>
      <c r="O303" s="53">
        <f t="shared" si="54"/>
        <v>1</v>
      </c>
      <c r="P303" s="951"/>
      <c r="Q303" s="53">
        <f t="shared" si="55"/>
        <v>1</v>
      </c>
      <c r="R303" s="484">
        <f t="shared" si="56"/>
        <v>0</v>
      </c>
      <c r="S303" s="789">
        <f t="shared" si="57"/>
        <v>0</v>
      </c>
    </row>
    <row r="304" spans="1:19">
      <c r="A304" s="953"/>
      <c r="B304" s="136"/>
      <c r="C304" s="53">
        <f t="shared" si="48"/>
        <v>1</v>
      </c>
      <c r="D304" s="951"/>
      <c r="E304" s="53">
        <f t="shared" si="49"/>
        <v>1</v>
      </c>
      <c r="F304" s="951"/>
      <c r="G304" s="53">
        <f t="shared" si="50"/>
        <v>1</v>
      </c>
      <c r="H304" s="951"/>
      <c r="I304" s="53">
        <f t="shared" si="51"/>
        <v>1</v>
      </c>
      <c r="J304" s="951"/>
      <c r="K304" s="53">
        <f t="shared" si="52"/>
        <v>1</v>
      </c>
      <c r="L304" s="951"/>
      <c r="M304" s="53">
        <f t="shared" si="53"/>
        <v>1</v>
      </c>
      <c r="N304" s="951"/>
      <c r="O304" s="53">
        <f t="shared" si="54"/>
        <v>1</v>
      </c>
      <c r="P304" s="951"/>
      <c r="Q304" s="53">
        <f t="shared" si="55"/>
        <v>1</v>
      </c>
      <c r="R304" s="484">
        <f t="shared" si="56"/>
        <v>0</v>
      </c>
      <c r="S304" s="789">
        <f t="shared" si="57"/>
        <v>0</v>
      </c>
    </row>
    <row r="305" spans="1:19">
      <c r="A305" s="953"/>
      <c r="B305" s="136"/>
      <c r="C305" s="53">
        <f t="shared" si="48"/>
        <v>1</v>
      </c>
      <c r="D305" s="951"/>
      <c r="E305" s="53">
        <f t="shared" si="49"/>
        <v>1</v>
      </c>
      <c r="F305" s="951"/>
      <c r="G305" s="53">
        <f t="shared" si="50"/>
        <v>1</v>
      </c>
      <c r="H305" s="951"/>
      <c r="I305" s="53">
        <f t="shared" si="51"/>
        <v>1</v>
      </c>
      <c r="J305" s="951"/>
      <c r="K305" s="53">
        <f t="shared" si="52"/>
        <v>1</v>
      </c>
      <c r="L305" s="951"/>
      <c r="M305" s="53">
        <f t="shared" si="53"/>
        <v>1</v>
      </c>
      <c r="N305" s="951"/>
      <c r="O305" s="53">
        <f t="shared" si="54"/>
        <v>1</v>
      </c>
      <c r="P305" s="951"/>
      <c r="Q305" s="53">
        <f t="shared" si="55"/>
        <v>1</v>
      </c>
      <c r="R305" s="484">
        <f t="shared" si="56"/>
        <v>0</v>
      </c>
      <c r="S305" s="789">
        <f t="shared" si="57"/>
        <v>0</v>
      </c>
    </row>
    <row r="306" spans="1:19">
      <c r="A306" s="953"/>
      <c r="B306" s="136"/>
      <c r="C306" s="53">
        <f t="shared" si="48"/>
        <v>1</v>
      </c>
      <c r="D306" s="951"/>
      <c r="E306" s="53">
        <f t="shared" si="49"/>
        <v>1</v>
      </c>
      <c r="F306" s="951"/>
      <c r="G306" s="53">
        <f t="shared" si="50"/>
        <v>1</v>
      </c>
      <c r="H306" s="951"/>
      <c r="I306" s="53">
        <f t="shared" si="51"/>
        <v>1</v>
      </c>
      <c r="J306" s="951"/>
      <c r="K306" s="53">
        <f t="shared" si="52"/>
        <v>1</v>
      </c>
      <c r="L306" s="951"/>
      <c r="M306" s="53">
        <f t="shared" si="53"/>
        <v>1</v>
      </c>
      <c r="N306" s="951"/>
      <c r="O306" s="53">
        <f t="shared" si="54"/>
        <v>1</v>
      </c>
      <c r="P306" s="951"/>
      <c r="Q306" s="53">
        <f t="shared" si="55"/>
        <v>1</v>
      </c>
      <c r="R306" s="484">
        <f t="shared" si="56"/>
        <v>0</v>
      </c>
      <c r="S306" s="789">
        <f t="shared" si="57"/>
        <v>0</v>
      </c>
    </row>
    <row r="307" spans="1:19">
      <c r="A307" s="953"/>
      <c r="B307" s="136"/>
      <c r="C307" s="53">
        <f t="shared" si="48"/>
        <v>1</v>
      </c>
      <c r="D307" s="951"/>
      <c r="E307" s="53">
        <f t="shared" si="49"/>
        <v>1</v>
      </c>
      <c r="F307" s="951"/>
      <c r="G307" s="53">
        <f t="shared" si="50"/>
        <v>1</v>
      </c>
      <c r="H307" s="951"/>
      <c r="I307" s="53">
        <f t="shared" si="51"/>
        <v>1</v>
      </c>
      <c r="J307" s="951"/>
      <c r="K307" s="53">
        <f t="shared" si="52"/>
        <v>1</v>
      </c>
      <c r="L307" s="951"/>
      <c r="M307" s="53">
        <f t="shared" si="53"/>
        <v>1</v>
      </c>
      <c r="N307" s="951"/>
      <c r="O307" s="53">
        <f t="shared" si="54"/>
        <v>1</v>
      </c>
      <c r="P307" s="951"/>
      <c r="Q307" s="53">
        <f t="shared" si="55"/>
        <v>1</v>
      </c>
      <c r="R307" s="484">
        <f t="shared" si="56"/>
        <v>0</v>
      </c>
      <c r="S307" s="789">
        <f t="shared" si="57"/>
        <v>0</v>
      </c>
    </row>
    <row r="308" spans="1:19">
      <c r="A308" s="953"/>
      <c r="B308" s="136"/>
      <c r="C308" s="53">
        <f t="shared" si="48"/>
        <v>1</v>
      </c>
      <c r="D308" s="951"/>
      <c r="E308" s="53">
        <f t="shared" si="49"/>
        <v>1</v>
      </c>
      <c r="F308" s="951"/>
      <c r="G308" s="53">
        <f t="shared" si="50"/>
        <v>1</v>
      </c>
      <c r="H308" s="951"/>
      <c r="I308" s="53">
        <f t="shared" si="51"/>
        <v>1</v>
      </c>
      <c r="J308" s="951"/>
      <c r="K308" s="53">
        <f t="shared" si="52"/>
        <v>1</v>
      </c>
      <c r="L308" s="951"/>
      <c r="M308" s="53">
        <f t="shared" si="53"/>
        <v>1</v>
      </c>
      <c r="N308" s="951"/>
      <c r="O308" s="53">
        <f t="shared" si="54"/>
        <v>1</v>
      </c>
      <c r="P308" s="951"/>
      <c r="Q308" s="53">
        <f t="shared" si="55"/>
        <v>1</v>
      </c>
      <c r="R308" s="484">
        <f t="shared" si="56"/>
        <v>0</v>
      </c>
      <c r="S308" s="789">
        <f t="shared" si="57"/>
        <v>0</v>
      </c>
    </row>
    <row r="309" spans="1:19">
      <c r="A309" s="953"/>
      <c r="B309" s="136"/>
      <c r="C309" s="53">
        <f t="shared" si="48"/>
        <v>1</v>
      </c>
      <c r="D309" s="951"/>
      <c r="E309" s="53">
        <f t="shared" si="49"/>
        <v>1</v>
      </c>
      <c r="F309" s="951"/>
      <c r="G309" s="53">
        <f t="shared" si="50"/>
        <v>1</v>
      </c>
      <c r="H309" s="951"/>
      <c r="I309" s="53">
        <f t="shared" si="51"/>
        <v>1</v>
      </c>
      <c r="J309" s="951"/>
      <c r="K309" s="53">
        <f t="shared" si="52"/>
        <v>1</v>
      </c>
      <c r="L309" s="951"/>
      <c r="M309" s="53">
        <f t="shared" si="53"/>
        <v>1</v>
      </c>
      <c r="N309" s="951"/>
      <c r="O309" s="53">
        <f t="shared" si="54"/>
        <v>1</v>
      </c>
      <c r="P309" s="951"/>
      <c r="Q309" s="53">
        <f t="shared" si="55"/>
        <v>1</v>
      </c>
      <c r="R309" s="484">
        <f t="shared" si="56"/>
        <v>0</v>
      </c>
      <c r="S309" s="789">
        <f t="shared" si="57"/>
        <v>0</v>
      </c>
    </row>
    <row r="310" spans="1:19">
      <c r="A310" s="953"/>
      <c r="B310" s="136"/>
      <c r="C310" s="53">
        <f t="shared" si="48"/>
        <v>1</v>
      </c>
      <c r="D310" s="951"/>
      <c r="E310" s="53">
        <f t="shared" si="49"/>
        <v>1</v>
      </c>
      <c r="F310" s="951"/>
      <c r="G310" s="53">
        <f t="shared" si="50"/>
        <v>1</v>
      </c>
      <c r="H310" s="951"/>
      <c r="I310" s="53">
        <f t="shared" si="51"/>
        <v>1</v>
      </c>
      <c r="J310" s="951"/>
      <c r="K310" s="53">
        <f t="shared" si="52"/>
        <v>1</v>
      </c>
      <c r="L310" s="951"/>
      <c r="M310" s="53">
        <f t="shared" si="53"/>
        <v>1</v>
      </c>
      <c r="N310" s="951"/>
      <c r="O310" s="53">
        <f t="shared" si="54"/>
        <v>1</v>
      </c>
      <c r="P310" s="951"/>
      <c r="Q310" s="53">
        <f t="shared" si="55"/>
        <v>1</v>
      </c>
      <c r="R310" s="484">
        <f t="shared" si="56"/>
        <v>0</v>
      </c>
      <c r="S310" s="789">
        <f t="shared" si="57"/>
        <v>0</v>
      </c>
    </row>
    <row r="311" spans="1:19">
      <c r="A311" s="953"/>
      <c r="B311" s="136"/>
      <c r="C311" s="53">
        <f t="shared" si="48"/>
        <v>1</v>
      </c>
      <c r="D311" s="951"/>
      <c r="E311" s="53">
        <f t="shared" si="49"/>
        <v>1</v>
      </c>
      <c r="F311" s="951"/>
      <c r="G311" s="53">
        <f t="shared" si="50"/>
        <v>1</v>
      </c>
      <c r="H311" s="951"/>
      <c r="I311" s="53">
        <f t="shared" si="51"/>
        <v>1</v>
      </c>
      <c r="J311" s="951"/>
      <c r="K311" s="53">
        <f t="shared" si="52"/>
        <v>1</v>
      </c>
      <c r="L311" s="951"/>
      <c r="M311" s="53">
        <f t="shared" si="53"/>
        <v>1</v>
      </c>
      <c r="N311" s="951"/>
      <c r="O311" s="53">
        <f t="shared" si="54"/>
        <v>1</v>
      </c>
      <c r="P311" s="951"/>
      <c r="Q311" s="53">
        <f t="shared" si="55"/>
        <v>1</v>
      </c>
      <c r="R311" s="484">
        <f t="shared" si="56"/>
        <v>0</v>
      </c>
      <c r="S311" s="789">
        <f t="shared" si="57"/>
        <v>0</v>
      </c>
    </row>
    <row r="312" spans="1:19">
      <c r="A312" s="953"/>
      <c r="B312" s="136"/>
      <c r="C312" s="53">
        <f t="shared" si="48"/>
        <v>1</v>
      </c>
      <c r="D312" s="951"/>
      <c r="E312" s="53">
        <f t="shared" si="49"/>
        <v>1</v>
      </c>
      <c r="F312" s="951"/>
      <c r="G312" s="53">
        <f t="shared" si="50"/>
        <v>1</v>
      </c>
      <c r="H312" s="951"/>
      <c r="I312" s="53">
        <f t="shared" si="51"/>
        <v>1</v>
      </c>
      <c r="J312" s="951"/>
      <c r="K312" s="53">
        <f t="shared" si="52"/>
        <v>1</v>
      </c>
      <c r="L312" s="951"/>
      <c r="M312" s="53">
        <f t="shared" si="53"/>
        <v>1</v>
      </c>
      <c r="N312" s="951"/>
      <c r="O312" s="53">
        <f t="shared" si="54"/>
        <v>1</v>
      </c>
      <c r="P312" s="951"/>
      <c r="Q312" s="53">
        <f t="shared" si="55"/>
        <v>1</v>
      </c>
      <c r="R312" s="484">
        <f t="shared" si="56"/>
        <v>0</v>
      </c>
      <c r="S312" s="789">
        <f t="shared" si="57"/>
        <v>0</v>
      </c>
    </row>
    <row r="313" spans="1:19">
      <c r="A313" s="953"/>
      <c r="B313" s="136"/>
      <c r="C313" s="53">
        <f t="shared" si="48"/>
        <v>1</v>
      </c>
      <c r="D313" s="951"/>
      <c r="E313" s="53">
        <f t="shared" si="49"/>
        <v>1</v>
      </c>
      <c r="F313" s="951"/>
      <c r="G313" s="53">
        <f t="shared" si="50"/>
        <v>1</v>
      </c>
      <c r="H313" s="951"/>
      <c r="I313" s="53">
        <f t="shared" si="51"/>
        <v>1</v>
      </c>
      <c r="J313" s="951"/>
      <c r="K313" s="53">
        <f t="shared" si="52"/>
        <v>1</v>
      </c>
      <c r="L313" s="951"/>
      <c r="M313" s="53">
        <f t="shared" si="53"/>
        <v>1</v>
      </c>
      <c r="N313" s="951"/>
      <c r="O313" s="53">
        <f t="shared" si="54"/>
        <v>1</v>
      </c>
      <c r="P313" s="951"/>
      <c r="Q313" s="53">
        <f t="shared" si="55"/>
        <v>1</v>
      </c>
      <c r="R313" s="484">
        <f t="shared" si="56"/>
        <v>0</v>
      </c>
      <c r="S313" s="789">
        <f t="shared" si="57"/>
        <v>0</v>
      </c>
    </row>
    <row r="314" spans="1:19">
      <c r="A314" s="953"/>
      <c r="B314" s="136"/>
      <c r="C314" s="53">
        <f t="shared" si="48"/>
        <v>1</v>
      </c>
      <c r="D314" s="951"/>
      <c r="E314" s="53">
        <f t="shared" si="49"/>
        <v>1</v>
      </c>
      <c r="F314" s="951"/>
      <c r="G314" s="53">
        <f t="shared" si="50"/>
        <v>1</v>
      </c>
      <c r="H314" s="951"/>
      <c r="I314" s="53">
        <f t="shared" si="51"/>
        <v>1</v>
      </c>
      <c r="J314" s="951"/>
      <c r="K314" s="53">
        <f t="shared" si="52"/>
        <v>1</v>
      </c>
      <c r="L314" s="951"/>
      <c r="M314" s="53">
        <f t="shared" si="53"/>
        <v>1</v>
      </c>
      <c r="N314" s="951"/>
      <c r="O314" s="53">
        <f t="shared" si="54"/>
        <v>1</v>
      </c>
      <c r="P314" s="951"/>
      <c r="Q314" s="53">
        <f t="shared" si="55"/>
        <v>1</v>
      </c>
      <c r="R314" s="484">
        <f t="shared" si="56"/>
        <v>0</v>
      </c>
      <c r="S314" s="789">
        <f t="shared" si="57"/>
        <v>0</v>
      </c>
    </row>
    <row r="315" spans="1:19">
      <c r="A315" s="953"/>
      <c r="B315" s="136"/>
      <c r="C315" s="53">
        <f t="shared" si="48"/>
        <v>1</v>
      </c>
      <c r="D315" s="951"/>
      <c r="E315" s="53">
        <f t="shared" si="49"/>
        <v>1</v>
      </c>
      <c r="F315" s="951"/>
      <c r="G315" s="53">
        <f t="shared" si="50"/>
        <v>1</v>
      </c>
      <c r="H315" s="951"/>
      <c r="I315" s="53">
        <f t="shared" si="51"/>
        <v>1</v>
      </c>
      <c r="J315" s="951"/>
      <c r="K315" s="53">
        <f t="shared" si="52"/>
        <v>1</v>
      </c>
      <c r="L315" s="951"/>
      <c r="M315" s="53">
        <f t="shared" si="53"/>
        <v>1</v>
      </c>
      <c r="N315" s="951"/>
      <c r="O315" s="53">
        <f t="shared" si="54"/>
        <v>1</v>
      </c>
      <c r="P315" s="951"/>
      <c r="Q315" s="53">
        <f t="shared" si="55"/>
        <v>1</v>
      </c>
      <c r="R315" s="484">
        <f t="shared" si="56"/>
        <v>0</v>
      </c>
      <c r="S315" s="789">
        <f t="shared" si="57"/>
        <v>0</v>
      </c>
    </row>
    <row r="316" spans="1:19">
      <c r="A316" s="953"/>
      <c r="B316" s="136"/>
      <c r="C316" s="53">
        <f t="shared" si="48"/>
        <v>1</v>
      </c>
      <c r="D316" s="951"/>
      <c r="E316" s="53">
        <f t="shared" si="49"/>
        <v>1</v>
      </c>
      <c r="F316" s="951"/>
      <c r="G316" s="53">
        <f t="shared" si="50"/>
        <v>1</v>
      </c>
      <c r="H316" s="951"/>
      <c r="I316" s="53">
        <f t="shared" si="51"/>
        <v>1</v>
      </c>
      <c r="J316" s="951"/>
      <c r="K316" s="53">
        <f t="shared" si="52"/>
        <v>1</v>
      </c>
      <c r="L316" s="951"/>
      <c r="M316" s="53">
        <f t="shared" si="53"/>
        <v>1</v>
      </c>
      <c r="N316" s="951"/>
      <c r="O316" s="53">
        <f t="shared" si="54"/>
        <v>1</v>
      </c>
      <c r="P316" s="951"/>
      <c r="Q316" s="53">
        <f t="shared" si="55"/>
        <v>1</v>
      </c>
      <c r="R316" s="484">
        <f t="shared" si="56"/>
        <v>0</v>
      </c>
      <c r="S316" s="789">
        <f t="shared" si="57"/>
        <v>0</v>
      </c>
    </row>
    <row r="317" spans="1:19">
      <c r="A317" s="953"/>
      <c r="B317" s="136"/>
      <c r="C317" s="53">
        <f t="shared" si="48"/>
        <v>1</v>
      </c>
      <c r="D317" s="951"/>
      <c r="E317" s="53">
        <f t="shared" si="49"/>
        <v>1</v>
      </c>
      <c r="F317" s="951"/>
      <c r="G317" s="53">
        <f t="shared" si="50"/>
        <v>1</v>
      </c>
      <c r="H317" s="951"/>
      <c r="I317" s="53">
        <f t="shared" si="51"/>
        <v>1</v>
      </c>
      <c r="J317" s="951"/>
      <c r="K317" s="53">
        <f t="shared" si="52"/>
        <v>1</v>
      </c>
      <c r="L317" s="951"/>
      <c r="M317" s="53">
        <f t="shared" si="53"/>
        <v>1</v>
      </c>
      <c r="N317" s="951"/>
      <c r="O317" s="53">
        <f t="shared" si="54"/>
        <v>1</v>
      </c>
      <c r="P317" s="951"/>
      <c r="Q317" s="53">
        <f t="shared" si="55"/>
        <v>1</v>
      </c>
      <c r="R317" s="484">
        <f t="shared" si="56"/>
        <v>0</v>
      </c>
      <c r="S317" s="789">
        <f t="shared" si="57"/>
        <v>0</v>
      </c>
    </row>
    <row r="318" spans="1:19">
      <c r="A318" s="953"/>
      <c r="B318" s="136"/>
      <c r="C318" s="53">
        <f t="shared" si="48"/>
        <v>1</v>
      </c>
      <c r="D318" s="951"/>
      <c r="E318" s="53">
        <f t="shared" si="49"/>
        <v>1</v>
      </c>
      <c r="F318" s="951"/>
      <c r="G318" s="53">
        <f t="shared" si="50"/>
        <v>1</v>
      </c>
      <c r="H318" s="951"/>
      <c r="I318" s="53">
        <f t="shared" si="51"/>
        <v>1</v>
      </c>
      <c r="J318" s="951"/>
      <c r="K318" s="53">
        <f t="shared" si="52"/>
        <v>1</v>
      </c>
      <c r="L318" s="951"/>
      <c r="M318" s="53">
        <f t="shared" si="53"/>
        <v>1</v>
      </c>
      <c r="N318" s="951"/>
      <c r="O318" s="53">
        <f t="shared" si="54"/>
        <v>1</v>
      </c>
      <c r="P318" s="951"/>
      <c r="Q318" s="53">
        <f t="shared" si="55"/>
        <v>1</v>
      </c>
      <c r="R318" s="484">
        <f t="shared" si="56"/>
        <v>0</v>
      </c>
      <c r="S318" s="789">
        <f t="shared" si="57"/>
        <v>0</v>
      </c>
    </row>
    <row r="319" spans="1:19">
      <c r="A319" s="953"/>
      <c r="B319" s="136"/>
      <c r="C319" s="53">
        <f t="shared" si="48"/>
        <v>1</v>
      </c>
      <c r="D319" s="951"/>
      <c r="E319" s="53">
        <f t="shared" si="49"/>
        <v>1</v>
      </c>
      <c r="F319" s="951"/>
      <c r="G319" s="53">
        <f t="shared" si="50"/>
        <v>1</v>
      </c>
      <c r="H319" s="951"/>
      <c r="I319" s="53">
        <f t="shared" si="51"/>
        <v>1</v>
      </c>
      <c r="J319" s="951"/>
      <c r="K319" s="53">
        <f t="shared" si="52"/>
        <v>1</v>
      </c>
      <c r="L319" s="951"/>
      <c r="M319" s="53">
        <f t="shared" si="53"/>
        <v>1</v>
      </c>
      <c r="N319" s="951"/>
      <c r="O319" s="53">
        <f t="shared" si="54"/>
        <v>1</v>
      </c>
      <c r="P319" s="951"/>
      <c r="Q319" s="53">
        <f t="shared" si="55"/>
        <v>1</v>
      </c>
      <c r="R319" s="484">
        <f t="shared" si="56"/>
        <v>0</v>
      </c>
      <c r="S319" s="789">
        <f t="shared" si="57"/>
        <v>0</v>
      </c>
    </row>
    <row r="320" spans="1:19">
      <c r="A320" s="953"/>
      <c r="B320" s="136"/>
      <c r="C320" s="53">
        <f t="shared" si="48"/>
        <v>1</v>
      </c>
      <c r="D320" s="951"/>
      <c r="E320" s="53">
        <f t="shared" si="49"/>
        <v>1</v>
      </c>
      <c r="F320" s="951"/>
      <c r="G320" s="53">
        <f t="shared" si="50"/>
        <v>1</v>
      </c>
      <c r="H320" s="951"/>
      <c r="I320" s="53">
        <f t="shared" si="51"/>
        <v>1</v>
      </c>
      <c r="J320" s="951"/>
      <c r="K320" s="53">
        <f t="shared" si="52"/>
        <v>1</v>
      </c>
      <c r="L320" s="951"/>
      <c r="M320" s="53">
        <f t="shared" si="53"/>
        <v>1</v>
      </c>
      <c r="N320" s="951"/>
      <c r="O320" s="53">
        <f t="shared" si="54"/>
        <v>1</v>
      </c>
      <c r="P320" s="951"/>
      <c r="Q320" s="53">
        <f t="shared" si="55"/>
        <v>1</v>
      </c>
      <c r="R320" s="484">
        <f t="shared" si="56"/>
        <v>0</v>
      </c>
      <c r="S320" s="789">
        <f t="shared" si="57"/>
        <v>0</v>
      </c>
    </row>
    <row r="321" spans="1:19">
      <c r="A321" s="953"/>
      <c r="B321" s="136"/>
      <c r="C321" s="53">
        <f t="shared" si="48"/>
        <v>1</v>
      </c>
      <c r="D321" s="951"/>
      <c r="E321" s="53">
        <f t="shared" si="49"/>
        <v>1</v>
      </c>
      <c r="F321" s="951"/>
      <c r="G321" s="53">
        <f t="shared" si="50"/>
        <v>1</v>
      </c>
      <c r="H321" s="951"/>
      <c r="I321" s="53">
        <f t="shared" si="51"/>
        <v>1</v>
      </c>
      <c r="J321" s="951"/>
      <c r="K321" s="53">
        <f t="shared" si="52"/>
        <v>1</v>
      </c>
      <c r="L321" s="951"/>
      <c r="M321" s="53">
        <f t="shared" si="53"/>
        <v>1</v>
      </c>
      <c r="N321" s="951"/>
      <c r="O321" s="53">
        <f t="shared" si="54"/>
        <v>1</v>
      </c>
      <c r="P321" s="951"/>
      <c r="Q321" s="53">
        <f t="shared" si="55"/>
        <v>1</v>
      </c>
      <c r="R321" s="484">
        <f t="shared" si="56"/>
        <v>0</v>
      </c>
      <c r="S321" s="789">
        <f t="shared" ref="S321:S384" si="58">ROUND(R321*B321/10000,0)</f>
        <v>0</v>
      </c>
    </row>
    <row r="322" spans="1:19">
      <c r="A322" s="953"/>
      <c r="B322" s="136"/>
      <c r="C322" s="53">
        <f t="shared" si="48"/>
        <v>1</v>
      </c>
      <c r="D322" s="951"/>
      <c r="E322" s="53">
        <f t="shared" si="49"/>
        <v>1</v>
      </c>
      <c r="F322" s="951"/>
      <c r="G322" s="53">
        <f t="shared" si="50"/>
        <v>1</v>
      </c>
      <c r="H322" s="951"/>
      <c r="I322" s="53">
        <f t="shared" si="51"/>
        <v>1</v>
      </c>
      <c r="J322" s="951"/>
      <c r="K322" s="53">
        <f t="shared" si="52"/>
        <v>1</v>
      </c>
      <c r="L322" s="951"/>
      <c r="M322" s="53">
        <f t="shared" si="53"/>
        <v>1</v>
      </c>
      <c r="N322" s="951"/>
      <c r="O322" s="53">
        <f t="shared" si="54"/>
        <v>1</v>
      </c>
      <c r="P322" s="951"/>
      <c r="Q322" s="53">
        <f t="shared" si="55"/>
        <v>1</v>
      </c>
      <c r="R322" s="484">
        <f t="shared" si="56"/>
        <v>0</v>
      </c>
      <c r="S322" s="789">
        <f t="shared" si="58"/>
        <v>0</v>
      </c>
    </row>
    <row r="323" spans="1:19">
      <c r="A323" s="953"/>
      <c r="B323" s="136"/>
      <c r="C323" s="53">
        <f t="shared" si="48"/>
        <v>1</v>
      </c>
      <c r="D323" s="951"/>
      <c r="E323" s="53">
        <f t="shared" si="49"/>
        <v>1</v>
      </c>
      <c r="F323" s="951"/>
      <c r="G323" s="53">
        <f t="shared" si="50"/>
        <v>1</v>
      </c>
      <c r="H323" s="951"/>
      <c r="I323" s="53">
        <f t="shared" si="51"/>
        <v>1</v>
      </c>
      <c r="J323" s="951"/>
      <c r="K323" s="53">
        <f t="shared" si="52"/>
        <v>1</v>
      </c>
      <c r="L323" s="951"/>
      <c r="M323" s="53">
        <f t="shared" si="53"/>
        <v>1</v>
      </c>
      <c r="N323" s="951"/>
      <c r="O323" s="53">
        <f t="shared" si="54"/>
        <v>1</v>
      </c>
      <c r="P323" s="951"/>
      <c r="Q323" s="53">
        <f t="shared" si="55"/>
        <v>1</v>
      </c>
      <c r="R323" s="484">
        <f t="shared" si="56"/>
        <v>0</v>
      </c>
      <c r="S323" s="789">
        <f t="shared" si="58"/>
        <v>0</v>
      </c>
    </row>
    <row r="324" spans="1:19">
      <c r="A324" s="953"/>
      <c r="B324" s="136"/>
      <c r="C324" s="53">
        <f t="shared" si="48"/>
        <v>1</v>
      </c>
      <c r="D324" s="951"/>
      <c r="E324" s="53">
        <f t="shared" si="49"/>
        <v>1</v>
      </c>
      <c r="F324" s="951"/>
      <c r="G324" s="53">
        <f t="shared" si="50"/>
        <v>1</v>
      </c>
      <c r="H324" s="951"/>
      <c r="I324" s="53">
        <f t="shared" si="51"/>
        <v>1</v>
      </c>
      <c r="J324" s="951"/>
      <c r="K324" s="53">
        <f t="shared" si="52"/>
        <v>1</v>
      </c>
      <c r="L324" s="951"/>
      <c r="M324" s="53">
        <f t="shared" si="53"/>
        <v>1</v>
      </c>
      <c r="N324" s="951"/>
      <c r="O324" s="53">
        <f t="shared" si="54"/>
        <v>1</v>
      </c>
      <c r="P324" s="951"/>
      <c r="Q324" s="53">
        <f t="shared" si="55"/>
        <v>1</v>
      </c>
      <c r="R324" s="484">
        <f t="shared" si="56"/>
        <v>0</v>
      </c>
      <c r="S324" s="789">
        <f t="shared" si="58"/>
        <v>0</v>
      </c>
    </row>
    <row r="325" spans="1:19">
      <c r="A325" s="953"/>
      <c r="B325" s="136"/>
      <c r="C325" s="53">
        <f t="shared" si="48"/>
        <v>1</v>
      </c>
      <c r="D325" s="951"/>
      <c r="E325" s="53">
        <f t="shared" si="49"/>
        <v>1</v>
      </c>
      <c r="F325" s="951"/>
      <c r="G325" s="53">
        <f t="shared" si="50"/>
        <v>1</v>
      </c>
      <c r="H325" s="951"/>
      <c r="I325" s="53">
        <f t="shared" si="51"/>
        <v>1</v>
      </c>
      <c r="J325" s="951"/>
      <c r="K325" s="53">
        <f t="shared" si="52"/>
        <v>1</v>
      </c>
      <c r="L325" s="951"/>
      <c r="M325" s="53">
        <f t="shared" si="53"/>
        <v>1</v>
      </c>
      <c r="N325" s="951"/>
      <c r="O325" s="53">
        <f t="shared" si="54"/>
        <v>1</v>
      </c>
      <c r="P325" s="951"/>
      <c r="Q325" s="53">
        <f t="shared" si="55"/>
        <v>1</v>
      </c>
      <c r="R325" s="484">
        <f t="shared" si="56"/>
        <v>0</v>
      </c>
      <c r="S325" s="789">
        <f t="shared" si="58"/>
        <v>0</v>
      </c>
    </row>
    <row r="326" spans="1:19">
      <c r="A326" s="953"/>
      <c r="B326" s="136"/>
      <c r="C326" s="53">
        <f t="shared" si="48"/>
        <v>1</v>
      </c>
      <c r="D326" s="951"/>
      <c r="E326" s="53">
        <f t="shared" si="49"/>
        <v>1</v>
      </c>
      <c r="F326" s="951"/>
      <c r="G326" s="53">
        <f t="shared" si="50"/>
        <v>1</v>
      </c>
      <c r="H326" s="951"/>
      <c r="I326" s="53">
        <f t="shared" si="51"/>
        <v>1</v>
      </c>
      <c r="J326" s="951"/>
      <c r="K326" s="53">
        <f t="shared" si="52"/>
        <v>1</v>
      </c>
      <c r="L326" s="951"/>
      <c r="M326" s="53">
        <f t="shared" si="53"/>
        <v>1</v>
      </c>
      <c r="N326" s="951"/>
      <c r="O326" s="53">
        <f t="shared" si="54"/>
        <v>1</v>
      </c>
      <c r="P326" s="951"/>
      <c r="Q326" s="53">
        <f t="shared" si="55"/>
        <v>1</v>
      </c>
      <c r="R326" s="484">
        <f t="shared" si="56"/>
        <v>0</v>
      </c>
      <c r="S326" s="789">
        <f t="shared" si="58"/>
        <v>0</v>
      </c>
    </row>
    <row r="327" spans="1:19">
      <c r="A327" s="953"/>
      <c r="B327" s="136"/>
      <c r="C327" s="53">
        <f t="shared" si="48"/>
        <v>1</v>
      </c>
      <c r="D327" s="951"/>
      <c r="E327" s="53">
        <f t="shared" si="49"/>
        <v>1</v>
      </c>
      <c r="F327" s="951"/>
      <c r="G327" s="53">
        <f t="shared" si="50"/>
        <v>1</v>
      </c>
      <c r="H327" s="951"/>
      <c r="I327" s="53">
        <f t="shared" si="51"/>
        <v>1</v>
      </c>
      <c r="J327" s="951"/>
      <c r="K327" s="53">
        <f t="shared" si="52"/>
        <v>1</v>
      </c>
      <c r="L327" s="951"/>
      <c r="M327" s="53">
        <f t="shared" si="53"/>
        <v>1</v>
      </c>
      <c r="N327" s="951"/>
      <c r="O327" s="53">
        <f t="shared" si="54"/>
        <v>1</v>
      </c>
      <c r="P327" s="951"/>
      <c r="Q327" s="53">
        <f t="shared" si="55"/>
        <v>1</v>
      </c>
      <c r="R327" s="484">
        <f t="shared" si="56"/>
        <v>0</v>
      </c>
      <c r="S327" s="789">
        <f t="shared" si="58"/>
        <v>0</v>
      </c>
    </row>
    <row r="328" spans="1:19">
      <c r="A328" s="953"/>
      <c r="B328" s="136"/>
      <c r="C328" s="53">
        <f t="shared" si="48"/>
        <v>1</v>
      </c>
      <c r="D328" s="951"/>
      <c r="E328" s="53">
        <f t="shared" si="49"/>
        <v>1</v>
      </c>
      <c r="F328" s="951"/>
      <c r="G328" s="53">
        <f t="shared" si="50"/>
        <v>1</v>
      </c>
      <c r="H328" s="951"/>
      <c r="I328" s="53">
        <f t="shared" si="51"/>
        <v>1</v>
      </c>
      <c r="J328" s="951"/>
      <c r="K328" s="53">
        <f t="shared" si="52"/>
        <v>1</v>
      </c>
      <c r="L328" s="951"/>
      <c r="M328" s="53">
        <f t="shared" si="53"/>
        <v>1</v>
      </c>
      <c r="N328" s="951"/>
      <c r="O328" s="53">
        <f t="shared" si="54"/>
        <v>1</v>
      </c>
      <c r="P328" s="951"/>
      <c r="Q328" s="53">
        <f t="shared" si="55"/>
        <v>1</v>
      </c>
      <c r="R328" s="484">
        <f t="shared" si="56"/>
        <v>0</v>
      </c>
      <c r="S328" s="789">
        <f t="shared" si="58"/>
        <v>0</v>
      </c>
    </row>
    <row r="329" spans="1:19">
      <c r="A329" s="953"/>
      <c r="B329" s="136"/>
      <c r="C329" s="53">
        <f t="shared" si="48"/>
        <v>1</v>
      </c>
      <c r="D329" s="951"/>
      <c r="E329" s="53">
        <f t="shared" si="49"/>
        <v>1</v>
      </c>
      <c r="F329" s="951"/>
      <c r="G329" s="53">
        <f t="shared" si="50"/>
        <v>1</v>
      </c>
      <c r="H329" s="951"/>
      <c r="I329" s="53">
        <f t="shared" si="51"/>
        <v>1</v>
      </c>
      <c r="J329" s="951"/>
      <c r="K329" s="53">
        <f t="shared" si="52"/>
        <v>1</v>
      </c>
      <c r="L329" s="951"/>
      <c r="M329" s="53">
        <f t="shared" si="53"/>
        <v>1</v>
      </c>
      <c r="N329" s="951"/>
      <c r="O329" s="53">
        <f t="shared" si="54"/>
        <v>1</v>
      </c>
      <c r="P329" s="951"/>
      <c r="Q329" s="53">
        <f t="shared" si="55"/>
        <v>1</v>
      </c>
      <c r="R329" s="484">
        <f t="shared" si="56"/>
        <v>0</v>
      </c>
      <c r="S329" s="789">
        <f t="shared" si="58"/>
        <v>0</v>
      </c>
    </row>
    <row r="330" spans="1:19">
      <c r="A330" s="953"/>
      <c r="B330" s="136"/>
      <c r="C330" s="53">
        <f t="shared" si="48"/>
        <v>1</v>
      </c>
      <c r="D330" s="951"/>
      <c r="E330" s="53">
        <f t="shared" si="49"/>
        <v>1</v>
      </c>
      <c r="F330" s="951"/>
      <c r="G330" s="53">
        <f t="shared" si="50"/>
        <v>1</v>
      </c>
      <c r="H330" s="951"/>
      <c r="I330" s="53">
        <f t="shared" si="51"/>
        <v>1</v>
      </c>
      <c r="J330" s="951"/>
      <c r="K330" s="53">
        <f t="shared" si="52"/>
        <v>1</v>
      </c>
      <c r="L330" s="951"/>
      <c r="M330" s="53">
        <f t="shared" si="53"/>
        <v>1</v>
      </c>
      <c r="N330" s="951"/>
      <c r="O330" s="53">
        <f t="shared" si="54"/>
        <v>1</v>
      </c>
      <c r="P330" s="951"/>
      <c r="Q330" s="53">
        <f t="shared" si="55"/>
        <v>1</v>
      </c>
      <c r="R330" s="484">
        <f t="shared" si="56"/>
        <v>0</v>
      </c>
      <c r="S330" s="789">
        <f t="shared" si="58"/>
        <v>0</v>
      </c>
    </row>
    <row r="331" spans="1:19">
      <c r="A331" s="953"/>
      <c r="B331" s="136"/>
      <c r="C331" s="53">
        <f t="shared" si="48"/>
        <v>1</v>
      </c>
      <c r="D331" s="951"/>
      <c r="E331" s="53">
        <f t="shared" si="49"/>
        <v>1</v>
      </c>
      <c r="F331" s="951"/>
      <c r="G331" s="53">
        <f t="shared" si="50"/>
        <v>1</v>
      </c>
      <c r="H331" s="951"/>
      <c r="I331" s="53">
        <f t="shared" si="51"/>
        <v>1</v>
      </c>
      <c r="J331" s="951"/>
      <c r="K331" s="53">
        <f t="shared" si="52"/>
        <v>1</v>
      </c>
      <c r="L331" s="951"/>
      <c r="M331" s="53">
        <f t="shared" si="53"/>
        <v>1</v>
      </c>
      <c r="N331" s="951"/>
      <c r="O331" s="53">
        <f t="shared" si="54"/>
        <v>1</v>
      </c>
      <c r="P331" s="951"/>
      <c r="Q331" s="53">
        <f t="shared" si="55"/>
        <v>1</v>
      </c>
      <c r="R331" s="484">
        <f t="shared" si="56"/>
        <v>0</v>
      </c>
      <c r="S331" s="789">
        <f t="shared" si="58"/>
        <v>0</v>
      </c>
    </row>
    <row r="332" spans="1:19">
      <c r="A332" s="953"/>
      <c r="B332" s="136"/>
      <c r="C332" s="53">
        <f t="shared" si="48"/>
        <v>1</v>
      </c>
      <c r="D332" s="951"/>
      <c r="E332" s="53">
        <f t="shared" si="49"/>
        <v>1</v>
      </c>
      <c r="F332" s="951"/>
      <c r="G332" s="53">
        <f t="shared" si="50"/>
        <v>1</v>
      </c>
      <c r="H332" s="951"/>
      <c r="I332" s="53">
        <f t="shared" si="51"/>
        <v>1</v>
      </c>
      <c r="J332" s="951"/>
      <c r="K332" s="53">
        <f t="shared" si="52"/>
        <v>1</v>
      </c>
      <c r="L332" s="951"/>
      <c r="M332" s="53">
        <f t="shared" si="53"/>
        <v>1</v>
      </c>
      <c r="N332" s="951"/>
      <c r="O332" s="53">
        <f t="shared" si="54"/>
        <v>1</v>
      </c>
      <c r="P332" s="951"/>
      <c r="Q332" s="53">
        <f t="shared" si="55"/>
        <v>1</v>
      </c>
      <c r="R332" s="484">
        <f t="shared" si="56"/>
        <v>0</v>
      </c>
      <c r="S332" s="789">
        <f t="shared" si="58"/>
        <v>0</v>
      </c>
    </row>
    <row r="333" spans="1:19">
      <c r="A333" s="953"/>
      <c r="B333" s="136"/>
      <c r="C333" s="53">
        <f t="shared" si="48"/>
        <v>1</v>
      </c>
      <c r="D333" s="951"/>
      <c r="E333" s="53">
        <f t="shared" si="49"/>
        <v>1</v>
      </c>
      <c r="F333" s="951"/>
      <c r="G333" s="53">
        <f t="shared" si="50"/>
        <v>1</v>
      </c>
      <c r="H333" s="951"/>
      <c r="I333" s="53">
        <f t="shared" si="51"/>
        <v>1</v>
      </c>
      <c r="J333" s="951"/>
      <c r="K333" s="53">
        <f t="shared" si="52"/>
        <v>1</v>
      </c>
      <c r="L333" s="951"/>
      <c r="M333" s="53">
        <f t="shared" si="53"/>
        <v>1</v>
      </c>
      <c r="N333" s="951"/>
      <c r="O333" s="53">
        <f t="shared" si="54"/>
        <v>1</v>
      </c>
      <c r="P333" s="951"/>
      <c r="Q333" s="53">
        <f t="shared" si="55"/>
        <v>1</v>
      </c>
      <c r="R333" s="484">
        <f t="shared" si="56"/>
        <v>0</v>
      </c>
      <c r="S333" s="789">
        <f t="shared" si="58"/>
        <v>0</v>
      </c>
    </row>
    <row r="334" spans="1:19">
      <c r="A334" s="953"/>
      <c r="B334" s="136"/>
      <c r="C334" s="53">
        <f t="shared" si="48"/>
        <v>1</v>
      </c>
      <c r="D334" s="951"/>
      <c r="E334" s="53">
        <f t="shared" si="49"/>
        <v>1</v>
      </c>
      <c r="F334" s="951"/>
      <c r="G334" s="53">
        <f t="shared" si="50"/>
        <v>1</v>
      </c>
      <c r="H334" s="951"/>
      <c r="I334" s="53">
        <f t="shared" si="51"/>
        <v>1</v>
      </c>
      <c r="J334" s="951"/>
      <c r="K334" s="53">
        <f t="shared" si="52"/>
        <v>1</v>
      </c>
      <c r="L334" s="951"/>
      <c r="M334" s="53">
        <f t="shared" si="53"/>
        <v>1</v>
      </c>
      <c r="N334" s="951"/>
      <c r="O334" s="53">
        <f t="shared" si="54"/>
        <v>1</v>
      </c>
      <c r="P334" s="951"/>
      <c r="Q334" s="53">
        <f t="shared" si="55"/>
        <v>1</v>
      </c>
      <c r="R334" s="484">
        <f t="shared" si="56"/>
        <v>0</v>
      </c>
      <c r="S334" s="789">
        <f t="shared" si="58"/>
        <v>0</v>
      </c>
    </row>
    <row r="335" spans="1:19">
      <c r="A335" s="953"/>
      <c r="B335" s="136"/>
      <c r="C335" s="53">
        <f t="shared" si="48"/>
        <v>1</v>
      </c>
      <c r="D335" s="951"/>
      <c r="E335" s="53">
        <f t="shared" si="49"/>
        <v>1</v>
      </c>
      <c r="F335" s="951"/>
      <c r="G335" s="53">
        <f t="shared" si="50"/>
        <v>1</v>
      </c>
      <c r="H335" s="951"/>
      <c r="I335" s="53">
        <f t="shared" si="51"/>
        <v>1</v>
      </c>
      <c r="J335" s="951"/>
      <c r="K335" s="53">
        <f t="shared" si="52"/>
        <v>1</v>
      </c>
      <c r="L335" s="951"/>
      <c r="M335" s="53">
        <f t="shared" si="53"/>
        <v>1</v>
      </c>
      <c r="N335" s="951"/>
      <c r="O335" s="53">
        <f t="shared" si="54"/>
        <v>1</v>
      </c>
      <c r="P335" s="951"/>
      <c r="Q335" s="53">
        <f t="shared" si="55"/>
        <v>1</v>
      </c>
      <c r="R335" s="484">
        <f t="shared" si="56"/>
        <v>0</v>
      </c>
      <c r="S335" s="789">
        <f t="shared" si="58"/>
        <v>0</v>
      </c>
    </row>
    <row r="336" spans="1:19">
      <c r="A336" s="953"/>
      <c r="B336" s="136"/>
      <c r="C336" s="53">
        <f t="shared" si="48"/>
        <v>1</v>
      </c>
      <c r="D336" s="951"/>
      <c r="E336" s="53">
        <f t="shared" si="49"/>
        <v>1</v>
      </c>
      <c r="F336" s="951"/>
      <c r="G336" s="53">
        <f t="shared" si="50"/>
        <v>1</v>
      </c>
      <c r="H336" s="951"/>
      <c r="I336" s="53">
        <f t="shared" si="51"/>
        <v>1</v>
      </c>
      <c r="J336" s="951"/>
      <c r="K336" s="53">
        <f t="shared" si="52"/>
        <v>1</v>
      </c>
      <c r="L336" s="951"/>
      <c r="M336" s="53">
        <f t="shared" si="53"/>
        <v>1</v>
      </c>
      <c r="N336" s="951"/>
      <c r="O336" s="53">
        <f t="shared" si="54"/>
        <v>1</v>
      </c>
      <c r="P336" s="951"/>
      <c r="Q336" s="53">
        <f t="shared" si="55"/>
        <v>1</v>
      </c>
      <c r="R336" s="484">
        <f t="shared" si="56"/>
        <v>0</v>
      </c>
      <c r="S336" s="789">
        <f t="shared" si="58"/>
        <v>0</v>
      </c>
    </row>
    <row r="337" spans="1:19">
      <c r="A337" s="953"/>
      <c r="B337" s="136"/>
      <c r="C337" s="53">
        <f t="shared" si="48"/>
        <v>1</v>
      </c>
      <c r="D337" s="951"/>
      <c r="E337" s="53">
        <f t="shared" si="49"/>
        <v>1</v>
      </c>
      <c r="F337" s="951"/>
      <c r="G337" s="53">
        <f t="shared" si="50"/>
        <v>1</v>
      </c>
      <c r="H337" s="951"/>
      <c r="I337" s="53">
        <f t="shared" si="51"/>
        <v>1</v>
      </c>
      <c r="J337" s="951"/>
      <c r="K337" s="53">
        <f t="shared" si="52"/>
        <v>1</v>
      </c>
      <c r="L337" s="951"/>
      <c r="M337" s="53">
        <f t="shared" si="53"/>
        <v>1</v>
      </c>
      <c r="N337" s="951"/>
      <c r="O337" s="53">
        <f t="shared" si="54"/>
        <v>1</v>
      </c>
      <c r="P337" s="951"/>
      <c r="Q337" s="53">
        <f t="shared" si="55"/>
        <v>1</v>
      </c>
      <c r="R337" s="484">
        <f t="shared" si="56"/>
        <v>0</v>
      </c>
      <c r="S337" s="789">
        <f t="shared" si="58"/>
        <v>0</v>
      </c>
    </row>
    <row r="338" spans="1:19">
      <c r="A338" s="953"/>
      <c r="B338" s="136"/>
      <c r="C338" s="53">
        <f t="shared" si="48"/>
        <v>1</v>
      </c>
      <c r="D338" s="951"/>
      <c r="E338" s="53">
        <f t="shared" si="49"/>
        <v>1</v>
      </c>
      <c r="F338" s="951"/>
      <c r="G338" s="53">
        <f t="shared" si="50"/>
        <v>1</v>
      </c>
      <c r="H338" s="951"/>
      <c r="I338" s="53">
        <f t="shared" si="51"/>
        <v>1</v>
      </c>
      <c r="J338" s="951"/>
      <c r="K338" s="53">
        <f t="shared" si="52"/>
        <v>1</v>
      </c>
      <c r="L338" s="951"/>
      <c r="M338" s="53">
        <f t="shared" si="53"/>
        <v>1</v>
      </c>
      <c r="N338" s="951"/>
      <c r="O338" s="53">
        <f t="shared" si="54"/>
        <v>1</v>
      </c>
      <c r="P338" s="951"/>
      <c r="Q338" s="53">
        <f t="shared" si="55"/>
        <v>1</v>
      </c>
      <c r="R338" s="484">
        <f t="shared" si="56"/>
        <v>0</v>
      </c>
      <c r="S338" s="789">
        <f t="shared" si="58"/>
        <v>0</v>
      </c>
    </row>
    <row r="339" spans="1:19">
      <c r="A339" s="953"/>
      <c r="B339" s="136"/>
      <c r="C339" s="53">
        <f t="shared" si="48"/>
        <v>1</v>
      </c>
      <c r="D339" s="951"/>
      <c r="E339" s="53">
        <f t="shared" si="49"/>
        <v>1</v>
      </c>
      <c r="F339" s="951"/>
      <c r="G339" s="53">
        <f t="shared" si="50"/>
        <v>1</v>
      </c>
      <c r="H339" s="951"/>
      <c r="I339" s="53">
        <f t="shared" si="51"/>
        <v>1</v>
      </c>
      <c r="J339" s="951"/>
      <c r="K339" s="53">
        <f t="shared" si="52"/>
        <v>1</v>
      </c>
      <c r="L339" s="951"/>
      <c r="M339" s="53">
        <f t="shared" si="53"/>
        <v>1</v>
      </c>
      <c r="N339" s="951"/>
      <c r="O339" s="53">
        <f t="shared" si="54"/>
        <v>1</v>
      </c>
      <c r="P339" s="951"/>
      <c r="Q339" s="53">
        <f t="shared" si="55"/>
        <v>1</v>
      </c>
      <c r="R339" s="484">
        <f t="shared" si="56"/>
        <v>0</v>
      </c>
      <c r="S339" s="789">
        <f t="shared" si="58"/>
        <v>0</v>
      </c>
    </row>
    <row r="340" spans="1:19">
      <c r="A340" s="953"/>
      <c r="B340" s="136"/>
      <c r="C340" s="53">
        <f t="shared" si="48"/>
        <v>1</v>
      </c>
      <c r="D340" s="951"/>
      <c r="E340" s="53">
        <f t="shared" si="49"/>
        <v>1</v>
      </c>
      <c r="F340" s="951"/>
      <c r="G340" s="53">
        <f t="shared" si="50"/>
        <v>1</v>
      </c>
      <c r="H340" s="951"/>
      <c r="I340" s="53">
        <f t="shared" si="51"/>
        <v>1</v>
      </c>
      <c r="J340" s="951"/>
      <c r="K340" s="53">
        <f t="shared" si="52"/>
        <v>1</v>
      </c>
      <c r="L340" s="951"/>
      <c r="M340" s="53">
        <f t="shared" si="53"/>
        <v>1</v>
      </c>
      <c r="N340" s="951"/>
      <c r="O340" s="53">
        <f t="shared" si="54"/>
        <v>1</v>
      </c>
      <c r="P340" s="951"/>
      <c r="Q340" s="53">
        <f t="shared" si="55"/>
        <v>1</v>
      </c>
      <c r="R340" s="484">
        <f t="shared" si="56"/>
        <v>0</v>
      </c>
      <c r="S340" s="789">
        <f t="shared" si="58"/>
        <v>0</v>
      </c>
    </row>
    <row r="341" spans="1:19">
      <c r="A341" s="953"/>
      <c r="B341" s="136"/>
      <c r="C341" s="53">
        <f t="shared" si="48"/>
        <v>1</v>
      </c>
      <c r="D341" s="951"/>
      <c r="E341" s="53">
        <f t="shared" si="49"/>
        <v>1</v>
      </c>
      <c r="F341" s="951"/>
      <c r="G341" s="53">
        <f t="shared" si="50"/>
        <v>1</v>
      </c>
      <c r="H341" s="951"/>
      <c r="I341" s="53">
        <f t="shared" si="51"/>
        <v>1</v>
      </c>
      <c r="J341" s="951"/>
      <c r="K341" s="53">
        <f t="shared" si="52"/>
        <v>1</v>
      </c>
      <c r="L341" s="951"/>
      <c r="M341" s="53">
        <f t="shared" si="53"/>
        <v>1</v>
      </c>
      <c r="N341" s="951"/>
      <c r="O341" s="53">
        <f t="shared" si="54"/>
        <v>1</v>
      </c>
      <c r="P341" s="951"/>
      <c r="Q341" s="53">
        <f t="shared" si="55"/>
        <v>1</v>
      </c>
      <c r="R341" s="484">
        <f t="shared" si="56"/>
        <v>0</v>
      </c>
      <c r="S341" s="789">
        <f t="shared" si="58"/>
        <v>0</v>
      </c>
    </row>
    <row r="342" spans="1:19">
      <c r="A342" s="953"/>
      <c r="B342" s="136"/>
      <c r="C342" s="53">
        <f t="shared" si="48"/>
        <v>1</v>
      </c>
      <c r="D342" s="951"/>
      <c r="E342" s="53">
        <f t="shared" si="49"/>
        <v>1</v>
      </c>
      <c r="F342" s="951"/>
      <c r="G342" s="53">
        <f t="shared" si="50"/>
        <v>1</v>
      </c>
      <c r="H342" s="951"/>
      <c r="I342" s="53">
        <f t="shared" si="51"/>
        <v>1</v>
      </c>
      <c r="J342" s="951"/>
      <c r="K342" s="53">
        <f t="shared" si="52"/>
        <v>1</v>
      </c>
      <c r="L342" s="951"/>
      <c r="M342" s="53">
        <f t="shared" si="53"/>
        <v>1</v>
      </c>
      <c r="N342" s="951"/>
      <c r="O342" s="53">
        <f t="shared" si="54"/>
        <v>1</v>
      </c>
      <c r="P342" s="951"/>
      <c r="Q342" s="53">
        <f t="shared" si="55"/>
        <v>1</v>
      </c>
      <c r="R342" s="484">
        <f t="shared" si="56"/>
        <v>0</v>
      </c>
      <c r="S342" s="789">
        <f t="shared" si="58"/>
        <v>0</v>
      </c>
    </row>
    <row r="343" spans="1:19">
      <c r="A343" s="953"/>
      <c r="B343" s="136"/>
      <c r="C343" s="53">
        <f t="shared" si="48"/>
        <v>1</v>
      </c>
      <c r="D343" s="951"/>
      <c r="E343" s="53">
        <f t="shared" si="49"/>
        <v>1</v>
      </c>
      <c r="F343" s="951"/>
      <c r="G343" s="53">
        <f t="shared" si="50"/>
        <v>1</v>
      </c>
      <c r="H343" s="951"/>
      <c r="I343" s="53">
        <f t="shared" si="51"/>
        <v>1</v>
      </c>
      <c r="J343" s="951"/>
      <c r="K343" s="53">
        <f t="shared" si="52"/>
        <v>1</v>
      </c>
      <c r="L343" s="951"/>
      <c r="M343" s="53">
        <f t="shared" si="53"/>
        <v>1</v>
      </c>
      <c r="N343" s="951"/>
      <c r="O343" s="53">
        <f t="shared" si="54"/>
        <v>1</v>
      </c>
      <c r="P343" s="951"/>
      <c r="Q343" s="53">
        <f t="shared" si="55"/>
        <v>1</v>
      </c>
      <c r="R343" s="484">
        <f t="shared" si="56"/>
        <v>0</v>
      </c>
      <c r="S343" s="789">
        <f t="shared" si="58"/>
        <v>0</v>
      </c>
    </row>
    <row r="344" spans="1:19">
      <c r="A344" s="953"/>
      <c r="B344" s="136"/>
      <c r="C344" s="53">
        <f t="shared" si="48"/>
        <v>1</v>
      </c>
      <c r="D344" s="951"/>
      <c r="E344" s="53">
        <f t="shared" si="49"/>
        <v>1</v>
      </c>
      <c r="F344" s="951"/>
      <c r="G344" s="53">
        <f t="shared" si="50"/>
        <v>1</v>
      </c>
      <c r="H344" s="951"/>
      <c r="I344" s="53">
        <f t="shared" si="51"/>
        <v>1</v>
      </c>
      <c r="J344" s="951"/>
      <c r="K344" s="53">
        <f t="shared" si="52"/>
        <v>1</v>
      </c>
      <c r="L344" s="951"/>
      <c r="M344" s="53">
        <f t="shared" si="53"/>
        <v>1</v>
      </c>
      <c r="N344" s="951"/>
      <c r="O344" s="53">
        <f t="shared" si="54"/>
        <v>1</v>
      </c>
      <c r="P344" s="951"/>
      <c r="Q344" s="53">
        <f t="shared" si="55"/>
        <v>1</v>
      </c>
      <c r="R344" s="484">
        <f t="shared" si="56"/>
        <v>0</v>
      </c>
      <c r="S344" s="789">
        <f t="shared" si="58"/>
        <v>0</v>
      </c>
    </row>
    <row r="345" spans="1:19">
      <c r="A345" s="953"/>
      <c r="B345" s="136"/>
      <c r="C345" s="53">
        <f t="shared" si="48"/>
        <v>1</v>
      </c>
      <c r="D345" s="951"/>
      <c r="E345" s="53">
        <f t="shared" si="49"/>
        <v>1</v>
      </c>
      <c r="F345" s="951"/>
      <c r="G345" s="53">
        <f t="shared" si="50"/>
        <v>1</v>
      </c>
      <c r="H345" s="951"/>
      <c r="I345" s="53">
        <f t="shared" si="51"/>
        <v>1</v>
      </c>
      <c r="J345" s="951"/>
      <c r="K345" s="53">
        <f t="shared" si="52"/>
        <v>1</v>
      </c>
      <c r="L345" s="951"/>
      <c r="M345" s="53">
        <f t="shared" si="53"/>
        <v>1</v>
      </c>
      <c r="N345" s="951"/>
      <c r="O345" s="53">
        <f t="shared" si="54"/>
        <v>1</v>
      </c>
      <c r="P345" s="951"/>
      <c r="Q345" s="53">
        <f t="shared" si="55"/>
        <v>1</v>
      </c>
      <c r="R345" s="484">
        <f t="shared" si="56"/>
        <v>0</v>
      </c>
      <c r="S345" s="789">
        <f t="shared" si="58"/>
        <v>0</v>
      </c>
    </row>
    <row r="346" spans="1:19">
      <c r="A346" s="953"/>
      <c r="B346" s="136"/>
      <c r="C346" s="53">
        <f t="shared" ref="C346:C409" si="59">IF(B346="",1,(LOOKUP(B346,$3:$3,$4:$4)-LOOKUP($B$24,$3:$3,$4:$4)+100)/100)</f>
        <v>1</v>
      </c>
      <c r="D346" s="951"/>
      <c r="E346" s="53">
        <f t="shared" ref="E346:E409" si="60">(SUMIF($5:$5,D346,$6:$6)-SUMIF($5:$5,$D$24,$6:$6)+100)/100</f>
        <v>1</v>
      </c>
      <c r="F346" s="951"/>
      <c r="G346" s="53">
        <f t="shared" ref="G346:G409" si="61">(SUMIF($7:$7,F346,$8:$8)-SUMIF($7:$7,$F$24,$8:$8)+100)/100</f>
        <v>1</v>
      </c>
      <c r="H346" s="951"/>
      <c r="I346" s="53">
        <f t="shared" ref="I346:I409" si="62">(SUMIF($9:$9,H346,$10:$10)-SUMIF($9:$9,$H$24,$10:$10)+100)/100</f>
        <v>1</v>
      </c>
      <c r="J346" s="951"/>
      <c r="K346" s="53">
        <f t="shared" ref="K346:K409" si="63">(SUMIF($11:$11,J346,$12:$12)-SUMIF($11:$11,$J$24,$12:$12)+100)/100</f>
        <v>1</v>
      </c>
      <c r="L346" s="951"/>
      <c r="M346" s="53">
        <f t="shared" ref="M346:M409" si="64">(SUMIF($13:$13,L346,$14:$14)-SUMIF($13:$13,$L$24,$14:$14)+100)/100</f>
        <v>1</v>
      </c>
      <c r="N346" s="951"/>
      <c r="O346" s="53">
        <f t="shared" ref="O346:O409" si="65">(SUMIF($15:$15,N346,$16:$16)-SUMIF($15:$15,$N$24,$16:$16)+100)/100</f>
        <v>1</v>
      </c>
      <c r="P346" s="951"/>
      <c r="Q346" s="53">
        <f t="shared" ref="Q346:Q409" si="66">(SUMIF($17:$17,P346,$18:$18)-SUMIF($17:$17,$P$24,$18:$18)+100)/100</f>
        <v>1</v>
      </c>
      <c r="R346" s="484">
        <f t="shared" ref="R346:R409" si="67">IF(B346="",0,ROUND($R$24*C346*E346*G346*I346*K346*M346*O346*Q346,0))</f>
        <v>0</v>
      </c>
      <c r="S346" s="789">
        <f t="shared" si="58"/>
        <v>0</v>
      </c>
    </row>
    <row r="347" spans="1:19">
      <c r="A347" s="953"/>
      <c r="B347" s="136"/>
      <c r="C347" s="53">
        <f t="shared" si="59"/>
        <v>1</v>
      </c>
      <c r="D347" s="951"/>
      <c r="E347" s="53">
        <f t="shared" si="60"/>
        <v>1</v>
      </c>
      <c r="F347" s="951"/>
      <c r="G347" s="53">
        <f t="shared" si="61"/>
        <v>1</v>
      </c>
      <c r="H347" s="951"/>
      <c r="I347" s="53">
        <f t="shared" si="62"/>
        <v>1</v>
      </c>
      <c r="J347" s="951"/>
      <c r="K347" s="53">
        <f t="shared" si="63"/>
        <v>1</v>
      </c>
      <c r="L347" s="951"/>
      <c r="M347" s="53">
        <f t="shared" si="64"/>
        <v>1</v>
      </c>
      <c r="N347" s="951"/>
      <c r="O347" s="53">
        <f t="shared" si="65"/>
        <v>1</v>
      </c>
      <c r="P347" s="951"/>
      <c r="Q347" s="53">
        <f t="shared" si="66"/>
        <v>1</v>
      </c>
      <c r="R347" s="484">
        <f t="shared" si="67"/>
        <v>0</v>
      </c>
      <c r="S347" s="789">
        <f t="shared" si="58"/>
        <v>0</v>
      </c>
    </row>
    <row r="348" spans="1:19">
      <c r="A348" s="953"/>
      <c r="B348" s="136"/>
      <c r="C348" s="53">
        <f t="shared" si="59"/>
        <v>1</v>
      </c>
      <c r="D348" s="951"/>
      <c r="E348" s="53">
        <f t="shared" si="60"/>
        <v>1</v>
      </c>
      <c r="F348" s="951"/>
      <c r="G348" s="53">
        <f t="shared" si="61"/>
        <v>1</v>
      </c>
      <c r="H348" s="951"/>
      <c r="I348" s="53">
        <f t="shared" si="62"/>
        <v>1</v>
      </c>
      <c r="J348" s="951"/>
      <c r="K348" s="53">
        <f t="shared" si="63"/>
        <v>1</v>
      </c>
      <c r="L348" s="951"/>
      <c r="M348" s="53">
        <f t="shared" si="64"/>
        <v>1</v>
      </c>
      <c r="N348" s="951"/>
      <c r="O348" s="53">
        <f t="shared" si="65"/>
        <v>1</v>
      </c>
      <c r="P348" s="951"/>
      <c r="Q348" s="53">
        <f t="shared" si="66"/>
        <v>1</v>
      </c>
      <c r="R348" s="484">
        <f t="shared" si="67"/>
        <v>0</v>
      </c>
      <c r="S348" s="789">
        <f t="shared" si="58"/>
        <v>0</v>
      </c>
    </row>
    <row r="349" spans="1:19">
      <c r="A349" s="953"/>
      <c r="B349" s="136"/>
      <c r="C349" s="53">
        <f t="shared" si="59"/>
        <v>1</v>
      </c>
      <c r="D349" s="951"/>
      <c r="E349" s="53">
        <f t="shared" si="60"/>
        <v>1</v>
      </c>
      <c r="F349" s="951"/>
      <c r="G349" s="53">
        <f t="shared" si="61"/>
        <v>1</v>
      </c>
      <c r="H349" s="951"/>
      <c r="I349" s="53">
        <f t="shared" si="62"/>
        <v>1</v>
      </c>
      <c r="J349" s="951"/>
      <c r="K349" s="53">
        <f t="shared" si="63"/>
        <v>1</v>
      </c>
      <c r="L349" s="951"/>
      <c r="M349" s="53">
        <f t="shared" si="64"/>
        <v>1</v>
      </c>
      <c r="N349" s="951"/>
      <c r="O349" s="53">
        <f t="shared" si="65"/>
        <v>1</v>
      </c>
      <c r="P349" s="951"/>
      <c r="Q349" s="53">
        <f t="shared" si="66"/>
        <v>1</v>
      </c>
      <c r="R349" s="484">
        <f t="shared" si="67"/>
        <v>0</v>
      </c>
      <c r="S349" s="789">
        <f t="shared" si="58"/>
        <v>0</v>
      </c>
    </row>
    <row r="350" spans="1:19">
      <c r="A350" s="953"/>
      <c r="B350" s="136"/>
      <c r="C350" s="53">
        <f t="shared" si="59"/>
        <v>1</v>
      </c>
      <c r="D350" s="951"/>
      <c r="E350" s="53">
        <f t="shared" si="60"/>
        <v>1</v>
      </c>
      <c r="F350" s="951"/>
      <c r="G350" s="53">
        <f t="shared" si="61"/>
        <v>1</v>
      </c>
      <c r="H350" s="951"/>
      <c r="I350" s="53">
        <f t="shared" si="62"/>
        <v>1</v>
      </c>
      <c r="J350" s="951"/>
      <c r="K350" s="53">
        <f t="shared" si="63"/>
        <v>1</v>
      </c>
      <c r="L350" s="951"/>
      <c r="M350" s="53">
        <f t="shared" si="64"/>
        <v>1</v>
      </c>
      <c r="N350" s="951"/>
      <c r="O350" s="53">
        <f t="shared" si="65"/>
        <v>1</v>
      </c>
      <c r="P350" s="951"/>
      <c r="Q350" s="53">
        <f t="shared" si="66"/>
        <v>1</v>
      </c>
      <c r="R350" s="484">
        <f t="shared" si="67"/>
        <v>0</v>
      </c>
      <c r="S350" s="789">
        <f t="shared" si="58"/>
        <v>0</v>
      </c>
    </row>
    <row r="351" spans="1:19">
      <c r="A351" s="953"/>
      <c r="B351" s="136"/>
      <c r="C351" s="53">
        <f t="shared" si="59"/>
        <v>1</v>
      </c>
      <c r="D351" s="951"/>
      <c r="E351" s="53">
        <f t="shared" si="60"/>
        <v>1</v>
      </c>
      <c r="F351" s="951"/>
      <c r="G351" s="53">
        <f t="shared" si="61"/>
        <v>1</v>
      </c>
      <c r="H351" s="951"/>
      <c r="I351" s="53">
        <f t="shared" si="62"/>
        <v>1</v>
      </c>
      <c r="J351" s="951"/>
      <c r="K351" s="53">
        <f t="shared" si="63"/>
        <v>1</v>
      </c>
      <c r="L351" s="951"/>
      <c r="M351" s="53">
        <f t="shared" si="64"/>
        <v>1</v>
      </c>
      <c r="N351" s="951"/>
      <c r="O351" s="53">
        <f t="shared" si="65"/>
        <v>1</v>
      </c>
      <c r="P351" s="951"/>
      <c r="Q351" s="53">
        <f t="shared" si="66"/>
        <v>1</v>
      </c>
      <c r="R351" s="484">
        <f t="shared" si="67"/>
        <v>0</v>
      </c>
      <c r="S351" s="789">
        <f t="shared" si="58"/>
        <v>0</v>
      </c>
    </row>
    <row r="352" spans="1:19">
      <c r="A352" s="953"/>
      <c r="B352" s="136"/>
      <c r="C352" s="53">
        <f t="shared" si="59"/>
        <v>1</v>
      </c>
      <c r="D352" s="951"/>
      <c r="E352" s="53">
        <f t="shared" si="60"/>
        <v>1</v>
      </c>
      <c r="F352" s="951"/>
      <c r="G352" s="53">
        <f t="shared" si="61"/>
        <v>1</v>
      </c>
      <c r="H352" s="951"/>
      <c r="I352" s="53">
        <f t="shared" si="62"/>
        <v>1</v>
      </c>
      <c r="J352" s="951"/>
      <c r="K352" s="53">
        <f t="shared" si="63"/>
        <v>1</v>
      </c>
      <c r="L352" s="951"/>
      <c r="M352" s="53">
        <f t="shared" si="64"/>
        <v>1</v>
      </c>
      <c r="N352" s="951"/>
      <c r="O352" s="53">
        <f t="shared" si="65"/>
        <v>1</v>
      </c>
      <c r="P352" s="951"/>
      <c r="Q352" s="53">
        <f t="shared" si="66"/>
        <v>1</v>
      </c>
      <c r="R352" s="484">
        <f t="shared" si="67"/>
        <v>0</v>
      </c>
      <c r="S352" s="789">
        <f t="shared" si="58"/>
        <v>0</v>
      </c>
    </row>
    <row r="353" spans="1:19">
      <c r="A353" s="953"/>
      <c r="B353" s="136"/>
      <c r="C353" s="53">
        <f t="shared" si="59"/>
        <v>1</v>
      </c>
      <c r="D353" s="951"/>
      <c r="E353" s="53">
        <f t="shared" si="60"/>
        <v>1</v>
      </c>
      <c r="F353" s="951"/>
      <c r="G353" s="53">
        <f t="shared" si="61"/>
        <v>1</v>
      </c>
      <c r="H353" s="951"/>
      <c r="I353" s="53">
        <f t="shared" si="62"/>
        <v>1</v>
      </c>
      <c r="J353" s="951"/>
      <c r="K353" s="53">
        <f t="shared" si="63"/>
        <v>1</v>
      </c>
      <c r="L353" s="951"/>
      <c r="M353" s="53">
        <f t="shared" si="64"/>
        <v>1</v>
      </c>
      <c r="N353" s="951"/>
      <c r="O353" s="53">
        <f t="shared" si="65"/>
        <v>1</v>
      </c>
      <c r="P353" s="951"/>
      <c r="Q353" s="53">
        <f t="shared" si="66"/>
        <v>1</v>
      </c>
      <c r="R353" s="484">
        <f t="shared" si="67"/>
        <v>0</v>
      </c>
      <c r="S353" s="789">
        <f t="shared" si="58"/>
        <v>0</v>
      </c>
    </row>
    <row r="354" spans="1:19">
      <c r="A354" s="953"/>
      <c r="B354" s="136"/>
      <c r="C354" s="53">
        <f t="shared" si="59"/>
        <v>1</v>
      </c>
      <c r="D354" s="951"/>
      <c r="E354" s="53">
        <f t="shared" si="60"/>
        <v>1</v>
      </c>
      <c r="F354" s="951"/>
      <c r="G354" s="53">
        <f t="shared" si="61"/>
        <v>1</v>
      </c>
      <c r="H354" s="951"/>
      <c r="I354" s="53">
        <f t="shared" si="62"/>
        <v>1</v>
      </c>
      <c r="J354" s="951"/>
      <c r="K354" s="53">
        <f t="shared" si="63"/>
        <v>1</v>
      </c>
      <c r="L354" s="951"/>
      <c r="M354" s="53">
        <f t="shared" si="64"/>
        <v>1</v>
      </c>
      <c r="N354" s="951"/>
      <c r="O354" s="53">
        <f t="shared" si="65"/>
        <v>1</v>
      </c>
      <c r="P354" s="951"/>
      <c r="Q354" s="53">
        <f t="shared" si="66"/>
        <v>1</v>
      </c>
      <c r="R354" s="484">
        <f t="shared" si="67"/>
        <v>0</v>
      </c>
      <c r="S354" s="789">
        <f t="shared" si="58"/>
        <v>0</v>
      </c>
    </row>
    <row r="355" spans="1:19">
      <c r="A355" s="953"/>
      <c r="B355" s="136"/>
      <c r="C355" s="53">
        <f t="shared" si="59"/>
        <v>1</v>
      </c>
      <c r="D355" s="951"/>
      <c r="E355" s="53">
        <f t="shared" si="60"/>
        <v>1</v>
      </c>
      <c r="F355" s="951"/>
      <c r="G355" s="53">
        <f t="shared" si="61"/>
        <v>1</v>
      </c>
      <c r="H355" s="951"/>
      <c r="I355" s="53">
        <f t="shared" si="62"/>
        <v>1</v>
      </c>
      <c r="J355" s="951"/>
      <c r="K355" s="53">
        <f t="shared" si="63"/>
        <v>1</v>
      </c>
      <c r="L355" s="951"/>
      <c r="M355" s="53">
        <f t="shared" si="64"/>
        <v>1</v>
      </c>
      <c r="N355" s="951"/>
      <c r="O355" s="53">
        <f t="shared" si="65"/>
        <v>1</v>
      </c>
      <c r="P355" s="951"/>
      <c r="Q355" s="53">
        <f t="shared" si="66"/>
        <v>1</v>
      </c>
      <c r="R355" s="484">
        <f t="shared" si="67"/>
        <v>0</v>
      </c>
      <c r="S355" s="789">
        <f t="shared" si="58"/>
        <v>0</v>
      </c>
    </row>
    <row r="356" spans="1:19">
      <c r="A356" s="953"/>
      <c r="B356" s="136"/>
      <c r="C356" s="53">
        <f t="shared" si="59"/>
        <v>1</v>
      </c>
      <c r="D356" s="951"/>
      <c r="E356" s="53">
        <f t="shared" si="60"/>
        <v>1</v>
      </c>
      <c r="F356" s="951"/>
      <c r="G356" s="53">
        <f t="shared" si="61"/>
        <v>1</v>
      </c>
      <c r="H356" s="951"/>
      <c r="I356" s="53">
        <f t="shared" si="62"/>
        <v>1</v>
      </c>
      <c r="J356" s="951"/>
      <c r="K356" s="53">
        <f t="shared" si="63"/>
        <v>1</v>
      </c>
      <c r="L356" s="951"/>
      <c r="M356" s="53">
        <f t="shared" si="64"/>
        <v>1</v>
      </c>
      <c r="N356" s="951"/>
      <c r="O356" s="53">
        <f t="shared" si="65"/>
        <v>1</v>
      </c>
      <c r="P356" s="951"/>
      <c r="Q356" s="53">
        <f t="shared" si="66"/>
        <v>1</v>
      </c>
      <c r="R356" s="484">
        <f t="shared" si="67"/>
        <v>0</v>
      </c>
      <c r="S356" s="789">
        <f t="shared" si="58"/>
        <v>0</v>
      </c>
    </row>
    <row r="357" spans="1:19">
      <c r="A357" s="953"/>
      <c r="B357" s="136"/>
      <c r="C357" s="53">
        <f t="shared" si="59"/>
        <v>1</v>
      </c>
      <c r="D357" s="951"/>
      <c r="E357" s="53">
        <f t="shared" si="60"/>
        <v>1</v>
      </c>
      <c r="F357" s="951"/>
      <c r="G357" s="53">
        <f t="shared" si="61"/>
        <v>1</v>
      </c>
      <c r="H357" s="951"/>
      <c r="I357" s="53">
        <f t="shared" si="62"/>
        <v>1</v>
      </c>
      <c r="J357" s="951"/>
      <c r="K357" s="53">
        <f t="shared" si="63"/>
        <v>1</v>
      </c>
      <c r="L357" s="951"/>
      <c r="M357" s="53">
        <f t="shared" si="64"/>
        <v>1</v>
      </c>
      <c r="N357" s="951"/>
      <c r="O357" s="53">
        <f t="shared" si="65"/>
        <v>1</v>
      </c>
      <c r="P357" s="951"/>
      <c r="Q357" s="53">
        <f t="shared" si="66"/>
        <v>1</v>
      </c>
      <c r="R357" s="484">
        <f t="shared" si="67"/>
        <v>0</v>
      </c>
      <c r="S357" s="789">
        <f t="shared" si="58"/>
        <v>0</v>
      </c>
    </row>
    <row r="358" spans="1:19">
      <c r="A358" s="953"/>
      <c r="B358" s="136"/>
      <c r="C358" s="53">
        <f t="shared" si="59"/>
        <v>1</v>
      </c>
      <c r="D358" s="951"/>
      <c r="E358" s="53">
        <f t="shared" si="60"/>
        <v>1</v>
      </c>
      <c r="F358" s="951"/>
      <c r="G358" s="53">
        <f t="shared" si="61"/>
        <v>1</v>
      </c>
      <c r="H358" s="951"/>
      <c r="I358" s="53">
        <f t="shared" si="62"/>
        <v>1</v>
      </c>
      <c r="J358" s="951"/>
      <c r="K358" s="53">
        <f t="shared" si="63"/>
        <v>1</v>
      </c>
      <c r="L358" s="951"/>
      <c r="M358" s="53">
        <f t="shared" si="64"/>
        <v>1</v>
      </c>
      <c r="N358" s="951"/>
      <c r="O358" s="53">
        <f t="shared" si="65"/>
        <v>1</v>
      </c>
      <c r="P358" s="951"/>
      <c r="Q358" s="53">
        <f t="shared" si="66"/>
        <v>1</v>
      </c>
      <c r="R358" s="484">
        <f t="shared" si="67"/>
        <v>0</v>
      </c>
      <c r="S358" s="789">
        <f t="shared" si="58"/>
        <v>0</v>
      </c>
    </row>
    <row r="359" spans="1:19">
      <c r="A359" s="953"/>
      <c r="B359" s="136"/>
      <c r="C359" s="53">
        <f t="shared" si="59"/>
        <v>1</v>
      </c>
      <c r="D359" s="951"/>
      <c r="E359" s="53">
        <f t="shared" si="60"/>
        <v>1</v>
      </c>
      <c r="F359" s="951"/>
      <c r="G359" s="53">
        <f t="shared" si="61"/>
        <v>1</v>
      </c>
      <c r="H359" s="951"/>
      <c r="I359" s="53">
        <f t="shared" si="62"/>
        <v>1</v>
      </c>
      <c r="J359" s="951"/>
      <c r="K359" s="53">
        <f t="shared" si="63"/>
        <v>1</v>
      </c>
      <c r="L359" s="951"/>
      <c r="M359" s="53">
        <f t="shared" si="64"/>
        <v>1</v>
      </c>
      <c r="N359" s="951"/>
      <c r="O359" s="53">
        <f t="shared" si="65"/>
        <v>1</v>
      </c>
      <c r="P359" s="951"/>
      <c r="Q359" s="53">
        <f t="shared" si="66"/>
        <v>1</v>
      </c>
      <c r="R359" s="484">
        <f t="shared" si="67"/>
        <v>0</v>
      </c>
      <c r="S359" s="789">
        <f t="shared" si="58"/>
        <v>0</v>
      </c>
    </row>
    <row r="360" spans="1:19">
      <c r="A360" s="953"/>
      <c r="B360" s="136"/>
      <c r="C360" s="53">
        <f t="shared" si="59"/>
        <v>1</v>
      </c>
      <c r="D360" s="951"/>
      <c r="E360" s="53">
        <f t="shared" si="60"/>
        <v>1</v>
      </c>
      <c r="F360" s="951"/>
      <c r="G360" s="53">
        <f t="shared" si="61"/>
        <v>1</v>
      </c>
      <c r="H360" s="951"/>
      <c r="I360" s="53">
        <f t="shared" si="62"/>
        <v>1</v>
      </c>
      <c r="J360" s="951"/>
      <c r="K360" s="53">
        <f t="shared" si="63"/>
        <v>1</v>
      </c>
      <c r="L360" s="951"/>
      <c r="M360" s="53">
        <f t="shared" si="64"/>
        <v>1</v>
      </c>
      <c r="N360" s="951"/>
      <c r="O360" s="53">
        <f t="shared" si="65"/>
        <v>1</v>
      </c>
      <c r="P360" s="951"/>
      <c r="Q360" s="53">
        <f t="shared" si="66"/>
        <v>1</v>
      </c>
      <c r="R360" s="484">
        <f t="shared" si="67"/>
        <v>0</v>
      </c>
      <c r="S360" s="789">
        <f t="shared" si="58"/>
        <v>0</v>
      </c>
    </row>
    <row r="361" spans="1:19">
      <c r="A361" s="953"/>
      <c r="B361" s="136"/>
      <c r="C361" s="53">
        <f t="shared" si="59"/>
        <v>1</v>
      </c>
      <c r="D361" s="951"/>
      <c r="E361" s="53">
        <f t="shared" si="60"/>
        <v>1</v>
      </c>
      <c r="F361" s="951"/>
      <c r="G361" s="53">
        <f t="shared" si="61"/>
        <v>1</v>
      </c>
      <c r="H361" s="951"/>
      <c r="I361" s="53">
        <f t="shared" si="62"/>
        <v>1</v>
      </c>
      <c r="J361" s="951"/>
      <c r="K361" s="53">
        <f t="shared" si="63"/>
        <v>1</v>
      </c>
      <c r="L361" s="951"/>
      <c r="M361" s="53">
        <f t="shared" si="64"/>
        <v>1</v>
      </c>
      <c r="N361" s="951"/>
      <c r="O361" s="53">
        <f t="shared" si="65"/>
        <v>1</v>
      </c>
      <c r="P361" s="951"/>
      <c r="Q361" s="53">
        <f t="shared" si="66"/>
        <v>1</v>
      </c>
      <c r="R361" s="484">
        <f t="shared" si="67"/>
        <v>0</v>
      </c>
      <c r="S361" s="789">
        <f t="shared" si="58"/>
        <v>0</v>
      </c>
    </row>
    <row r="362" spans="1:19">
      <c r="A362" s="953"/>
      <c r="B362" s="136"/>
      <c r="C362" s="53">
        <f t="shared" si="59"/>
        <v>1</v>
      </c>
      <c r="D362" s="951"/>
      <c r="E362" s="53">
        <f t="shared" si="60"/>
        <v>1</v>
      </c>
      <c r="F362" s="951"/>
      <c r="G362" s="53">
        <f t="shared" si="61"/>
        <v>1</v>
      </c>
      <c r="H362" s="951"/>
      <c r="I362" s="53">
        <f t="shared" si="62"/>
        <v>1</v>
      </c>
      <c r="J362" s="951"/>
      <c r="K362" s="53">
        <f t="shared" si="63"/>
        <v>1</v>
      </c>
      <c r="L362" s="951"/>
      <c r="M362" s="53">
        <f t="shared" si="64"/>
        <v>1</v>
      </c>
      <c r="N362" s="951"/>
      <c r="O362" s="53">
        <f t="shared" si="65"/>
        <v>1</v>
      </c>
      <c r="P362" s="951"/>
      <c r="Q362" s="53">
        <f t="shared" si="66"/>
        <v>1</v>
      </c>
      <c r="R362" s="484">
        <f t="shared" si="67"/>
        <v>0</v>
      </c>
      <c r="S362" s="789">
        <f t="shared" si="58"/>
        <v>0</v>
      </c>
    </row>
    <row r="363" spans="1:19">
      <c r="A363" s="953"/>
      <c r="B363" s="136"/>
      <c r="C363" s="53">
        <f t="shared" si="59"/>
        <v>1</v>
      </c>
      <c r="D363" s="951"/>
      <c r="E363" s="53">
        <f t="shared" si="60"/>
        <v>1</v>
      </c>
      <c r="F363" s="951"/>
      <c r="G363" s="53">
        <f t="shared" si="61"/>
        <v>1</v>
      </c>
      <c r="H363" s="951"/>
      <c r="I363" s="53">
        <f t="shared" si="62"/>
        <v>1</v>
      </c>
      <c r="J363" s="951"/>
      <c r="K363" s="53">
        <f t="shared" si="63"/>
        <v>1</v>
      </c>
      <c r="L363" s="951"/>
      <c r="M363" s="53">
        <f t="shared" si="64"/>
        <v>1</v>
      </c>
      <c r="N363" s="951"/>
      <c r="O363" s="53">
        <f t="shared" si="65"/>
        <v>1</v>
      </c>
      <c r="P363" s="951"/>
      <c r="Q363" s="53">
        <f t="shared" si="66"/>
        <v>1</v>
      </c>
      <c r="R363" s="484">
        <f t="shared" si="67"/>
        <v>0</v>
      </c>
      <c r="S363" s="789">
        <f t="shared" si="58"/>
        <v>0</v>
      </c>
    </row>
    <row r="364" spans="1:19">
      <c r="A364" s="953"/>
      <c r="B364" s="136"/>
      <c r="C364" s="53">
        <f t="shared" si="59"/>
        <v>1</v>
      </c>
      <c r="D364" s="951"/>
      <c r="E364" s="53">
        <f t="shared" si="60"/>
        <v>1</v>
      </c>
      <c r="F364" s="951"/>
      <c r="G364" s="53">
        <f t="shared" si="61"/>
        <v>1</v>
      </c>
      <c r="H364" s="951"/>
      <c r="I364" s="53">
        <f t="shared" si="62"/>
        <v>1</v>
      </c>
      <c r="J364" s="951"/>
      <c r="K364" s="53">
        <f t="shared" si="63"/>
        <v>1</v>
      </c>
      <c r="L364" s="951"/>
      <c r="M364" s="53">
        <f t="shared" si="64"/>
        <v>1</v>
      </c>
      <c r="N364" s="951"/>
      <c r="O364" s="53">
        <f t="shared" si="65"/>
        <v>1</v>
      </c>
      <c r="P364" s="951"/>
      <c r="Q364" s="53">
        <f t="shared" si="66"/>
        <v>1</v>
      </c>
      <c r="R364" s="484">
        <f t="shared" si="67"/>
        <v>0</v>
      </c>
      <c r="S364" s="789">
        <f t="shared" si="58"/>
        <v>0</v>
      </c>
    </row>
    <row r="365" spans="1:19">
      <c r="A365" s="953"/>
      <c r="B365" s="136"/>
      <c r="C365" s="53">
        <f t="shared" si="59"/>
        <v>1</v>
      </c>
      <c r="D365" s="951"/>
      <c r="E365" s="53">
        <f t="shared" si="60"/>
        <v>1</v>
      </c>
      <c r="F365" s="951"/>
      <c r="G365" s="53">
        <f t="shared" si="61"/>
        <v>1</v>
      </c>
      <c r="H365" s="951"/>
      <c r="I365" s="53">
        <f t="shared" si="62"/>
        <v>1</v>
      </c>
      <c r="J365" s="951"/>
      <c r="K365" s="53">
        <f t="shared" si="63"/>
        <v>1</v>
      </c>
      <c r="L365" s="951"/>
      <c r="M365" s="53">
        <f t="shared" si="64"/>
        <v>1</v>
      </c>
      <c r="N365" s="951"/>
      <c r="O365" s="53">
        <f t="shared" si="65"/>
        <v>1</v>
      </c>
      <c r="P365" s="951"/>
      <c r="Q365" s="53">
        <f t="shared" si="66"/>
        <v>1</v>
      </c>
      <c r="R365" s="484">
        <f t="shared" si="67"/>
        <v>0</v>
      </c>
      <c r="S365" s="789">
        <f t="shared" si="58"/>
        <v>0</v>
      </c>
    </row>
    <row r="366" spans="1:19">
      <c r="A366" s="953"/>
      <c r="B366" s="136"/>
      <c r="C366" s="53">
        <f t="shared" si="59"/>
        <v>1</v>
      </c>
      <c r="D366" s="951"/>
      <c r="E366" s="53">
        <f t="shared" si="60"/>
        <v>1</v>
      </c>
      <c r="F366" s="951"/>
      <c r="G366" s="53">
        <f t="shared" si="61"/>
        <v>1</v>
      </c>
      <c r="H366" s="951"/>
      <c r="I366" s="53">
        <f t="shared" si="62"/>
        <v>1</v>
      </c>
      <c r="J366" s="951"/>
      <c r="K366" s="53">
        <f t="shared" si="63"/>
        <v>1</v>
      </c>
      <c r="L366" s="951"/>
      <c r="M366" s="53">
        <f t="shared" si="64"/>
        <v>1</v>
      </c>
      <c r="N366" s="951"/>
      <c r="O366" s="53">
        <f t="shared" si="65"/>
        <v>1</v>
      </c>
      <c r="P366" s="951"/>
      <c r="Q366" s="53">
        <f t="shared" si="66"/>
        <v>1</v>
      </c>
      <c r="R366" s="484">
        <f t="shared" si="67"/>
        <v>0</v>
      </c>
      <c r="S366" s="789">
        <f t="shared" si="58"/>
        <v>0</v>
      </c>
    </row>
    <row r="367" spans="1:19">
      <c r="A367" s="953"/>
      <c r="B367" s="136"/>
      <c r="C367" s="53">
        <f t="shared" si="59"/>
        <v>1</v>
      </c>
      <c r="D367" s="951"/>
      <c r="E367" s="53">
        <f t="shared" si="60"/>
        <v>1</v>
      </c>
      <c r="F367" s="951"/>
      <c r="G367" s="53">
        <f t="shared" si="61"/>
        <v>1</v>
      </c>
      <c r="H367" s="951"/>
      <c r="I367" s="53">
        <f t="shared" si="62"/>
        <v>1</v>
      </c>
      <c r="J367" s="951"/>
      <c r="K367" s="53">
        <f t="shared" si="63"/>
        <v>1</v>
      </c>
      <c r="L367" s="951"/>
      <c r="M367" s="53">
        <f t="shared" si="64"/>
        <v>1</v>
      </c>
      <c r="N367" s="951"/>
      <c r="O367" s="53">
        <f t="shared" si="65"/>
        <v>1</v>
      </c>
      <c r="P367" s="951"/>
      <c r="Q367" s="53">
        <f t="shared" si="66"/>
        <v>1</v>
      </c>
      <c r="R367" s="484">
        <f t="shared" si="67"/>
        <v>0</v>
      </c>
      <c r="S367" s="789">
        <f t="shared" si="58"/>
        <v>0</v>
      </c>
    </row>
    <row r="368" spans="1:19">
      <c r="A368" s="953"/>
      <c r="B368" s="136"/>
      <c r="C368" s="53">
        <f t="shared" si="59"/>
        <v>1</v>
      </c>
      <c r="D368" s="951"/>
      <c r="E368" s="53">
        <f t="shared" si="60"/>
        <v>1</v>
      </c>
      <c r="F368" s="951"/>
      <c r="G368" s="53">
        <f t="shared" si="61"/>
        <v>1</v>
      </c>
      <c r="H368" s="951"/>
      <c r="I368" s="53">
        <f t="shared" si="62"/>
        <v>1</v>
      </c>
      <c r="J368" s="951"/>
      <c r="K368" s="53">
        <f t="shared" si="63"/>
        <v>1</v>
      </c>
      <c r="L368" s="951"/>
      <c r="M368" s="53">
        <f t="shared" si="64"/>
        <v>1</v>
      </c>
      <c r="N368" s="951"/>
      <c r="O368" s="53">
        <f t="shared" si="65"/>
        <v>1</v>
      </c>
      <c r="P368" s="951"/>
      <c r="Q368" s="53">
        <f t="shared" si="66"/>
        <v>1</v>
      </c>
      <c r="R368" s="484">
        <f t="shared" si="67"/>
        <v>0</v>
      </c>
      <c r="S368" s="789">
        <f t="shared" si="58"/>
        <v>0</v>
      </c>
    </row>
    <row r="369" spans="1:19">
      <c r="A369" s="953"/>
      <c r="B369" s="136"/>
      <c r="C369" s="53">
        <f t="shared" si="59"/>
        <v>1</v>
      </c>
      <c r="D369" s="951"/>
      <c r="E369" s="53">
        <f t="shared" si="60"/>
        <v>1</v>
      </c>
      <c r="F369" s="951"/>
      <c r="G369" s="53">
        <f t="shared" si="61"/>
        <v>1</v>
      </c>
      <c r="H369" s="951"/>
      <c r="I369" s="53">
        <f t="shared" si="62"/>
        <v>1</v>
      </c>
      <c r="J369" s="951"/>
      <c r="K369" s="53">
        <f t="shared" si="63"/>
        <v>1</v>
      </c>
      <c r="L369" s="951"/>
      <c r="M369" s="53">
        <f t="shared" si="64"/>
        <v>1</v>
      </c>
      <c r="N369" s="951"/>
      <c r="O369" s="53">
        <f t="shared" si="65"/>
        <v>1</v>
      </c>
      <c r="P369" s="951"/>
      <c r="Q369" s="53">
        <f t="shared" si="66"/>
        <v>1</v>
      </c>
      <c r="R369" s="484">
        <f t="shared" si="67"/>
        <v>0</v>
      </c>
      <c r="S369" s="789">
        <f t="shared" si="58"/>
        <v>0</v>
      </c>
    </row>
    <row r="370" spans="1:19">
      <c r="A370" s="953"/>
      <c r="B370" s="136"/>
      <c r="C370" s="53">
        <f t="shared" si="59"/>
        <v>1</v>
      </c>
      <c r="D370" s="951"/>
      <c r="E370" s="53">
        <f t="shared" si="60"/>
        <v>1</v>
      </c>
      <c r="F370" s="951"/>
      <c r="G370" s="53">
        <f t="shared" si="61"/>
        <v>1</v>
      </c>
      <c r="H370" s="951"/>
      <c r="I370" s="53">
        <f t="shared" si="62"/>
        <v>1</v>
      </c>
      <c r="J370" s="951"/>
      <c r="K370" s="53">
        <f t="shared" si="63"/>
        <v>1</v>
      </c>
      <c r="L370" s="951"/>
      <c r="M370" s="53">
        <f t="shared" si="64"/>
        <v>1</v>
      </c>
      <c r="N370" s="951"/>
      <c r="O370" s="53">
        <f t="shared" si="65"/>
        <v>1</v>
      </c>
      <c r="P370" s="951"/>
      <c r="Q370" s="53">
        <f t="shared" si="66"/>
        <v>1</v>
      </c>
      <c r="R370" s="484">
        <f t="shared" si="67"/>
        <v>0</v>
      </c>
      <c r="S370" s="789">
        <f t="shared" si="58"/>
        <v>0</v>
      </c>
    </row>
    <row r="371" spans="1:19">
      <c r="A371" s="953"/>
      <c r="B371" s="136"/>
      <c r="C371" s="53">
        <f t="shared" si="59"/>
        <v>1</v>
      </c>
      <c r="D371" s="951"/>
      <c r="E371" s="53">
        <f t="shared" si="60"/>
        <v>1</v>
      </c>
      <c r="F371" s="951"/>
      <c r="G371" s="53">
        <f t="shared" si="61"/>
        <v>1</v>
      </c>
      <c r="H371" s="951"/>
      <c r="I371" s="53">
        <f t="shared" si="62"/>
        <v>1</v>
      </c>
      <c r="J371" s="951"/>
      <c r="K371" s="53">
        <f t="shared" si="63"/>
        <v>1</v>
      </c>
      <c r="L371" s="951"/>
      <c r="M371" s="53">
        <f t="shared" si="64"/>
        <v>1</v>
      </c>
      <c r="N371" s="951"/>
      <c r="O371" s="53">
        <f t="shared" si="65"/>
        <v>1</v>
      </c>
      <c r="P371" s="951"/>
      <c r="Q371" s="53">
        <f t="shared" si="66"/>
        <v>1</v>
      </c>
      <c r="R371" s="484">
        <f t="shared" si="67"/>
        <v>0</v>
      </c>
      <c r="S371" s="789">
        <f t="shared" si="58"/>
        <v>0</v>
      </c>
    </row>
    <row r="372" spans="1:19">
      <c r="A372" s="953"/>
      <c r="B372" s="136"/>
      <c r="C372" s="53">
        <f t="shared" si="59"/>
        <v>1</v>
      </c>
      <c r="D372" s="951"/>
      <c r="E372" s="53">
        <f t="shared" si="60"/>
        <v>1</v>
      </c>
      <c r="F372" s="951"/>
      <c r="G372" s="53">
        <f t="shared" si="61"/>
        <v>1</v>
      </c>
      <c r="H372" s="951"/>
      <c r="I372" s="53">
        <f t="shared" si="62"/>
        <v>1</v>
      </c>
      <c r="J372" s="951"/>
      <c r="K372" s="53">
        <f t="shared" si="63"/>
        <v>1</v>
      </c>
      <c r="L372" s="951"/>
      <c r="M372" s="53">
        <f t="shared" si="64"/>
        <v>1</v>
      </c>
      <c r="N372" s="951"/>
      <c r="O372" s="53">
        <f t="shared" si="65"/>
        <v>1</v>
      </c>
      <c r="P372" s="951"/>
      <c r="Q372" s="53">
        <f t="shared" si="66"/>
        <v>1</v>
      </c>
      <c r="R372" s="484">
        <f t="shared" si="67"/>
        <v>0</v>
      </c>
      <c r="S372" s="789">
        <f t="shared" si="58"/>
        <v>0</v>
      </c>
    </row>
    <row r="373" spans="1:19">
      <c r="A373" s="953"/>
      <c r="B373" s="136"/>
      <c r="C373" s="53">
        <f t="shared" si="59"/>
        <v>1</v>
      </c>
      <c r="D373" s="951"/>
      <c r="E373" s="53">
        <f t="shared" si="60"/>
        <v>1</v>
      </c>
      <c r="F373" s="951"/>
      <c r="G373" s="53">
        <f t="shared" si="61"/>
        <v>1</v>
      </c>
      <c r="H373" s="951"/>
      <c r="I373" s="53">
        <f t="shared" si="62"/>
        <v>1</v>
      </c>
      <c r="J373" s="951"/>
      <c r="K373" s="53">
        <f t="shared" si="63"/>
        <v>1</v>
      </c>
      <c r="L373" s="951"/>
      <c r="M373" s="53">
        <f t="shared" si="64"/>
        <v>1</v>
      </c>
      <c r="N373" s="951"/>
      <c r="O373" s="53">
        <f t="shared" si="65"/>
        <v>1</v>
      </c>
      <c r="P373" s="951"/>
      <c r="Q373" s="53">
        <f t="shared" si="66"/>
        <v>1</v>
      </c>
      <c r="R373" s="484">
        <f t="shared" si="67"/>
        <v>0</v>
      </c>
      <c r="S373" s="789">
        <f t="shared" si="58"/>
        <v>0</v>
      </c>
    </row>
    <row r="374" spans="1:19">
      <c r="A374" s="953"/>
      <c r="B374" s="136"/>
      <c r="C374" s="53">
        <f t="shared" si="59"/>
        <v>1</v>
      </c>
      <c r="D374" s="951"/>
      <c r="E374" s="53">
        <f t="shared" si="60"/>
        <v>1</v>
      </c>
      <c r="F374" s="951"/>
      <c r="G374" s="53">
        <f t="shared" si="61"/>
        <v>1</v>
      </c>
      <c r="H374" s="951"/>
      <c r="I374" s="53">
        <f t="shared" si="62"/>
        <v>1</v>
      </c>
      <c r="J374" s="951"/>
      <c r="K374" s="53">
        <f t="shared" si="63"/>
        <v>1</v>
      </c>
      <c r="L374" s="951"/>
      <c r="M374" s="53">
        <f t="shared" si="64"/>
        <v>1</v>
      </c>
      <c r="N374" s="951"/>
      <c r="O374" s="53">
        <f t="shared" si="65"/>
        <v>1</v>
      </c>
      <c r="P374" s="951"/>
      <c r="Q374" s="53">
        <f t="shared" si="66"/>
        <v>1</v>
      </c>
      <c r="R374" s="484">
        <f t="shared" si="67"/>
        <v>0</v>
      </c>
      <c r="S374" s="789">
        <f t="shared" si="58"/>
        <v>0</v>
      </c>
    </row>
    <row r="375" spans="1:19">
      <c r="A375" s="953"/>
      <c r="B375" s="136"/>
      <c r="C375" s="53">
        <f t="shared" si="59"/>
        <v>1</v>
      </c>
      <c r="D375" s="951"/>
      <c r="E375" s="53">
        <f t="shared" si="60"/>
        <v>1</v>
      </c>
      <c r="F375" s="951"/>
      <c r="G375" s="53">
        <f t="shared" si="61"/>
        <v>1</v>
      </c>
      <c r="H375" s="951"/>
      <c r="I375" s="53">
        <f t="shared" si="62"/>
        <v>1</v>
      </c>
      <c r="J375" s="951"/>
      <c r="K375" s="53">
        <f t="shared" si="63"/>
        <v>1</v>
      </c>
      <c r="L375" s="951"/>
      <c r="M375" s="53">
        <f t="shared" si="64"/>
        <v>1</v>
      </c>
      <c r="N375" s="951"/>
      <c r="O375" s="53">
        <f t="shared" si="65"/>
        <v>1</v>
      </c>
      <c r="P375" s="951"/>
      <c r="Q375" s="53">
        <f t="shared" si="66"/>
        <v>1</v>
      </c>
      <c r="R375" s="484">
        <f t="shared" si="67"/>
        <v>0</v>
      </c>
      <c r="S375" s="789">
        <f t="shared" si="58"/>
        <v>0</v>
      </c>
    </row>
    <row r="376" spans="1:19">
      <c r="A376" s="953"/>
      <c r="B376" s="136"/>
      <c r="C376" s="53">
        <f t="shared" si="59"/>
        <v>1</v>
      </c>
      <c r="D376" s="951"/>
      <c r="E376" s="53">
        <f t="shared" si="60"/>
        <v>1</v>
      </c>
      <c r="F376" s="951"/>
      <c r="G376" s="53">
        <f t="shared" si="61"/>
        <v>1</v>
      </c>
      <c r="H376" s="951"/>
      <c r="I376" s="53">
        <f t="shared" si="62"/>
        <v>1</v>
      </c>
      <c r="J376" s="951"/>
      <c r="K376" s="53">
        <f t="shared" si="63"/>
        <v>1</v>
      </c>
      <c r="L376" s="951"/>
      <c r="M376" s="53">
        <f t="shared" si="64"/>
        <v>1</v>
      </c>
      <c r="N376" s="951"/>
      <c r="O376" s="53">
        <f t="shared" si="65"/>
        <v>1</v>
      </c>
      <c r="P376" s="951"/>
      <c r="Q376" s="53">
        <f t="shared" si="66"/>
        <v>1</v>
      </c>
      <c r="R376" s="484">
        <f t="shared" si="67"/>
        <v>0</v>
      </c>
      <c r="S376" s="789">
        <f t="shared" si="58"/>
        <v>0</v>
      </c>
    </row>
    <row r="377" spans="1:19">
      <c r="A377" s="953"/>
      <c r="B377" s="136"/>
      <c r="C377" s="53">
        <f t="shared" si="59"/>
        <v>1</v>
      </c>
      <c r="D377" s="951"/>
      <c r="E377" s="53">
        <f t="shared" si="60"/>
        <v>1</v>
      </c>
      <c r="F377" s="951"/>
      <c r="G377" s="53">
        <f t="shared" si="61"/>
        <v>1</v>
      </c>
      <c r="H377" s="951"/>
      <c r="I377" s="53">
        <f t="shared" si="62"/>
        <v>1</v>
      </c>
      <c r="J377" s="951"/>
      <c r="K377" s="53">
        <f t="shared" si="63"/>
        <v>1</v>
      </c>
      <c r="L377" s="951"/>
      <c r="M377" s="53">
        <f t="shared" si="64"/>
        <v>1</v>
      </c>
      <c r="N377" s="951"/>
      <c r="O377" s="53">
        <f t="shared" si="65"/>
        <v>1</v>
      </c>
      <c r="P377" s="951"/>
      <c r="Q377" s="53">
        <f t="shared" si="66"/>
        <v>1</v>
      </c>
      <c r="R377" s="484">
        <f t="shared" si="67"/>
        <v>0</v>
      </c>
      <c r="S377" s="789">
        <f t="shared" si="58"/>
        <v>0</v>
      </c>
    </row>
    <row r="378" spans="1:19">
      <c r="A378" s="953"/>
      <c r="B378" s="136"/>
      <c r="C378" s="53">
        <f t="shared" si="59"/>
        <v>1</v>
      </c>
      <c r="D378" s="951"/>
      <c r="E378" s="53">
        <f t="shared" si="60"/>
        <v>1</v>
      </c>
      <c r="F378" s="951"/>
      <c r="G378" s="53">
        <f t="shared" si="61"/>
        <v>1</v>
      </c>
      <c r="H378" s="951"/>
      <c r="I378" s="53">
        <f t="shared" si="62"/>
        <v>1</v>
      </c>
      <c r="J378" s="951"/>
      <c r="K378" s="53">
        <f t="shared" si="63"/>
        <v>1</v>
      </c>
      <c r="L378" s="951"/>
      <c r="M378" s="53">
        <f t="shared" si="64"/>
        <v>1</v>
      </c>
      <c r="N378" s="951"/>
      <c r="O378" s="53">
        <f t="shared" si="65"/>
        <v>1</v>
      </c>
      <c r="P378" s="951"/>
      <c r="Q378" s="53">
        <f t="shared" si="66"/>
        <v>1</v>
      </c>
      <c r="R378" s="484">
        <f t="shared" si="67"/>
        <v>0</v>
      </c>
      <c r="S378" s="789">
        <f t="shared" si="58"/>
        <v>0</v>
      </c>
    </row>
    <row r="379" spans="1:19">
      <c r="A379" s="953"/>
      <c r="B379" s="136"/>
      <c r="C379" s="53">
        <f t="shared" si="59"/>
        <v>1</v>
      </c>
      <c r="D379" s="951"/>
      <c r="E379" s="53">
        <f t="shared" si="60"/>
        <v>1</v>
      </c>
      <c r="F379" s="951"/>
      <c r="G379" s="53">
        <f t="shared" si="61"/>
        <v>1</v>
      </c>
      <c r="H379" s="951"/>
      <c r="I379" s="53">
        <f t="shared" si="62"/>
        <v>1</v>
      </c>
      <c r="J379" s="951"/>
      <c r="K379" s="53">
        <f t="shared" si="63"/>
        <v>1</v>
      </c>
      <c r="L379" s="951"/>
      <c r="M379" s="53">
        <f t="shared" si="64"/>
        <v>1</v>
      </c>
      <c r="N379" s="951"/>
      <c r="O379" s="53">
        <f t="shared" si="65"/>
        <v>1</v>
      </c>
      <c r="P379" s="951"/>
      <c r="Q379" s="53">
        <f t="shared" si="66"/>
        <v>1</v>
      </c>
      <c r="R379" s="484">
        <f t="shared" si="67"/>
        <v>0</v>
      </c>
      <c r="S379" s="789">
        <f t="shared" si="58"/>
        <v>0</v>
      </c>
    </row>
    <row r="380" spans="1:19">
      <c r="A380" s="953"/>
      <c r="B380" s="136"/>
      <c r="C380" s="53">
        <f t="shared" si="59"/>
        <v>1</v>
      </c>
      <c r="D380" s="951"/>
      <c r="E380" s="53">
        <f t="shared" si="60"/>
        <v>1</v>
      </c>
      <c r="F380" s="951"/>
      <c r="G380" s="53">
        <f t="shared" si="61"/>
        <v>1</v>
      </c>
      <c r="H380" s="951"/>
      <c r="I380" s="53">
        <f t="shared" si="62"/>
        <v>1</v>
      </c>
      <c r="J380" s="951"/>
      <c r="K380" s="53">
        <f t="shared" si="63"/>
        <v>1</v>
      </c>
      <c r="L380" s="951"/>
      <c r="M380" s="53">
        <f t="shared" si="64"/>
        <v>1</v>
      </c>
      <c r="N380" s="951"/>
      <c r="O380" s="53">
        <f t="shared" si="65"/>
        <v>1</v>
      </c>
      <c r="P380" s="951"/>
      <c r="Q380" s="53">
        <f t="shared" si="66"/>
        <v>1</v>
      </c>
      <c r="R380" s="484">
        <f t="shared" si="67"/>
        <v>0</v>
      </c>
      <c r="S380" s="789">
        <f t="shared" si="58"/>
        <v>0</v>
      </c>
    </row>
    <row r="381" spans="1:19">
      <c r="A381" s="953"/>
      <c r="B381" s="136"/>
      <c r="C381" s="53">
        <f t="shared" si="59"/>
        <v>1</v>
      </c>
      <c r="D381" s="951"/>
      <c r="E381" s="53">
        <f t="shared" si="60"/>
        <v>1</v>
      </c>
      <c r="F381" s="951"/>
      <c r="G381" s="53">
        <f t="shared" si="61"/>
        <v>1</v>
      </c>
      <c r="H381" s="951"/>
      <c r="I381" s="53">
        <f t="shared" si="62"/>
        <v>1</v>
      </c>
      <c r="J381" s="951"/>
      <c r="K381" s="53">
        <f t="shared" si="63"/>
        <v>1</v>
      </c>
      <c r="L381" s="951"/>
      <c r="M381" s="53">
        <f t="shared" si="64"/>
        <v>1</v>
      </c>
      <c r="N381" s="951"/>
      <c r="O381" s="53">
        <f t="shared" si="65"/>
        <v>1</v>
      </c>
      <c r="P381" s="951"/>
      <c r="Q381" s="53">
        <f t="shared" si="66"/>
        <v>1</v>
      </c>
      <c r="R381" s="484">
        <f t="shared" si="67"/>
        <v>0</v>
      </c>
      <c r="S381" s="789">
        <f t="shared" si="58"/>
        <v>0</v>
      </c>
    </row>
    <row r="382" spans="1:19">
      <c r="A382" s="953"/>
      <c r="B382" s="136"/>
      <c r="C382" s="53">
        <f t="shared" si="59"/>
        <v>1</v>
      </c>
      <c r="D382" s="951"/>
      <c r="E382" s="53">
        <f t="shared" si="60"/>
        <v>1</v>
      </c>
      <c r="F382" s="951"/>
      <c r="G382" s="53">
        <f t="shared" si="61"/>
        <v>1</v>
      </c>
      <c r="H382" s="951"/>
      <c r="I382" s="53">
        <f t="shared" si="62"/>
        <v>1</v>
      </c>
      <c r="J382" s="951"/>
      <c r="K382" s="53">
        <f t="shared" si="63"/>
        <v>1</v>
      </c>
      <c r="L382" s="951"/>
      <c r="M382" s="53">
        <f t="shared" si="64"/>
        <v>1</v>
      </c>
      <c r="N382" s="951"/>
      <c r="O382" s="53">
        <f t="shared" si="65"/>
        <v>1</v>
      </c>
      <c r="P382" s="951"/>
      <c r="Q382" s="53">
        <f t="shared" si="66"/>
        <v>1</v>
      </c>
      <c r="R382" s="484">
        <f t="shared" si="67"/>
        <v>0</v>
      </c>
      <c r="S382" s="789">
        <f t="shared" si="58"/>
        <v>0</v>
      </c>
    </row>
    <row r="383" spans="1:19">
      <c r="A383" s="953"/>
      <c r="B383" s="136"/>
      <c r="C383" s="53">
        <f t="shared" si="59"/>
        <v>1</v>
      </c>
      <c r="D383" s="951"/>
      <c r="E383" s="53">
        <f t="shared" si="60"/>
        <v>1</v>
      </c>
      <c r="F383" s="951"/>
      <c r="G383" s="53">
        <f t="shared" si="61"/>
        <v>1</v>
      </c>
      <c r="H383" s="951"/>
      <c r="I383" s="53">
        <f t="shared" si="62"/>
        <v>1</v>
      </c>
      <c r="J383" s="951"/>
      <c r="K383" s="53">
        <f t="shared" si="63"/>
        <v>1</v>
      </c>
      <c r="L383" s="951"/>
      <c r="M383" s="53">
        <f t="shared" si="64"/>
        <v>1</v>
      </c>
      <c r="N383" s="951"/>
      <c r="O383" s="53">
        <f t="shared" si="65"/>
        <v>1</v>
      </c>
      <c r="P383" s="951"/>
      <c r="Q383" s="53">
        <f t="shared" si="66"/>
        <v>1</v>
      </c>
      <c r="R383" s="484">
        <f t="shared" si="67"/>
        <v>0</v>
      </c>
      <c r="S383" s="789">
        <f t="shared" si="58"/>
        <v>0</v>
      </c>
    </row>
    <row r="384" spans="1:19">
      <c r="A384" s="953"/>
      <c r="B384" s="136"/>
      <c r="C384" s="53">
        <f t="shared" si="59"/>
        <v>1</v>
      </c>
      <c r="D384" s="951"/>
      <c r="E384" s="53">
        <f t="shared" si="60"/>
        <v>1</v>
      </c>
      <c r="F384" s="951"/>
      <c r="G384" s="53">
        <f t="shared" si="61"/>
        <v>1</v>
      </c>
      <c r="H384" s="951"/>
      <c r="I384" s="53">
        <f t="shared" si="62"/>
        <v>1</v>
      </c>
      <c r="J384" s="951"/>
      <c r="K384" s="53">
        <f t="shared" si="63"/>
        <v>1</v>
      </c>
      <c r="L384" s="951"/>
      <c r="M384" s="53">
        <f t="shared" si="64"/>
        <v>1</v>
      </c>
      <c r="N384" s="951"/>
      <c r="O384" s="53">
        <f t="shared" si="65"/>
        <v>1</v>
      </c>
      <c r="P384" s="951"/>
      <c r="Q384" s="53">
        <f t="shared" si="66"/>
        <v>1</v>
      </c>
      <c r="R384" s="484">
        <f t="shared" si="67"/>
        <v>0</v>
      </c>
      <c r="S384" s="789">
        <f t="shared" si="58"/>
        <v>0</v>
      </c>
    </row>
    <row r="385" spans="1:19">
      <c r="A385" s="953"/>
      <c r="B385" s="136"/>
      <c r="C385" s="53">
        <f t="shared" si="59"/>
        <v>1</v>
      </c>
      <c r="D385" s="951"/>
      <c r="E385" s="53">
        <f t="shared" si="60"/>
        <v>1</v>
      </c>
      <c r="F385" s="951"/>
      <c r="G385" s="53">
        <f t="shared" si="61"/>
        <v>1</v>
      </c>
      <c r="H385" s="951"/>
      <c r="I385" s="53">
        <f t="shared" si="62"/>
        <v>1</v>
      </c>
      <c r="J385" s="951"/>
      <c r="K385" s="53">
        <f t="shared" si="63"/>
        <v>1</v>
      </c>
      <c r="L385" s="951"/>
      <c r="M385" s="53">
        <f t="shared" si="64"/>
        <v>1</v>
      </c>
      <c r="N385" s="951"/>
      <c r="O385" s="53">
        <f t="shared" si="65"/>
        <v>1</v>
      </c>
      <c r="P385" s="951"/>
      <c r="Q385" s="53">
        <f t="shared" si="66"/>
        <v>1</v>
      </c>
      <c r="R385" s="484">
        <f t="shared" si="67"/>
        <v>0</v>
      </c>
      <c r="S385" s="789">
        <f t="shared" ref="S385:S422" si="68">ROUND(R385*B385/10000,0)</f>
        <v>0</v>
      </c>
    </row>
    <row r="386" spans="1:19">
      <c r="A386" s="953"/>
      <c r="B386" s="136"/>
      <c r="C386" s="53">
        <f t="shared" si="59"/>
        <v>1</v>
      </c>
      <c r="D386" s="951"/>
      <c r="E386" s="53">
        <f t="shared" si="60"/>
        <v>1</v>
      </c>
      <c r="F386" s="951"/>
      <c r="G386" s="53">
        <f t="shared" si="61"/>
        <v>1</v>
      </c>
      <c r="H386" s="951"/>
      <c r="I386" s="53">
        <f t="shared" si="62"/>
        <v>1</v>
      </c>
      <c r="J386" s="951"/>
      <c r="K386" s="53">
        <f t="shared" si="63"/>
        <v>1</v>
      </c>
      <c r="L386" s="951"/>
      <c r="M386" s="53">
        <f t="shared" si="64"/>
        <v>1</v>
      </c>
      <c r="N386" s="951"/>
      <c r="O386" s="53">
        <f t="shared" si="65"/>
        <v>1</v>
      </c>
      <c r="P386" s="951"/>
      <c r="Q386" s="53">
        <f t="shared" si="66"/>
        <v>1</v>
      </c>
      <c r="R386" s="484">
        <f t="shared" si="67"/>
        <v>0</v>
      </c>
      <c r="S386" s="789">
        <f t="shared" si="68"/>
        <v>0</v>
      </c>
    </row>
    <row r="387" spans="1:19">
      <c r="A387" s="953"/>
      <c r="B387" s="136"/>
      <c r="C387" s="53">
        <f t="shared" si="59"/>
        <v>1</v>
      </c>
      <c r="D387" s="951"/>
      <c r="E387" s="53">
        <f t="shared" si="60"/>
        <v>1</v>
      </c>
      <c r="F387" s="951"/>
      <c r="G387" s="53">
        <f t="shared" si="61"/>
        <v>1</v>
      </c>
      <c r="H387" s="951"/>
      <c r="I387" s="53">
        <f t="shared" si="62"/>
        <v>1</v>
      </c>
      <c r="J387" s="951"/>
      <c r="K387" s="53">
        <f t="shared" si="63"/>
        <v>1</v>
      </c>
      <c r="L387" s="951"/>
      <c r="M387" s="53">
        <f t="shared" si="64"/>
        <v>1</v>
      </c>
      <c r="N387" s="951"/>
      <c r="O387" s="53">
        <f t="shared" si="65"/>
        <v>1</v>
      </c>
      <c r="P387" s="951"/>
      <c r="Q387" s="53">
        <f t="shared" si="66"/>
        <v>1</v>
      </c>
      <c r="R387" s="484">
        <f t="shared" si="67"/>
        <v>0</v>
      </c>
      <c r="S387" s="789">
        <f t="shared" si="68"/>
        <v>0</v>
      </c>
    </row>
    <row r="388" spans="1:19">
      <c r="A388" s="953"/>
      <c r="B388" s="136"/>
      <c r="C388" s="53">
        <f t="shared" si="59"/>
        <v>1</v>
      </c>
      <c r="D388" s="951"/>
      <c r="E388" s="53">
        <f t="shared" si="60"/>
        <v>1</v>
      </c>
      <c r="F388" s="951"/>
      <c r="G388" s="53">
        <f t="shared" si="61"/>
        <v>1</v>
      </c>
      <c r="H388" s="951"/>
      <c r="I388" s="53">
        <f t="shared" si="62"/>
        <v>1</v>
      </c>
      <c r="J388" s="951"/>
      <c r="K388" s="53">
        <f t="shared" si="63"/>
        <v>1</v>
      </c>
      <c r="L388" s="951"/>
      <c r="M388" s="53">
        <f t="shared" si="64"/>
        <v>1</v>
      </c>
      <c r="N388" s="951"/>
      <c r="O388" s="53">
        <f t="shared" si="65"/>
        <v>1</v>
      </c>
      <c r="P388" s="951"/>
      <c r="Q388" s="53">
        <f t="shared" si="66"/>
        <v>1</v>
      </c>
      <c r="R388" s="484">
        <f t="shared" si="67"/>
        <v>0</v>
      </c>
      <c r="S388" s="789">
        <f t="shared" si="68"/>
        <v>0</v>
      </c>
    </row>
    <row r="389" spans="1:19">
      <c r="A389" s="953"/>
      <c r="B389" s="136"/>
      <c r="C389" s="53">
        <f t="shared" si="59"/>
        <v>1</v>
      </c>
      <c r="D389" s="951"/>
      <c r="E389" s="53">
        <f t="shared" si="60"/>
        <v>1</v>
      </c>
      <c r="F389" s="951"/>
      <c r="G389" s="53">
        <f t="shared" si="61"/>
        <v>1</v>
      </c>
      <c r="H389" s="951"/>
      <c r="I389" s="53">
        <f t="shared" si="62"/>
        <v>1</v>
      </c>
      <c r="J389" s="951"/>
      <c r="K389" s="53">
        <f t="shared" si="63"/>
        <v>1</v>
      </c>
      <c r="L389" s="951"/>
      <c r="M389" s="53">
        <f t="shared" si="64"/>
        <v>1</v>
      </c>
      <c r="N389" s="951"/>
      <c r="O389" s="53">
        <f t="shared" si="65"/>
        <v>1</v>
      </c>
      <c r="P389" s="951"/>
      <c r="Q389" s="53">
        <f t="shared" si="66"/>
        <v>1</v>
      </c>
      <c r="R389" s="484">
        <f t="shared" si="67"/>
        <v>0</v>
      </c>
      <c r="S389" s="789">
        <f t="shared" si="68"/>
        <v>0</v>
      </c>
    </row>
    <row r="390" spans="1:19">
      <c r="A390" s="953"/>
      <c r="B390" s="136"/>
      <c r="C390" s="53">
        <f t="shared" si="59"/>
        <v>1</v>
      </c>
      <c r="D390" s="951"/>
      <c r="E390" s="53">
        <f t="shared" si="60"/>
        <v>1</v>
      </c>
      <c r="F390" s="951"/>
      <c r="G390" s="53">
        <f t="shared" si="61"/>
        <v>1</v>
      </c>
      <c r="H390" s="951"/>
      <c r="I390" s="53">
        <f t="shared" si="62"/>
        <v>1</v>
      </c>
      <c r="J390" s="951"/>
      <c r="K390" s="53">
        <f t="shared" si="63"/>
        <v>1</v>
      </c>
      <c r="L390" s="951"/>
      <c r="M390" s="53">
        <f t="shared" si="64"/>
        <v>1</v>
      </c>
      <c r="N390" s="951"/>
      <c r="O390" s="53">
        <f t="shared" si="65"/>
        <v>1</v>
      </c>
      <c r="P390" s="951"/>
      <c r="Q390" s="53">
        <f t="shared" si="66"/>
        <v>1</v>
      </c>
      <c r="R390" s="484">
        <f t="shared" si="67"/>
        <v>0</v>
      </c>
      <c r="S390" s="789">
        <f t="shared" si="68"/>
        <v>0</v>
      </c>
    </row>
    <row r="391" spans="1:19">
      <c r="A391" s="953"/>
      <c r="B391" s="136"/>
      <c r="C391" s="53">
        <f t="shared" si="59"/>
        <v>1</v>
      </c>
      <c r="D391" s="951"/>
      <c r="E391" s="53">
        <f t="shared" si="60"/>
        <v>1</v>
      </c>
      <c r="F391" s="951"/>
      <c r="G391" s="53">
        <f t="shared" si="61"/>
        <v>1</v>
      </c>
      <c r="H391" s="951"/>
      <c r="I391" s="53">
        <f t="shared" si="62"/>
        <v>1</v>
      </c>
      <c r="J391" s="951"/>
      <c r="K391" s="53">
        <f t="shared" si="63"/>
        <v>1</v>
      </c>
      <c r="L391" s="951"/>
      <c r="M391" s="53">
        <f t="shared" si="64"/>
        <v>1</v>
      </c>
      <c r="N391" s="951"/>
      <c r="O391" s="53">
        <f t="shared" si="65"/>
        <v>1</v>
      </c>
      <c r="P391" s="951"/>
      <c r="Q391" s="53">
        <f t="shared" si="66"/>
        <v>1</v>
      </c>
      <c r="R391" s="484">
        <f t="shared" si="67"/>
        <v>0</v>
      </c>
      <c r="S391" s="789">
        <f t="shared" si="68"/>
        <v>0</v>
      </c>
    </row>
    <row r="392" spans="1:19">
      <c r="A392" s="953"/>
      <c r="B392" s="136"/>
      <c r="C392" s="53">
        <f t="shared" si="59"/>
        <v>1</v>
      </c>
      <c r="D392" s="951"/>
      <c r="E392" s="53">
        <f t="shared" si="60"/>
        <v>1</v>
      </c>
      <c r="F392" s="951"/>
      <c r="G392" s="53">
        <f t="shared" si="61"/>
        <v>1</v>
      </c>
      <c r="H392" s="951"/>
      <c r="I392" s="53">
        <f t="shared" si="62"/>
        <v>1</v>
      </c>
      <c r="J392" s="951"/>
      <c r="K392" s="53">
        <f t="shared" si="63"/>
        <v>1</v>
      </c>
      <c r="L392" s="951"/>
      <c r="M392" s="53">
        <f t="shared" si="64"/>
        <v>1</v>
      </c>
      <c r="N392" s="951"/>
      <c r="O392" s="53">
        <f t="shared" si="65"/>
        <v>1</v>
      </c>
      <c r="P392" s="951"/>
      <c r="Q392" s="53">
        <f t="shared" si="66"/>
        <v>1</v>
      </c>
      <c r="R392" s="484">
        <f t="shared" si="67"/>
        <v>0</v>
      </c>
      <c r="S392" s="789">
        <f t="shared" si="68"/>
        <v>0</v>
      </c>
    </row>
    <row r="393" spans="1:19">
      <c r="A393" s="953"/>
      <c r="B393" s="136"/>
      <c r="C393" s="53">
        <f t="shared" si="59"/>
        <v>1</v>
      </c>
      <c r="D393" s="951"/>
      <c r="E393" s="53">
        <f t="shared" si="60"/>
        <v>1</v>
      </c>
      <c r="F393" s="951"/>
      <c r="G393" s="53">
        <f t="shared" si="61"/>
        <v>1</v>
      </c>
      <c r="H393" s="951"/>
      <c r="I393" s="53">
        <f t="shared" si="62"/>
        <v>1</v>
      </c>
      <c r="J393" s="951"/>
      <c r="K393" s="53">
        <f t="shared" si="63"/>
        <v>1</v>
      </c>
      <c r="L393" s="951"/>
      <c r="M393" s="53">
        <f t="shared" si="64"/>
        <v>1</v>
      </c>
      <c r="N393" s="951"/>
      <c r="O393" s="53">
        <f t="shared" si="65"/>
        <v>1</v>
      </c>
      <c r="P393" s="951"/>
      <c r="Q393" s="53">
        <f t="shared" si="66"/>
        <v>1</v>
      </c>
      <c r="R393" s="484">
        <f t="shared" si="67"/>
        <v>0</v>
      </c>
      <c r="S393" s="789">
        <f t="shared" si="68"/>
        <v>0</v>
      </c>
    </row>
    <row r="394" spans="1:19">
      <c r="A394" s="953"/>
      <c r="B394" s="136"/>
      <c r="C394" s="53">
        <f t="shared" si="59"/>
        <v>1</v>
      </c>
      <c r="D394" s="951"/>
      <c r="E394" s="53">
        <f t="shared" si="60"/>
        <v>1</v>
      </c>
      <c r="F394" s="951"/>
      <c r="G394" s="53">
        <f t="shared" si="61"/>
        <v>1</v>
      </c>
      <c r="H394" s="951"/>
      <c r="I394" s="53">
        <f t="shared" si="62"/>
        <v>1</v>
      </c>
      <c r="J394" s="951"/>
      <c r="K394" s="53">
        <f t="shared" si="63"/>
        <v>1</v>
      </c>
      <c r="L394" s="951"/>
      <c r="M394" s="53">
        <f t="shared" si="64"/>
        <v>1</v>
      </c>
      <c r="N394" s="951"/>
      <c r="O394" s="53">
        <f t="shared" si="65"/>
        <v>1</v>
      </c>
      <c r="P394" s="951"/>
      <c r="Q394" s="53">
        <f t="shared" si="66"/>
        <v>1</v>
      </c>
      <c r="R394" s="484">
        <f t="shared" si="67"/>
        <v>0</v>
      </c>
      <c r="S394" s="789">
        <f t="shared" si="68"/>
        <v>0</v>
      </c>
    </row>
    <row r="395" spans="1:19">
      <c r="A395" s="953"/>
      <c r="B395" s="136"/>
      <c r="C395" s="53">
        <f t="shared" si="59"/>
        <v>1</v>
      </c>
      <c r="D395" s="951"/>
      <c r="E395" s="53">
        <f t="shared" si="60"/>
        <v>1</v>
      </c>
      <c r="F395" s="951"/>
      <c r="G395" s="53">
        <f t="shared" si="61"/>
        <v>1</v>
      </c>
      <c r="H395" s="951"/>
      <c r="I395" s="53">
        <f t="shared" si="62"/>
        <v>1</v>
      </c>
      <c r="J395" s="951"/>
      <c r="K395" s="53">
        <f t="shared" si="63"/>
        <v>1</v>
      </c>
      <c r="L395" s="951"/>
      <c r="M395" s="53">
        <f t="shared" si="64"/>
        <v>1</v>
      </c>
      <c r="N395" s="951"/>
      <c r="O395" s="53">
        <f t="shared" si="65"/>
        <v>1</v>
      </c>
      <c r="P395" s="951"/>
      <c r="Q395" s="53">
        <f t="shared" si="66"/>
        <v>1</v>
      </c>
      <c r="R395" s="484">
        <f t="shared" si="67"/>
        <v>0</v>
      </c>
      <c r="S395" s="789">
        <f t="shared" si="68"/>
        <v>0</v>
      </c>
    </row>
    <row r="396" spans="1:19">
      <c r="A396" s="953"/>
      <c r="B396" s="136"/>
      <c r="C396" s="53">
        <f t="shared" si="59"/>
        <v>1</v>
      </c>
      <c r="D396" s="951"/>
      <c r="E396" s="53">
        <f t="shared" si="60"/>
        <v>1</v>
      </c>
      <c r="F396" s="951"/>
      <c r="G396" s="53">
        <f t="shared" si="61"/>
        <v>1</v>
      </c>
      <c r="H396" s="951"/>
      <c r="I396" s="53">
        <f t="shared" si="62"/>
        <v>1</v>
      </c>
      <c r="J396" s="951"/>
      <c r="K396" s="53">
        <f t="shared" si="63"/>
        <v>1</v>
      </c>
      <c r="L396" s="951"/>
      <c r="M396" s="53">
        <f t="shared" si="64"/>
        <v>1</v>
      </c>
      <c r="N396" s="951"/>
      <c r="O396" s="53">
        <f t="shared" si="65"/>
        <v>1</v>
      </c>
      <c r="P396" s="951"/>
      <c r="Q396" s="53">
        <f t="shared" si="66"/>
        <v>1</v>
      </c>
      <c r="R396" s="484">
        <f t="shared" si="67"/>
        <v>0</v>
      </c>
      <c r="S396" s="789">
        <f t="shared" si="68"/>
        <v>0</v>
      </c>
    </row>
    <row r="397" spans="1:19">
      <c r="A397" s="953"/>
      <c r="B397" s="136"/>
      <c r="C397" s="53">
        <f t="shared" si="59"/>
        <v>1</v>
      </c>
      <c r="D397" s="951"/>
      <c r="E397" s="53">
        <f t="shared" si="60"/>
        <v>1</v>
      </c>
      <c r="F397" s="951"/>
      <c r="G397" s="53">
        <f t="shared" si="61"/>
        <v>1</v>
      </c>
      <c r="H397" s="951"/>
      <c r="I397" s="53">
        <f t="shared" si="62"/>
        <v>1</v>
      </c>
      <c r="J397" s="951"/>
      <c r="K397" s="53">
        <f t="shared" si="63"/>
        <v>1</v>
      </c>
      <c r="L397" s="951"/>
      <c r="M397" s="53">
        <f t="shared" si="64"/>
        <v>1</v>
      </c>
      <c r="N397" s="951"/>
      <c r="O397" s="53">
        <f t="shared" si="65"/>
        <v>1</v>
      </c>
      <c r="P397" s="951"/>
      <c r="Q397" s="53">
        <f t="shared" si="66"/>
        <v>1</v>
      </c>
      <c r="R397" s="484">
        <f t="shared" si="67"/>
        <v>0</v>
      </c>
      <c r="S397" s="789">
        <f t="shared" si="68"/>
        <v>0</v>
      </c>
    </row>
    <row r="398" spans="1:19">
      <c r="A398" s="953"/>
      <c r="B398" s="136"/>
      <c r="C398" s="53">
        <f t="shared" si="59"/>
        <v>1</v>
      </c>
      <c r="D398" s="951"/>
      <c r="E398" s="53">
        <f t="shared" si="60"/>
        <v>1</v>
      </c>
      <c r="F398" s="951"/>
      <c r="G398" s="53">
        <f t="shared" si="61"/>
        <v>1</v>
      </c>
      <c r="H398" s="951"/>
      <c r="I398" s="53">
        <f t="shared" si="62"/>
        <v>1</v>
      </c>
      <c r="J398" s="951"/>
      <c r="K398" s="53">
        <f t="shared" si="63"/>
        <v>1</v>
      </c>
      <c r="L398" s="951"/>
      <c r="M398" s="53">
        <f t="shared" si="64"/>
        <v>1</v>
      </c>
      <c r="N398" s="951"/>
      <c r="O398" s="53">
        <f t="shared" si="65"/>
        <v>1</v>
      </c>
      <c r="P398" s="951"/>
      <c r="Q398" s="53">
        <f t="shared" si="66"/>
        <v>1</v>
      </c>
      <c r="R398" s="484">
        <f t="shared" si="67"/>
        <v>0</v>
      </c>
      <c r="S398" s="789">
        <f t="shared" si="68"/>
        <v>0</v>
      </c>
    </row>
    <row r="399" spans="1:19">
      <c r="A399" s="953"/>
      <c r="B399" s="136"/>
      <c r="C399" s="53">
        <f t="shared" si="59"/>
        <v>1</v>
      </c>
      <c r="D399" s="951"/>
      <c r="E399" s="53">
        <f t="shared" si="60"/>
        <v>1</v>
      </c>
      <c r="F399" s="951"/>
      <c r="G399" s="53">
        <f t="shared" si="61"/>
        <v>1</v>
      </c>
      <c r="H399" s="951"/>
      <c r="I399" s="53">
        <f t="shared" si="62"/>
        <v>1</v>
      </c>
      <c r="J399" s="951"/>
      <c r="K399" s="53">
        <f t="shared" si="63"/>
        <v>1</v>
      </c>
      <c r="L399" s="951"/>
      <c r="M399" s="53">
        <f t="shared" si="64"/>
        <v>1</v>
      </c>
      <c r="N399" s="951"/>
      <c r="O399" s="53">
        <f t="shared" si="65"/>
        <v>1</v>
      </c>
      <c r="P399" s="951"/>
      <c r="Q399" s="53">
        <f t="shared" si="66"/>
        <v>1</v>
      </c>
      <c r="R399" s="484">
        <f t="shared" si="67"/>
        <v>0</v>
      </c>
      <c r="S399" s="789">
        <f t="shared" si="68"/>
        <v>0</v>
      </c>
    </row>
    <row r="400" spans="1:19">
      <c r="A400" s="953"/>
      <c r="B400" s="136"/>
      <c r="C400" s="53">
        <f t="shared" si="59"/>
        <v>1</v>
      </c>
      <c r="D400" s="951"/>
      <c r="E400" s="53">
        <f t="shared" si="60"/>
        <v>1</v>
      </c>
      <c r="F400" s="951"/>
      <c r="G400" s="53">
        <f t="shared" si="61"/>
        <v>1</v>
      </c>
      <c r="H400" s="951"/>
      <c r="I400" s="53">
        <f t="shared" si="62"/>
        <v>1</v>
      </c>
      <c r="J400" s="951"/>
      <c r="K400" s="53">
        <f t="shared" si="63"/>
        <v>1</v>
      </c>
      <c r="L400" s="951"/>
      <c r="M400" s="53">
        <f t="shared" si="64"/>
        <v>1</v>
      </c>
      <c r="N400" s="951"/>
      <c r="O400" s="53">
        <f t="shared" si="65"/>
        <v>1</v>
      </c>
      <c r="P400" s="951"/>
      <c r="Q400" s="53">
        <f t="shared" si="66"/>
        <v>1</v>
      </c>
      <c r="R400" s="484">
        <f t="shared" si="67"/>
        <v>0</v>
      </c>
      <c r="S400" s="789">
        <f t="shared" si="68"/>
        <v>0</v>
      </c>
    </row>
    <row r="401" spans="1:19">
      <c r="A401" s="953"/>
      <c r="B401" s="136"/>
      <c r="C401" s="53">
        <f t="shared" si="59"/>
        <v>1</v>
      </c>
      <c r="D401" s="951"/>
      <c r="E401" s="53">
        <f t="shared" si="60"/>
        <v>1</v>
      </c>
      <c r="F401" s="951"/>
      <c r="G401" s="53">
        <f t="shared" si="61"/>
        <v>1</v>
      </c>
      <c r="H401" s="951"/>
      <c r="I401" s="53">
        <f t="shared" si="62"/>
        <v>1</v>
      </c>
      <c r="J401" s="951"/>
      <c r="K401" s="53">
        <f t="shared" si="63"/>
        <v>1</v>
      </c>
      <c r="L401" s="951"/>
      <c r="M401" s="53">
        <f t="shared" si="64"/>
        <v>1</v>
      </c>
      <c r="N401" s="951"/>
      <c r="O401" s="53">
        <f t="shared" si="65"/>
        <v>1</v>
      </c>
      <c r="P401" s="951"/>
      <c r="Q401" s="53">
        <f t="shared" si="66"/>
        <v>1</v>
      </c>
      <c r="R401" s="484">
        <f t="shared" si="67"/>
        <v>0</v>
      </c>
      <c r="S401" s="789">
        <f t="shared" si="68"/>
        <v>0</v>
      </c>
    </row>
    <row r="402" spans="1:19">
      <c r="A402" s="953"/>
      <c r="B402" s="136"/>
      <c r="C402" s="53">
        <f t="shared" si="59"/>
        <v>1</v>
      </c>
      <c r="D402" s="951"/>
      <c r="E402" s="53">
        <f t="shared" si="60"/>
        <v>1</v>
      </c>
      <c r="F402" s="951"/>
      <c r="G402" s="53">
        <f t="shared" si="61"/>
        <v>1</v>
      </c>
      <c r="H402" s="951"/>
      <c r="I402" s="53">
        <f t="shared" si="62"/>
        <v>1</v>
      </c>
      <c r="J402" s="951"/>
      <c r="K402" s="53">
        <f t="shared" si="63"/>
        <v>1</v>
      </c>
      <c r="L402" s="951"/>
      <c r="M402" s="53">
        <f t="shared" si="64"/>
        <v>1</v>
      </c>
      <c r="N402" s="951"/>
      <c r="O402" s="53">
        <f t="shared" si="65"/>
        <v>1</v>
      </c>
      <c r="P402" s="951"/>
      <c r="Q402" s="53">
        <f t="shared" si="66"/>
        <v>1</v>
      </c>
      <c r="R402" s="484">
        <f t="shared" si="67"/>
        <v>0</v>
      </c>
      <c r="S402" s="789">
        <f t="shared" si="68"/>
        <v>0</v>
      </c>
    </row>
    <row r="403" spans="1:19">
      <c r="A403" s="953"/>
      <c r="B403" s="136"/>
      <c r="C403" s="53">
        <f t="shared" si="59"/>
        <v>1</v>
      </c>
      <c r="D403" s="951"/>
      <c r="E403" s="53">
        <f t="shared" si="60"/>
        <v>1</v>
      </c>
      <c r="F403" s="951"/>
      <c r="G403" s="53">
        <f t="shared" si="61"/>
        <v>1</v>
      </c>
      <c r="H403" s="951"/>
      <c r="I403" s="53">
        <f t="shared" si="62"/>
        <v>1</v>
      </c>
      <c r="J403" s="951"/>
      <c r="K403" s="53">
        <f t="shared" si="63"/>
        <v>1</v>
      </c>
      <c r="L403" s="951"/>
      <c r="M403" s="53">
        <f t="shared" si="64"/>
        <v>1</v>
      </c>
      <c r="N403" s="951"/>
      <c r="O403" s="53">
        <f t="shared" si="65"/>
        <v>1</v>
      </c>
      <c r="P403" s="951"/>
      <c r="Q403" s="53">
        <f t="shared" si="66"/>
        <v>1</v>
      </c>
      <c r="R403" s="484">
        <f t="shared" si="67"/>
        <v>0</v>
      </c>
      <c r="S403" s="789">
        <f t="shared" si="68"/>
        <v>0</v>
      </c>
    </row>
    <row r="404" spans="1:19">
      <c r="A404" s="953"/>
      <c r="B404" s="136"/>
      <c r="C404" s="53">
        <f t="shared" si="59"/>
        <v>1</v>
      </c>
      <c r="D404" s="951"/>
      <c r="E404" s="53">
        <f t="shared" si="60"/>
        <v>1</v>
      </c>
      <c r="F404" s="951"/>
      <c r="G404" s="53">
        <f t="shared" si="61"/>
        <v>1</v>
      </c>
      <c r="H404" s="951"/>
      <c r="I404" s="53">
        <f t="shared" si="62"/>
        <v>1</v>
      </c>
      <c r="J404" s="951"/>
      <c r="K404" s="53">
        <f t="shared" si="63"/>
        <v>1</v>
      </c>
      <c r="L404" s="951"/>
      <c r="M404" s="53">
        <f t="shared" si="64"/>
        <v>1</v>
      </c>
      <c r="N404" s="951"/>
      <c r="O404" s="53">
        <f t="shared" si="65"/>
        <v>1</v>
      </c>
      <c r="P404" s="951"/>
      <c r="Q404" s="53">
        <f t="shared" si="66"/>
        <v>1</v>
      </c>
      <c r="R404" s="484">
        <f t="shared" si="67"/>
        <v>0</v>
      </c>
      <c r="S404" s="789">
        <f t="shared" si="68"/>
        <v>0</v>
      </c>
    </row>
    <row r="405" spans="1:19">
      <c r="A405" s="953"/>
      <c r="B405" s="136"/>
      <c r="C405" s="53">
        <f t="shared" si="59"/>
        <v>1</v>
      </c>
      <c r="D405" s="951"/>
      <c r="E405" s="53">
        <f t="shared" si="60"/>
        <v>1</v>
      </c>
      <c r="F405" s="951"/>
      <c r="G405" s="53">
        <f t="shared" si="61"/>
        <v>1</v>
      </c>
      <c r="H405" s="951"/>
      <c r="I405" s="53">
        <f t="shared" si="62"/>
        <v>1</v>
      </c>
      <c r="J405" s="951"/>
      <c r="K405" s="53">
        <f t="shared" si="63"/>
        <v>1</v>
      </c>
      <c r="L405" s="951"/>
      <c r="M405" s="53">
        <f t="shared" si="64"/>
        <v>1</v>
      </c>
      <c r="N405" s="951"/>
      <c r="O405" s="53">
        <f t="shared" si="65"/>
        <v>1</v>
      </c>
      <c r="P405" s="951"/>
      <c r="Q405" s="53">
        <f t="shared" si="66"/>
        <v>1</v>
      </c>
      <c r="R405" s="484">
        <f t="shared" si="67"/>
        <v>0</v>
      </c>
      <c r="S405" s="789">
        <f t="shared" si="68"/>
        <v>0</v>
      </c>
    </row>
    <row r="406" spans="1:19">
      <c r="A406" s="953"/>
      <c r="B406" s="136"/>
      <c r="C406" s="53">
        <f t="shared" si="59"/>
        <v>1</v>
      </c>
      <c r="D406" s="951"/>
      <c r="E406" s="53">
        <f t="shared" si="60"/>
        <v>1</v>
      </c>
      <c r="F406" s="951"/>
      <c r="G406" s="53">
        <f t="shared" si="61"/>
        <v>1</v>
      </c>
      <c r="H406" s="951"/>
      <c r="I406" s="53">
        <f t="shared" si="62"/>
        <v>1</v>
      </c>
      <c r="J406" s="951"/>
      <c r="K406" s="53">
        <f t="shared" si="63"/>
        <v>1</v>
      </c>
      <c r="L406" s="951"/>
      <c r="M406" s="53">
        <f t="shared" si="64"/>
        <v>1</v>
      </c>
      <c r="N406" s="951"/>
      <c r="O406" s="53">
        <f t="shared" si="65"/>
        <v>1</v>
      </c>
      <c r="P406" s="951"/>
      <c r="Q406" s="53">
        <f t="shared" si="66"/>
        <v>1</v>
      </c>
      <c r="R406" s="484">
        <f t="shared" si="67"/>
        <v>0</v>
      </c>
      <c r="S406" s="789">
        <f t="shared" si="68"/>
        <v>0</v>
      </c>
    </row>
    <row r="407" spans="1:19">
      <c r="A407" s="953"/>
      <c r="B407" s="136"/>
      <c r="C407" s="53">
        <f t="shared" si="59"/>
        <v>1</v>
      </c>
      <c r="D407" s="951"/>
      <c r="E407" s="53">
        <f t="shared" si="60"/>
        <v>1</v>
      </c>
      <c r="F407" s="951"/>
      <c r="G407" s="53">
        <f t="shared" si="61"/>
        <v>1</v>
      </c>
      <c r="H407" s="951"/>
      <c r="I407" s="53">
        <f t="shared" si="62"/>
        <v>1</v>
      </c>
      <c r="J407" s="951"/>
      <c r="K407" s="53">
        <f t="shared" si="63"/>
        <v>1</v>
      </c>
      <c r="L407" s="951"/>
      <c r="M407" s="53">
        <f t="shared" si="64"/>
        <v>1</v>
      </c>
      <c r="N407" s="951"/>
      <c r="O407" s="53">
        <f t="shared" si="65"/>
        <v>1</v>
      </c>
      <c r="P407" s="951"/>
      <c r="Q407" s="53">
        <f t="shared" si="66"/>
        <v>1</v>
      </c>
      <c r="R407" s="484">
        <f t="shared" si="67"/>
        <v>0</v>
      </c>
      <c r="S407" s="789">
        <f t="shared" si="68"/>
        <v>0</v>
      </c>
    </row>
    <row r="408" spans="1:19">
      <c r="A408" s="953"/>
      <c r="B408" s="136"/>
      <c r="C408" s="53">
        <f t="shared" si="59"/>
        <v>1</v>
      </c>
      <c r="D408" s="951"/>
      <c r="E408" s="53">
        <f t="shared" si="60"/>
        <v>1</v>
      </c>
      <c r="F408" s="951"/>
      <c r="G408" s="53">
        <f t="shared" si="61"/>
        <v>1</v>
      </c>
      <c r="H408" s="951"/>
      <c r="I408" s="53">
        <f t="shared" si="62"/>
        <v>1</v>
      </c>
      <c r="J408" s="951"/>
      <c r="K408" s="53">
        <f t="shared" si="63"/>
        <v>1</v>
      </c>
      <c r="L408" s="951"/>
      <c r="M408" s="53">
        <f t="shared" si="64"/>
        <v>1</v>
      </c>
      <c r="N408" s="951"/>
      <c r="O408" s="53">
        <f t="shared" si="65"/>
        <v>1</v>
      </c>
      <c r="P408" s="951"/>
      <c r="Q408" s="53">
        <f t="shared" si="66"/>
        <v>1</v>
      </c>
      <c r="R408" s="484">
        <f t="shared" si="67"/>
        <v>0</v>
      </c>
      <c r="S408" s="789">
        <f t="shared" si="68"/>
        <v>0</v>
      </c>
    </row>
    <row r="409" spans="1:19">
      <c r="A409" s="953"/>
      <c r="B409" s="136"/>
      <c r="C409" s="53">
        <f t="shared" si="59"/>
        <v>1</v>
      </c>
      <c r="D409" s="951"/>
      <c r="E409" s="53">
        <f t="shared" si="60"/>
        <v>1</v>
      </c>
      <c r="F409" s="951"/>
      <c r="G409" s="53">
        <f t="shared" si="61"/>
        <v>1</v>
      </c>
      <c r="H409" s="951"/>
      <c r="I409" s="53">
        <f t="shared" si="62"/>
        <v>1</v>
      </c>
      <c r="J409" s="951"/>
      <c r="K409" s="53">
        <f t="shared" si="63"/>
        <v>1</v>
      </c>
      <c r="L409" s="951"/>
      <c r="M409" s="53">
        <f t="shared" si="64"/>
        <v>1</v>
      </c>
      <c r="N409" s="951"/>
      <c r="O409" s="53">
        <f t="shared" si="65"/>
        <v>1</v>
      </c>
      <c r="P409" s="951"/>
      <c r="Q409" s="53">
        <f t="shared" si="66"/>
        <v>1</v>
      </c>
      <c r="R409" s="484">
        <f t="shared" si="67"/>
        <v>0</v>
      </c>
      <c r="S409" s="789">
        <f t="shared" si="68"/>
        <v>0</v>
      </c>
    </row>
    <row r="410" spans="1:19">
      <c r="A410" s="953"/>
      <c r="B410" s="136"/>
      <c r="C410" s="53">
        <f t="shared" ref="C410:C473" si="69">IF(B410="",1,(LOOKUP(B410,$3:$3,$4:$4)-LOOKUP($B$24,$3:$3,$4:$4)+100)/100)</f>
        <v>1</v>
      </c>
      <c r="D410" s="951"/>
      <c r="E410" s="53">
        <f t="shared" ref="E410:E473" si="70">(SUMIF($5:$5,D410,$6:$6)-SUMIF($5:$5,$D$24,$6:$6)+100)/100</f>
        <v>1</v>
      </c>
      <c r="F410" s="951"/>
      <c r="G410" s="53">
        <f t="shared" ref="G410:G473" si="71">(SUMIF($7:$7,F410,$8:$8)-SUMIF($7:$7,$F$24,$8:$8)+100)/100</f>
        <v>1</v>
      </c>
      <c r="H410" s="951"/>
      <c r="I410" s="53">
        <f t="shared" ref="I410:I473" si="72">(SUMIF($9:$9,H410,$10:$10)-SUMIF($9:$9,$H$24,$10:$10)+100)/100</f>
        <v>1</v>
      </c>
      <c r="J410" s="951"/>
      <c r="K410" s="53">
        <f t="shared" ref="K410:K473" si="73">(SUMIF($11:$11,J410,$12:$12)-SUMIF($11:$11,$J$24,$12:$12)+100)/100</f>
        <v>1</v>
      </c>
      <c r="L410" s="951"/>
      <c r="M410" s="53">
        <f t="shared" ref="M410:M473" si="74">(SUMIF($13:$13,L410,$14:$14)-SUMIF($13:$13,$L$24,$14:$14)+100)/100</f>
        <v>1</v>
      </c>
      <c r="N410" s="951"/>
      <c r="O410" s="53">
        <f t="shared" ref="O410:O473" si="75">(SUMIF($15:$15,N410,$16:$16)-SUMIF($15:$15,$N$24,$16:$16)+100)/100</f>
        <v>1</v>
      </c>
      <c r="P410" s="951"/>
      <c r="Q410" s="53">
        <f t="shared" ref="Q410:Q473" si="76">(SUMIF($17:$17,P410,$18:$18)-SUMIF($17:$17,$P$24,$18:$18)+100)/100</f>
        <v>1</v>
      </c>
      <c r="R410" s="484">
        <f t="shared" ref="R410:R473" si="77">IF(B410="",0,ROUND($R$24*C410*E410*G410*I410*K410*M410*O410*Q410,0))</f>
        <v>0</v>
      </c>
      <c r="S410" s="789">
        <f t="shared" si="68"/>
        <v>0</v>
      </c>
    </row>
    <row r="411" spans="1:19">
      <c r="A411" s="953"/>
      <c r="B411" s="136"/>
      <c r="C411" s="53">
        <f t="shared" si="69"/>
        <v>1</v>
      </c>
      <c r="D411" s="951"/>
      <c r="E411" s="53">
        <f t="shared" si="70"/>
        <v>1</v>
      </c>
      <c r="F411" s="951"/>
      <c r="G411" s="53">
        <f t="shared" si="71"/>
        <v>1</v>
      </c>
      <c r="H411" s="951"/>
      <c r="I411" s="53">
        <f t="shared" si="72"/>
        <v>1</v>
      </c>
      <c r="J411" s="951"/>
      <c r="K411" s="53">
        <f t="shared" si="73"/>
        <v>1</v>
      </c>
      <c r="L411" s="951"/>
      <c r="M411" s="53">
        <f t="shared" si="74"/>
        <v>1</v>
      </c>
      <c r="N411" s="951"/>
      <c r="O411" s="53">
        <f t="shared" si="75"/>
        <v>1</v>
      </c>
      <c r="P411" s="951"/>
      <c r="Q411" s="53">
        <f t="shared" si="76"/>
        <v>1</v>
      </c>
      <c r="R411" s="484">
        <f t="shared" si="77"/>
        <v>0</v>
      </c>
      <c r="S411" s="789">
        <f t="shared" si="68"/>
        <v>0</v>
      </c>
    </row>
    <row r="412" spans="1:19">
      <c r="A412" s="953"/>
      <c r="B412" s="136"/>
      <c r="C412" s="53">
        <f t="shared" si="69"/>
        <v>1</v>
      </c>
      <c r="D412" s="951"/>
      <c r="E412" s="53">
        <f t="shared" si="70"/>
        <v>1</v>
      </c>
      <c r="F412" s="951"/>
      <c r="G412" s="53">
        <f t="shared" si="71"/>
        <v>1</v>
      </c>
      <c r="H412" s="951"/>
      <c r="I412" s="53">
        <f t="shared" si="72"/>
        <v>1</v>
      </c>
      <c r="J412" s="951"/>
      <c r="K412" s="53">
        <f t="shared" si="73"/>
        <v>1</v>
      </c>
      <c r="L412" s="951"/>
      <c r="M412" s="53">
        <f t="shared" si="74"/>
        <v>1</v>
      </c>
      <c r="N412" s="951"/>
      <c r="O412" s="53">
        <f t="shared" si="75"/>
        <v>1</v>
      </c>
      <c r="P412" s="951"/>
      <c r="Q412" s="53">
        <f t="shared" si="76"/>
        <v>1</v>
      </c>
      <c r="R412" s="484">
        <f t="shared" si="77"/>
        <v>0</v>
      </c>
      <c r="S412" s="789">
        <f t="shared" si="68"/>
        <v>0</v>
      </c>
    </row>
    <row r="413" spans="1:19">
      <c r="A413" s="953"/>
      <c r="B413" s="136"/>
      <c r="C413" s="53">
        <f t="shared" si="69"/>
        <v>1</v>
      </c>
      <c r="D413" s="951"/>
      <c r="E413" s="53">
        <f t="shared" si="70"/>
        <v>1</v>
      </c>
      <c r="F413" s="951"/>
      <c r="G413" s="53">
        <f t="shared" si="71"/>
        <v>1</v>
      </c>
      <c r="H413" s="951"/>
      <c r="I413" s="53">
        <f t="shared" si="72"/>
        <v>1</v>
      </c>
      <c r="J413" s="951"/>
      <c r="K413" s="53">
        <f t="shared" si="73"/>
        <v>1</v>
      </c>
      <c r="L413" s="951"/>
      <c r="M413" s="53">
        <f t="shared" si="74"/>
        <v>1</v>
      </c>
      <c r="N413" s="951"/>
      <c r="O413" s="53">
        <f t="shared" si="75"/>
        <v>1</v>
      </c>
      <c r="P413" s="951"/>
      <c r="Q413" s="53">
        <f t="shared" si="76"/>
        <v>1</v>
      </c>
      <c r="R413" s="484">
        <f t="shared" si="77"/>
        <v>0</v>
      </c>
      <c r="S413" s="789">
        <f t="shared" si="68"/>
        <v>0</v>
      </c>
    </row>
    <row r="414" spans="1:19">
      <c r="A414" s="953"/>
      <c r="B414" s="136"/>
      <c r="C414" s="53">
        <f t="shared" si="69"/>
        <v>1</v>
      </c>
      <c r="D414" s="951"/>
      <c r="E414" s="53">
        <f t="shared" si="70"/>
        <v>1</v>
      </c>
      <c r="F414" s="951"/>
      <c r="G414" s="53">
        <f t="shared" si="71"/>
        <v>1</v>
      </c>
      <c r="H414" s="951"/>
      <c r="I414" s="53">
        <f t="shared" si="72"/>
        <v>1</v>
      </c>
      <c r="J414" s="951"/>
      <c r="K414" s="53">
        <f t="shared" si="73"/>
        <v>1</v>
      </c>
      <c r="L414" s="951"/>
      <c r="M414" s="53">
        <f t="shared" si="74"/>
        <v>1</v>
      </c>
      <c r="N414" s="951"/>
      <c r="O414" s="53">
        <f t="shared" si="75"/>
        <v>1</v>
      </c>
      <c r="P414" s="951"/>
      <c r="Q414" s="53">
        <f t="shared" si="76"/>
        <v>1</v>
      </c>
      <c r="R414" s="484">
        <f t="shared" si="77"/>
        <v>0</v>
      </c>
      <c r="S414" s="789">
        <f t="shared" si="68"/>
        <v>0</v>
      </c>
    </row>
    <row r="415" spans="1:19">
      <c r="A415" s="953"/>
      <c r="B415" s="136"/>
      <c r="C415" s="53">
        <f t="shared" si="69"/>
        <v>1</v>
      </c>
      <c r="D415" s="951"/>
      <c r="E415" s="53">
        <f t="shared" si="70"/>
        <v>1</v>
      </c>
      <c r="F415" s="951"/>
      <c r="G415" s="53">
        <f t="shared" si="71"/>
        <v>1</v>
      </c>
      <c r="H415" s="951"/>
      <c r="I415" s="53">
        <f t="shared" si="72"/>
        <v>1</v>
      </c>
      <c r="J415" s="951"/>
      <c r="K415" s="53">
        <f t="shared" si="73"/>
        <v>1</v>
      </c>
      <c r="L415" s="951"/>
      <c r="M415" s="53">
        <f t="shared" si="74"/>
        <v>1</v>
      </c>
      <c r="N415" s="951"/>
      <c r="O415" s="53">
        <f t="shared" si="75"/>
        <v>1</v>
      </c>
      <c r="P415" s="951"/>
      <c r="Q415" s="53">
        <f t="shared" si="76"/>
        <v>1</v>
      </c>
      <c r="R415" s="484">
        <f t="shared" si="77"/>
        <v>0</v>
      </c>
      <c r="S415" s="789">
        <f t="shared" si="68"/>
        <v>0</v>
      </c>
    </row>
    <row r="416" spans="1:19">
      <c r="A416" s="953"/>
      <c r="B416" s="136"/>
      <c r="C416" s="53">
        <f t="shared" si="69"/>
        <v>1</v>
      </c>
      <c r="D416" s="951"/>
      <c r="E416" s="53">
        <f t="shared" si="70"/>
        <v>1</v>
      </c>
      <c r="F416" s="951"/>
      <c r="G416" s="53">
        <f t="shared" si="71"/>
        <v>1</v>
      </c>
      <c r="H416" s="951"/>
      <c r="I416" s="53">
        <f t="shared" si="72"/>
        <v>1</v>
      </c>
      <c r="J416" s="951"/>
      <c r="K416" s="53">
        <f t="shared" si="73"/>
        <v>1</v>
      </c>
      <c r="L416" s="951"/>
      <c r="M416" s="53">
        <f t="shared" si="74"/>
        <v>1</v>
      </c>
      <c r="N416" s="951"/>
      <c r="O416" s="53">
        <f t="shared" si="75"/>
        <v>1</v>
      </c>
      <c r="P416" s="951"/>
      <c r="Q416" s="53">
        <f t="shared" si="76"/>
        <v>1</v>
      </c>
      <c r="R416" s="484">
        <f t="shared" si="77"/>
        <v>0</v>
      </c>
      <c r="S416" s="789">
        <f t="shared" si="68"/>
        <v>0</v>
      </c>
    </row>
    <row r="417" spans="1:19">
      <c r="A417" s="953"/>
      <c r="B417" s="136"/>
      <c r="C417" s="53">
        <f t="shared" si="69"/>
        <v>1</v>
      </c>
      <c r="D417" s="951"/>
      <c r="E417" s="53">
        <f t="shared" si="70"/>
        <v>1</v>
      </c>
      <c r="F417" s="951"/>
      <c r="G417" s="53">
        <f t="shared" si="71"/>
        <v>1</v>
      </c>
      <c r="H417" s="951"/>
      <c r="I417" s="53">
        <f t="shared" si="72"/>
        <v>1</v>
      </c>
      <c r="J417" s="951"/>
      <c r="K417" s="53">
        <f t="shared" si="73"/>
        <v>1</v>
      </c>
      <c r="L417" s="951"/>
      <c r="M417" s="53">
        <f t="shared" si="74"/>
        <v>1</v>
      </c>
      <c r="N417" s="951"/>
      <c r="O417" s="53">
        <f t="shared" si="75"/>
        <v>1</v>
      </c>
      <c r="P417" s="951"/>
      <c r="Q417" s="53">
        <f t="shared" si="76"/>
        <v>1</v>
      </c>
      <c r="R417" s="484">
        <f t="shared" si="77"/>
        <v>0</v>
      </c>
      <c r="S417" s="789">
        <f t="shared" si="68"/>
        <v>0</v>
      </c>
    </row>
    <row r="418" spans="1:19">
      <c r="A418" s="953"/>
      <c r="B418" s="136"/>
      <c r="C418" s="53">
        <f t="shared" si="69"/>
        <v>1</v>
      </c>
      <c r="D418" s="951"/>
      <c r="E418" s="53">
        <f t="shared" si="70"/>
        <v>1</v>
      </c>
      <c r="F418" s="951"/>
      <c r="G418" s="53">
        <f t="shared" si="71"/>
        <v>1</v>
      </c>
      <c r="H418" s="951"/>
      <c r="I418" s="53">
        <f t="shared" si="72"/>
        <v>1</v>
      </c>
      <c r="J418" s="951"/>
      <c r="K418" s="53">
        <f t="shared" si="73"/>
        <v>1</v>
      </c>
      <c r="L418" s="951"/>
      <c r="M418" s="53">
        <f t="shared" si="74"/>
        <v>1</v>
      </c>
      <c r="N418" s="951"/>
      <c r="O418" s="53">
        <f t="shared" si="75"/>
        <v>1</v>
      </c>
      <c r="P418" s="951"/>
      <c r="Q418" s="53">
        <f t="shared" si="76"/>
        <v>1</v>
      </c>
      <c r="R418" s="484">
        <f t="shared" si="77"/>
        <v>0</v>
      </c>
      <c r="S418" s="789">
        <f t="shared" si="68"/>
        <v>0</v>
      </c>
    </row>
    <row r="419" spans="1:19">
      <c r="A419" s="953"/>
      <c r="B419" s="136"/>
      <c r="C419" s="53">
        <f t="shared" si="69"/>
        <v>1</v>
      </c>
      <c r="D419" s="951"/>
      <c r="E419" s="53">
        <f t="shared" si="70"/>
        <v>1</v>
      </c>
      <c r="F419" s="951"/>
      <c r="G419" s="53">
        <f t="shared" si="71"/>
        <v>1</v>
      </c>
      <c r="H419" s="951"/>
      <c r="I419" s="53">
        <f t="shared" si="72"/>
        <v>1</v>
      </c>
      <c r="J419" s="951"/>
      <c r="K419" s="53">
        <f t="shared" si="73"/>
        <v>1</v>
      </c>
      <c r="L419" s="951"/>
      <c r="M419" s="53">
        <f t="shared" si="74"/>
        <v>1</v>
      </c>
      <c r="N419" s="951"/>
      <c r="O419" s="53">
        <f t="shared" si="75"/>
        <v>1</v>
      </c>
      <c r="P419" s="951"/>
      <c r="Q419" s="53">
        <f t="shared" si="76"/>
        <v>1</v>
      </c>
      <c r="R419" s="484">
        <f t="shared" si="77"/>
        <v>0</v>
      </c>
      <c r="S419" s="789">
        <f t="shared" si="68"/>
        <v>0</v>
      </c>
    </row>
    <row r="420" spans="1:19">
      <c r="A420" s="953"/>
      <c r="B420" s="136"/>
      <c r="C420" s="53">
        <f t="shared" si="69"/>
        <v>1</v>
      </c>
      <c r="D420" s="951"/>
      <c r="E420" s="53">
        <f t="shared" si="70"/>
        <v>1</v>
      </c>
      <c r="F420" s="951"/>
      <c r="G420" s="53">
        <f t="shared" si="71"/>
        <v>1</v>
      </c>
      <c r="H420" s="951"/>
      <c r="I420" s="53">
        <f t="shared" si="72"/>
        <v>1</v>
      </c>
      <c r="J420" s="951"/>
      <c r="K420" s="53">
        <f t="shared" si="73"/>
        <v>1</v>
      </c>
      <c r="L420" s="951"/>
      <c r="M420" s="53">
        <f t="shared" si="74"/>
        <v>1</v>
      </c>
      <c r="N420" s="951"/>
      <c r="O420" s="53">
        <f t="shared" si="75"/>
        <v>1</v>
      </c>
      <c r="P420" s="951"/>
      <c r="Q420" s="53">
        <f t="shared" si="76"/>
        <v>1</v>
      </c>
      <c r="R420" s="484">
        <f t="shared" si="77"/>
        <v>0</v>
      </c>
      <c r="S420" s="789">
        <f t="shared" si="68"/>
        <v>0</v>
      </c>
    </row>
    <row r="421" spans="1:19">
      <c r="A421" s="953"/>
      <c r="B421" s="136"/>
      <c r="C421" s="53">
        <f t="shared" si="69"/>
        <v>1</v>
      </c>
      <c r="D421" s="951"/>
      <c r="E421" s="53">
        <f t="shared" si="70"/>
        <v>1</v>
      </c>
      <c r="F421" s="951"/>
      <c r="G421" s="53">
        <f t="shared" si="71"/>
        <v>1</v>
      </c>
      <c r="H421" s="951"/>
      <c r="I421" s="53">
        <f t="shared" si="72"/>
        <v>1</v>
      </c>
      <c r="J421" s="951"/>
      <c r="K421" s="53">
        <f t="shared" si="73"/>
        <v>1</v>
      </c>
      <c r="L421" s="951"/>
      <c r="M421" s="53">
        <f t="shared" si="74"/>
        <v>1</v>
      </c>
      <c r="N421" s="951"/>
      <c r="O421" s="53">
        <f t="shared" si="75"/>
        <v>1</v>
      </c>
      <c r="P421" s="951"/>
      <c r="Q421" s="53">
        <f t="shared" si="76"/>
        <v>1</v>
      </c>
      <c r="R421" s="484">
        <f t="shared" si="77"/>
        <v>0</v>
      </c>
      <c r="S421" s="789">
        <f t="shared" si="68"/>
        <v>0</v>
      </c>
    </row>
    <row r="422" spans="1:19">
      <c r="A422" s="953"/>
      <c r="B422" s="136"/>
      <c r="C422" s="53">
        <f t="shared" si="69"/>
        <v>1</v>
      </c>
      <c r="D422" s="951"/>
      <c r="E422" s="53">
        <f t="shared" si="70"/>
        <v>1</v>
      </c>
      <c r="F422" s="951"/>
      <c r="G422" s="53">
        <f t="shared" si="71"/>
        <v>1</v>
      </c>
      <c r="H422" s="951"/>
      <c r="I422" s="53">
        <f t="shared" si="72"/>
        <v>1</v>
      </c>
      <c r="J422" s="951"/>
      <c r="K422" s="53">
        <f t="shared" si="73"/>
        <v>1</v>
      </c>
      <c r="L422" s="951"/>
      <c r="M422" s="53">
        <f t="shared" si="74"/>
        <v>1</v>
      </c>
      <c r="N422" s="951"/>
      <c r="O422" s="53">
        <f t="shared" si="75"/>
        <v>1</v>
      </c>
      <c r="P422" s="951"/>
      <c r="Q422" s="53">
        <f t="shared" si="76"/>
        <v>1</v>
      </c>
      <c r="R422" s="484">
        <f t="shared" si="77"/>
        <v>0</v>
      </c>
      <c r="S422" s="789">
        <f t="shared" si="68"/>
        <v>0</v>
      </c>
    </row>
    <row r="423" spans="1:19">
      <c r="A423" s="953"/>
      <c r="B423" s="136"/>
      <c r="C423" s="53">
        <f t="shared" si="69"/>
        <v>1</v>
      </c>
      <c r="D423" s="951"/>
      <c r="E423" s="53">
        <f t="shared" si="70"/>
        <v>1</v>
      </c>
      <c r="F423" s="951"/>
      <c r="G423" s="53">
        <f t="shared" si="71"/>
        <v>1</v>
      </c>
      <c r="H423" s="951"/>
      <c r="I423" s="53">
        <f t="shared" si="72"/>
        <v>1</v>
      </c>
      <c r="J423" s="951"/>
      <c r="K423" s="53">
        <f t="shared" si="73"/>
        <v>1</v>
      </c>
      <c r="L423" s="951"/>
      <c r="M423" s="53">
        <f t="shared" si="74"/>
        <v>1</v>
      </c>
      <c r="N423" s="951"/>
      <c r="O423" s="53">
        <f t="shared" si="75"/>
        <v>1</v>
      </c>
      <c r="P423" s="951"/>
      <c r="Q423" s="53">
        <f t="shared" si="76"/>
        <v>1</v>
      </c>
      <c r="R423" s="484">
        <f t="shared" si="77"/>
        <v>0</v>
      </c>
      <c r="S423" s="789">
        <f t="shared" ref="S423:S467" si="78">ROUND(R423*B423/10000,0)</f>
        <v>0</v>
      </c>
    </row>
    <row r="424" spans="1:19">
      <c r="A424" s="953"/>
      <c r="B424" s="136"/>
      <c r="C424" s="53">
        <f t="shared" si="69"/>
        <v>1</v>
      </c>
      <c r="D424" s="951"/>
      <c r="E424" s="53">
        <f t="shared" si="70"/>
        <v>1</v>
      </c>
      <c r="F424" s="951"/>
      <c r="G424" s="53">
        <f t="shared" si="71"/>
        <v>1</v>
      </c>
      <c r="H424" s="951"/>
      <c r="I424" s="53">
        <f t="shared" si="72"/>
        <v>1</v>
      </c>
      <c r="J424" s="951"/>
      <c r="K424" s="53">
        <f t="shared" si="73"/>
        <v>1</v>
      </c>
      <c r="L424" s="951"/>
      <c r="M424" s="53">
        <f t="shared" si="74"/>
        <v>1</v>
      </c>
      <c r="N424" s="951"/>
      <c r="O424" s="53">
        <f t="shared" si="75"/>
        <v>1</v>
      </c>
      <c r="P424" s="951"/>
      <c r="Q424" s="53">
        <f t="shared" si="76"/>
        <v>1</v>
      </c>
      <c r="R424" s="484">
        <f t="shared" si="77"/>
        <v>0</v>
      </c>
      <c r="S424" s="789">
        <f t="shared" si="78"/>
        <v>0</v>
      </c>
    </row>
    <row r="425" spans="1:19">
      <c r="A425" s="953"/>
      <c r="B425" s="136"/>
      <c r="C425" s="53">
        <f t="shared" si="69"/>
        <v>1</v>
      </c>
      <c r="D425" s="951"/>
      <c r="E425" s="53">
        <f t="shared" si="70"/>
        <v>1</v>
      </c>
      <c r="F425" s="951"/>
      <c r="G425" s="53">
        <f t="shared" si="71"/>
        <v>1</v>
      </c>
      <c r="H425" s="951"/>
      <c r="I425" s="53">
        <f t="shared" si="72"/>
        <v>1</v>
      </c>
      <c r="J425" s="951"/>
      <c r="K425" s="53">
        <f t="shared" si="73"/>
        <v>1</v>
      </c>
      <c r="L425" s="951"/>
      <c r="M425" s="53">
        <f t="shared" si="74"/>
        <v>1</v>
      </c>
      <c r="N425" s="951"/>
      <c r="O425" s="53">
        <f t="shared" si="75"/>
        <v>1</v>
      </c>
      <c r="P425" s="951"/>
      <c r="Q425" s="53">
        <f t="shared" si="76"/>
        <v>1</v>
      </c>
      <c r="R425" s="484">
        <f t="shared" si="77"/>
        <v>0</v>
      </c>
      <c r="S425" s="789">
        <f t="shared" si="78"/>
        <v>0</v>
      </c>
    </row>
    <row r="426" spans="1:19">
      <c r="A426" s="953"/>
      <c r="B426" s="136"/>
      <c r="C426" s="53">
        <f t="shared" si="69"/>
        <v>1</v>
      </c>
      <c r="D426" s="951"/>
      <c r="E426" s="53">
        <f t="shared" si="70"/>
        <v>1</v>
      </c>
      <c r="F426" s="951"/>
      <c r="G426" s="53">
        <f t="shared" si="71"/>
        <v>1</v>
      </c>
      <c r="H426" s="951"/>
      <c r="I426" s="53">
        <f t="shared" si="72"/>
        <v>1</v>
      </c>
      <c r="J426" s="951"/>
      <c r="K426" s="53">
        <f t="shared" si="73"/>
        <v>1</v>
      </c>
      <c r="L426" s="951"/>
      <c r="M426" s="53">
        <f t="shared" si="74"/>
        <v>1</v>
      </c>
      <c r="N426" s="951"/>
      <c r="O426" s="53">
        <f t="shared" si="75"/>
        <v>1</v>
      </c>
      <c r="P426" s="951"/>
      <c r="Q426" s="53">
        <f t="shared" si="76"/>
        <v>1</v>
      </c>
      <c r="R426" s="484">
        <f t="shared" si="77"/>
        <v>0</v>
      </c>
      <c r="S426" s="789">
        <f t="shared" si="78"/>
        <v>0</v>
      </c>
    </row>
    <row r="427" spans="1:19">
      <c r="A427" s="953"/>
      <c r="B427" s="136"/>
      <c r="C427" s="53">
        <f t="shared" si="69"/>
        <v>1</v>
      </c>
      <c r="D427" s="951"/>
      <c r="E427" s="53">
        <f t="shared" si="70"/>
        <v>1</v>
      </c>
      <c r="F427" s="951"/>
      <c r="G427" s="53">
        <f t="shared" si="71"/>
        <v>1</v>
      </c>
      <c r="H427" s="951"/>
      <c r="I427" s="53">
        <f t="shared" si="72"/>
        <v>1</v>
      </c>
      <c r="J427" s="951"/>
      <c r="K427" s="53">
        <f t="shared" si="73"/>
        <v>1</v>
      </c>
      <c r="L427" s="951"/>
      <c r="M427" s="53">
        <f t="shared" si="74"/>
        <v>1</v>
      </c>
      <c r="N427" s="951"/>
      <c r="O427" s="53">
        <f t="shared" si="75"/>
        <v>1</v>
      </c>
      <c r="P427" s="951"/>
      <c r="Q427" s="53">
        <f t="shared" si="76"/>
        <v>1</v>
      </c>
      <c r="R427" s="484">
        <f t="shared" si="77"/>
        <v>0</v>
      </c>
      <c r="S427" s="789">
        <f t="shared" si="78"/>
        <v>0</v>
      </c>
    </row>
    <row r="428" spans="1:19">
      <c r="A428" s="953"/>
      <c r="B428" s="136"/>
      <c r="C428" s="53">
        <f t="shared" si="69"/>
        <v>1</v>
      </c>
      <c r="D428" s="951"/>
      <c r="E428" s="53">
        <f t="shared" si="70"/>
        <v>1</v>
      </c>
      <c r="F428" s="951"/>
      <c r="G428" s="53">
        <f t="shared" si="71"/>
        <v>1</v>
      </c>
      <c r="H428" s="951"/>
      <c r="I428" s="53">
        <f t="shared" si="72"/>
        <v>1</v>
      </c>
      <c r="J428" s="951"/>
      <c r="K428" s="53">
        <f t="shared" si="73"/>
        <v>1</v>
      </c>
      <c r="L428" s="951"/>
      <c r="M428" s="53">
        <f t="shared" si="74"/>
        <v>1</v>
      </c>
      <c r="N428" s="951"/>
      <c r="O428" s="53">
        <f t="shared" si="75"/>
        <v>1</v>
      </c>
      <c r="P428" s="951"/>
      <c r="Q428" s="53">
        <f t="shared" si="76"/>
        <v>1</v>
      </c>
      <c r="R428" s="484">
        <f t="shared" si="77"/>
        <v>0</v>
      </c>
      <c r="S428" s="789">
        <f t="shared" si="78"/>
        <v>0</v>
      </c>
    </row>
    <row r="429" spans="1:19">
      <c r="A429" s="953"/>
      <c r="B429" s="136"/>
      <c r="C429" s="53">
        <f t="shared" si="69"/>
        <v>1</v>
      </c>
      <c r="D429" s="951"/>
      <c r="E429" s="53">
        <f t="shared" si="70"/>
        <v>1</v>
      </c>
      <c r="F429" s="951"/>
      <c r="G429" s="53">
        <f t="shared" si="71"/>
        <v>1</v>
      </c>
      <c r="H429" s="951"/>
      <c r="I429" s="53">
        <f t="shared" si="72"/>
        <v>1</v>
      </c>
      <c r="J429" s="951"/>
      <c r="K429" s="53">
        <f t="shared" si="73"/>
        <v>1</v>
      </c>
      <c r="L429" s="951"/>
      <c r="M429" s="53">
        <f t="shared" si="74"/>
        <v>1</v>
      </c>
      <c r="N429" s="951"/>
      <c r="O429" s="53">
        <f t="shared" si="75"/>
        <v>1</v>
      </c>
      <c r="P429" s="951"/>
      <c r="Q429" s="53">
        <f t="shared" si="76"/>
        <v>1</v>
      </c>
      <c r="R429" s="484">
        <f t="shared" si="77"/>
        <v>0</v>
      </c>
      <c r="S429" s="789">
        <f t="shared" si="78"/>
        <v>0</v>
      </c>
    </row>
    <row r="430" spans="1:19">
      <c r="A430" s="953"/>
      <c r="B430" s="136"/>
      <c r="C430" s="53">
        <f t="shared" si="69"/>
        <v>1</v>
      </c>
      <c r="D430" s="951"/>
      <c r="E430" s="53">
        <f t="shared" si="70"/>
        <v>1</v>
      </c>
      <c r="F430" s="951"/>
      <c r="G430" s="53">
        <f t="shared" si="71"/>
        <v>1</v>
      </c>
      <c r="H430" s="951"/>
      <c r="I430" s="53">
        <f t="shared" si="72"/>
        <v>1</v>
      </c>
      <c r="J430" s="951"/>
      <c r="K430" s="53">
        <f t="shared" si="73"/>
        <v>1</v>
      </c>
      <c r="L430" s="951"/>
      <c r="M430" s="53">
        <f t="shared" si="74"/>
        <v>1</v>
      </c>
      <c r="N430" s="951"/>
      <c r="O430" s="53">
        <f t="shared" si="75"/>
        <v>1</v>
      </c>
      <c r="P430" s="951"/>
      <c r="Q430" s="53">
        <f t="shared" si="76"/>
        <v>1</v>
      </c>
      <c r="R430" s="484">
        <f t="shared" si="77"/>
        <v>0</v>
      </c>
      <c r="S430" s="789">
        <f t="shared" si="78"/>
        <v>0</v>
      </c>
    </row>
    <row r="431" spans="1:19">
      <c r="A431" s="953"/>
      <c r="B431" s="136"/>
      <c r="C431" s="53">
        <f t="shared" si="69"/>
        <v>1</v>
      </c>
      <c r="D431" s="951"/>
      <c r="E431" s="53">
        <f t="shared" si="70"/>
        <v>1</v>
      </c>
      <c r="F431" s="951"/>
      <c r="G431" s="53">
        <f t="shared" si="71"/>
        <v>1</v>
      </c>
      <c r="H431" s="951"/>
      <c r="I431" s="53">
        <f t="shared" si="72"/>
        <v>1</v>
      </c>
      <c r="J431" s="951"/>
      <c r="K431" s="53">
        <f t="shared" si="73"/>
        <v>1</v>
      </c>
      <c r="L431" s="951"/>
      <c r="M431" s="53">
        <f t="shared" si="74"/>
        <v>1</v>
      </c>
      <c r="N431" s="951"/>
      <c r="O431" s="53">
        <f t="shared" si="75"/>
        <v>1</v>
      </c>
      <c r="P431" s="951"/>
      <c r="Q431" s="53">
        <f t="shared" si="76"/>
        <v>1</v>
      </c>
      <c r="R431" s="484">
        <f t="shared" si="77"/>
        <v>0</v>
      </c>
      <c r="S431" s="789">
        <f t="shared" si="78"/>
        <v>0</v>
      </c>
    </row>
    <row r="432" spans="1:19">
      <c r="A432" s="953"/>
      <c r="B432" s="136"/>
      <c r="C432" s="53">
        <f t="shared" si="69"/>
        <v>1</v>
      </c>
      <c r="D432" s="951"/>
      <c r="E432" s="53">
        <f t="shared" si="70"/>
        <v>1</v>
      </c>
      <c r="F432" s="951"/>
      <c r="G432" s="53">
        <f t="shared" si="71"/>
        <v>1</v>
      </c>
      <c r="H432" s="951"/>
      <c r="I432" s="53">
        <f t="shared" si="72"/>
        <v>1</v>
      </c>
      <c r="J432" s="951"/>
      <c r="K432" s="53">
        <f t="shared" si="73"/>
        <v>1</v>
      </c>
      <c r="L432" s="951"/>
      <c r="M432" s="53">
        <f t="shared" si="74"/>
        <v>1</v>
      </c>
      <c r="N432" s="951"/>
      <c r="O432" s="53">
        <f t="shared" si="75"/>
        <v>1</v>
      </c>
      <c r="P432" s="951"/>
      <c r="Q432" s="53">
        <f t="shared" si="76"/>
        <v>1</v>
      </c>
      <c r="R432" s="484">
        <f t="shared" si="77"/>
        <v>0</v>
      </c>
      <c r="S432" s="789">
        <f t="shared" si="78"/>
        <v>0</v>
      </c>
    </row>
    <row r="433" spans="1:19">
      <c r="A433" s="953"/>
      <c r="B433" s="136"/>
      <c r="C433" s="53">
        <f t="shared" si="69"/>
        <v>1</v>
      </c>
      <c r="D433" s="951"/>
      <c r="E433" s="53">
        <f t="shared" si="70"/>
        <v>1</v>
      </c>
      <c r="F433" s="951"/>
      <c r="G433" s="53">
        <f t="shared" si="71"/>
        <v>1</v>
      </c>
      <c r="H433" s="951"/>
      <c r="I433" s="53">
        <f t="shared" si="72"/>
        <v>1</v>
      </c>
      <c r="J433" s="951"/>
      <c r="K433" s="53">
        <f t="shared" si="73"/>
        <v>1</v>
      </c>
      <c r="L433" s="951"/>
      <c r="M433" s="53">
        <f t="shared" si="74"/>
        <v>1</v>
      </c>
      <c r="N433" s="951"/>
      <c r="O433" s="53">
        <f t="shared" si="75"/>
        <v>1</v>
      </c>
      <c r="P433" s="951"/>
      <c r="Q433" s="53">
        <f t="shared" si="76"/>
        <v>1</v>
      </c>
      <c r="R433" s="484">
        <f t="shared" si="77"/>
        <v>0</v>
      </c>
      <c r="S433" s="789">
        <f t="shared" si="78"/>
        <v>0</v>
      </c>
    </row>
    <row r="434" spans="1:19">
      <c r="A434" s="953"/>
      <c r="B434" s="136"/>
      <c r="C434" s="53">
        <f t="shared" si="69"/>
        <v>1</v>
      </c>
      <c r="D434" s="951"/>
      <c r="E434" s="53">
        <f t="shared" si="70"/>
        <v>1</v>
      </c>
      <c r="F434" s="951"/>
      <c r="G434" s="53">
        <f t="shared" si="71"/>
        <v>1</v>
      </c>
      <c r="H434" s="951"/>
      <c r="I434" s="53">
        <f t="shared" si="72"/>
        <v>1</v>
      </c>
      <c r="J434" s="951"/>
      <c r="K434" s="53">
        <f t="shared" si="73"/>
        <v>1</v>
      </c>
      <c r="L434" s="951"/>
      <c r="M434" s="53">
        <f t="shared" si="74"/>
        <v>1</v>
      </c>
      <c r="N434" s="951"/>
      <c r="O434" s="53">
        <f t="shared" si="75"/>
        <v>1</v>
      </c>
      <c r="P434" s="951"/>
      <c r="Q434" s="53">
        <f t="shared" si="76"/>
        <v>1</v>
      </c>
      <c r="R434" s="484">
        <f t="shared" si="77"/>
        <v>0</v>
      </c>
      <c r="S434" s="789">
        <f t="shared" si="78"/>
        <v>0</v>
      </c>
    </row>
    <row r="435" spans="1:19">
      <c r="A435" s="953"/>
      <c r="B435" s="136"/>
      <c r="C435" s="53">
        <f t="shared" si="69"/>
        <v>1</v>
      </c>
      <c r="D435" s="951"/>
      <c r="E435" s="53">
        <f t="shared" si="70"/>
        <v>1</v>
      </c>
      <c r="F435" s="951"/>
      <c r="G435" s="53">
        <f t="shared" si="71"/>
        <v>1</v>
      </c>
      <c r="H435" s="951"/>
      <c r="I435" s="53">
        <f t="shared" si="72"/>
        <v>1</v>
      </c>
      <c r="J435" s="951"/>
      <c r="K435" s="53">
        <f t="shared" si="73"/>
        <v>1</v>
      </c>
      <c r="L435" s="951"/>
      <c r="M435" s="53">
        <f t="shared" si="74"/>
        <v>1</v>
      </c>
      <c r="N435" s="951"/>
      <c r="O435" s="53">
        <f t="shared" si="75"/>
        <v>1</v>
      </c>
      <c r="P435" s="951"/>
      <c r="Q435" s="53">
        <f t="shared" si="76"/>
        <v>1</v>
      </c>
      <c r="R435" s="484">
        <f t="shared" si="77"/>
        <v>0</v>
      </c>
      <c r="S435" s="789">
        <f t="shared" si="78"/>
        <v>0</v>
      </c>
    </row>
    <row r="436" spans="1:19">
      <c r="A436" s="953"/>
      <c r="B436" s="136"/>
      <c r="C436" s="53">
        <f t="shared" si="69"/>
        <v>1</v>
      </c>
      <c r="D436" s="951"/>
      <c r="E436" s="53">
        <f t="shared" si="70"/>
        <v>1</v>
      </c>
      <c r="F436" s="951"/>
      <c r="G436" s="53">
        <f t="shared" si="71"/>
        <v>1</v>
      </c>
      <c r="H436" s="951"/>
      <c r="I436" s="53">
        <f t="shared" si="72"/>
        <v>1</v>
      </c>
      <c r="J436" s="951"/>
      <c r="K436" s="53">
        <f t="shared" si="73"/>
        <v>1</v>
      </c>
      <c r="L436" s="951"/>
      <c r="M436" s="53">
        <f t="shared" si="74"/>
        <v>1</v>
      </c>
      <c r="N436" s="951"/>
      <c r="O436" s="53">
        <f t="shared" si="75"/>
        <v>1</v>
      </c>
      <c r="P436" s="951"/>
      <c r="Q436" s="53">
        <f t="shared" si="76"/>
        <v>1</v>
      </c>
      <c r="R436" s="484">
        <f t="shared" si="77"/>
        <v>0</v>
      </c>
      <c r="S436" s="789">
        <f t="shared" si="78"/>
        <v>0</v>
      </c>
    </row>
    <row r="437" spans="1:19">
      <c r="A437" s="953"/>
      <c r="B437" s="136"/>
      <c r="C437" s="53">
        <f t="shared" si="69"/>
        <v>1</v>
      </c>
      <c r="D437" s="951"/>
      <c r="E437" s="53">
        <f t="shared" si="70"/>
        <v>1</v>
      </c>
      <c r="F437" s="951"/>
      <c r="G437" s="53">
        <f t="shared" si="71"/>
        <v>1</v>
      </c>
      <c r="H437" s="951"/>
      <c r="I437" s="53">
        <f t="shared" si="72"/>
        <v>1</v>
      </c>
      <c r="J437" s="951"/>
      <c r="K437" s="53">
        <f t="shared" si="73"/>
        <v>1</v>
      </c>
      <c r="L437" s="951"/>
      <c r="M437" s="53">
        <f t="shared" si="74"/>
        <v>1</v>
      </c>
      <c r="N437" s="951"/>
      <c r="O437" s="53">
        <f t="shared" si="75"/>
        <v>1</v>
      </c>
      <c r="P437" s="951"/>
      <c r="Q437" s="53">
        <f t="shared" si="76"/>
        <v>1</v>
      </c>
      <c r="R437" s="484">
        <f t="shared" si="77"/>
        <v>0</v>
      </c>
      <c r="S437" s="789">
        <f t="shared" si="78"/>
        <v>0</v>
      </c>
    </row>
    <row r="438" spans="1:19">
      <c r="A438" s="953"/>
      <c r="B438" s="136"/>
      <c r="C438" s="53">
        <f t="shared" si="69"/>
        <v>1</v>
      </c>
      <c r="D438" s="951"/>
      <c r="E438" s="53">
        <f t="shared" si="70"/>
        <v>1</v>
      </c>
      <c r="F438" s="951"/>
      <c r="G438" s="53">
        <f t="shared" si="71"/>
        <v>1</v>
      </c>
      <c r="H438" s="951"/>
      <c r="I438" s="53">
        <f t="shared" si="72"/>
        <v>1</v>
      </c>
      <c r="J438" s="951"/>
      <c r="K438" s="53">
        <f t="shared" si="73"/>
        <v>1</v>
      </c>
      <c r="L438" s="951"/>
      <c r="M438" s="53">
        <f t="shared" si="74"/>
        <v>1</v>
      </c>
      <c r="N438" s="951"/>
      <c r="O438" s="53">
        <f t="shared" si="75"/>
        <v>1</v>
      </c>
      <c r="P438" s="951"/>
      <c r="Q438" s="53">
        <f t="shared" si="76"/>
        <v>1</v>
      </c>
      <c r="R438" s="484">
        <f t="shared" si="77"/>
        <v>0</v>
      </c>
      <c r="S438" s="789">
        <f t="shared" si="78"/>
        <v>0</v>
      </c>
    </row>
    <row r="439" spans="1:19">
      <c r="A439" s="953"/>
      <c r="B439" s="136"/>
      <c r="C439" s="53">
        <f t="shared" si="69"/>
        <v>1</v>
      </c>
      <c r="D439" s="951"/>
      <c r="E439" s="53">
        <f t="shared" si="70"/>
        <v>1</v>
      </c>
      <c r="F439" s="951"/>
      <c r="G439" s="53">
        <f t="shared" si="71"/>
        <v>1</v>
      </c>
      <c r="H439" s="951"/>
      <c r="I439" s="53">
        <f t="shared" si="72"/>
        <v>1</v>
      </c>
      <c r="J439" s="951"/>
      <c r="K439" s="53">
        <f t="shared" si="73"/>
        <v>1</v>
      </c>
      <c r="L439" s="951"/>
      <c r="M439" s="53">
        <f t="shared" si="74"/>
        <v>1</v>
      </c>
      <c r="N439" s="951"/>
      <c r="O439" s="53">
        <f t="shared" si="75"/>
        <v>1</v>
      </c>
      <c r="P439" s="951"/>
      <c r="Q439" s="53">
        <f t="shared" si="76"/>
        <v>1</v>
      </c>
      <c r="R439" s="484">
        <f t="shared" si="77"/>
        <v>0</v>
      </c>
      <c r="S439" s="789">
        <f t="shared" si="78"/>
        <v>0</v>
      </c>
    </row>
    <row r="440" spans="1:19">
      <c r="A440" s="953"/>
      <c r="B440" s="136"/>
      <c r="C440" s="53">
        <f t="shared" si="69"/>
        <v>1</v>
      </c>
      <c r="D440" s="951"/>
      <c r="E440" s="53">
        <f t="shared" si="70"/>
        <v>1</v>
      </c>
      <c r="F440" s="951"/>
      <c r="G440" s="53">
        <f t="shared" si="71"/>
        <v>1</v>
      </c>
      <c r="H440" s="951"/>
      <c r="I440" s="53">
        <f t="shared" si="72"/>
        <v>1</v>
      </c>
      <c r="J440" s="951"/>
      <c r="K440" s="53">
        <f t="shared" si="73"/>
        <v>1</v>
      </c>
      <c r="L440" s="951"/>
      <c r="M440" s="53">
        <f t="shared" si="74"/>
        <v>1</v>
      </c>
      <c r="N440" s="951"/>
      <c r="O440" s="53">
        <f t="shared" si="75"/>
        <v>1</v>
      </c>
      <c r="P440" s="951"/>
      <c r="Q440" s="53">
        <f t="shared" si="76"/>
        <v>1</v>
      </c>
      <c r="R440" s="484">
        <f t="shared" si="77"/>
        <v>0</v>
      </c>
      <c r="S440" s="789">
        <f t="shared" si="78"/>
        <v>0</v>
      </c>
    </row>
    <row r="441" spans="1:19">
      <c r="A441" s="953"/>
      <c r="B441" s="136"/>
      <c r="C441" s="53">
        <f t="shared" si="69"/>
        <v>1</v>
      </c>
      <c r="D441" s="951"/>
      <c r="E441" s="53">
        <f t="shared" si="70"/>
        <v>1</v>
      </c>
      <c r="F441" s="951"/>
      <c r="G441" s="53">
        <f t="shared" si="71"/>
        <v>1</v>
      </c>
      <c r="H441" s="951"/>
      <c r="I441" s="53">
        <f t="shared" si="72"/>
        <v>1</v>
      </c>
      <c r="J441" s="951"/>
      <c r="K441" s="53">
        <f t="shared" si="73"/>
        <v>1</v>
      </c>
      <c r="L441" s="951"/>
      <c r="M441" s="53">
        <f t="shared" si="74"/>
        <v>1</v>
      </c>
      <c r="N441" s="951"/>
      <c r="O441" s="53">
        <f t="shared" si="75"/>
        <v>1</v>
      </c>
      <c r="P441" s="951"/>
      <c r="Q441" s="53">
        <f t="shared" si="76"/>
        <v>1</v>
      </c>
      <c r="R441" s="484">
        <f t="shared" si="77"/>
        <v>0</v>
      </c>
      <c r="S441" s="789">
        <f t="shared" si="78"/>
        <v>0</v>
      </c>
    </row>
    <row r="442" spans="1:19">
      <c r="A442" s="953"/>
      <c r="B442" s="136"/>
      <c r="C442" s="53">
        <f t="shared" si="69"/>
        <v>1</v>
      </c>
      <c r="D442" s="951"/>
      <c r="E442" s="53">
        <f t="shared" si="70"/>
        <v>1</v>
      </c>
      <c r="F442" s="951"/>
      <c r="G442" s="53">
        <f t="shared" si="71"/>
        <v>1</v>
      </c>
      <c r="H442" s="951"/>
      <c r="I442" s="53">
        <f t="shared" si="72"/>
        <v>1</v>
      </c>
      <c r="J442" s="951"/>
      <c r="K442" s="53">
        <f t="shared" si="73"/>
        <v>1</v>
      </c>
      <c r="L442" s="951"/>
      <c r="M442" s="53">
        <f t="shared" si="74"/>
        <v>1</v>
      </c>
      <c r="N442" s="951"/>
      <c r="O442" s="53">
        <f t="shared" si="75"/>
        <v>1</v>
      </c>
      <c r="P442" s="951"/>
      <c r="Q442" s="53">
        <f t="shared" si="76"/>
        <v>1</v>
      </c>
      <c r="R442" s="484">
        <f t="shared" si="77"/>
        <v>0</v>
      </c>
      <c r="S442" s="789">
        <f t="shared" si="78"/>
        <v>0</v>
      </c>
    </row>
    <row r="443" spans="1:19">
      <c r="A443" s="953"/>
      <c r="B443" s="136"/>
      <c r="C443" s="53">
        <f t="shared" si="69"/>
        <v>1</v>
      </c>
      <c r="D443" s="951"/>
      <c r="E443" s="53">
        <f t="shared" si="70"/>
        <v>1</v>
      </c>
      <c r="F443" s="951"/>
      <c r="G443" s="53">
        <f t="shared" si="71"/>
        <v>1</v>
      </c>
      <c r="H443" s="951"/>
      <c r="I443" s="53">
        <f t="shared" si="72"/>
        <v>1</v>
      </c>
      <c r="J443" s="951"/>
      <c r="K443" s="53">
        <f t="shared" si="73"/>
        <v>1</v>
      </c>
      <c r="L443" s="951"/>
      <c r="M443" s="53">
        <f t="shared" si="74"/>
        <v>1</v>
      </c>
      <c r="N443" s="951"/>
      <c r="O443" s="53">
        <f t="shared" si="75"/>
        <v>1</v>
      </c>
      <c r="P443" s="951"/>
      <c r="Q443" s="53">
        <f t="shared" si="76"/>
        <v>1</v>
      </c>
      <c r="R443" s="484">
        <f t="shared" si="77"/>
        <v>0</v>
      </c>
      <c r="S443" s="789">
        <f t="shared" si="78"/>
        <v>0</v>
      </c>
    </row>
    <row r="444" spans="1:19">
      <c r="A444" s="953"/>
      <c r="B444" s="136"/>
      <c r="C444" s="53">
        <f t="shared" si="69"/>
        <v>1</v>
      </c>
      <c r="D444" s="951"/>
      <c r="E444" s="53">
        <f t="shared" si="70"/>
        <v>1</v>
      </c>
      <c r="F444" s="951"/>
      <c r="G444" s="53">
        <f t="shared" si="71"/>
        <v>1</v>
      </c>
      <c r="H444" s="951"/>
      <c r="I444" s="53">
        <f t="shared" si="72"/>
        <v>1</v>
      </c>
      <c r="J444" s="951"/>
      <c r="K444" s="53">
        <f t="shared" si="73"/>
        <v>1</v>
      </c>
      <c r="L444" s="951"/>
      <c r="M444" s="53">
        <f t="shared" si="74"/>
        <v>1</v>
      </c>
      <c r="N444" s="951"/>
      <c r="O444" s="53">
        <f t="shared" si="75"/>
        <v>1</v>
      </c>
      <c r="P444" s="951"/>
      <c r="Q444" s="53">
        <f t="shared" si="76"/>
        <v>1</v>
      </c>
      <c r="R444" s="484">
        <f t="shared" si="77"/>
        <v>0</v>
      </c>
      <c r="S444" s="789">
        <f t="shared" si="78"/>
        <v>0</v>
      </c>
    </row>
    <row r="445" spans="1:19">
      <c r="A445" s="953"/>
      <c r="B445" s="136"/>
      <c r="C445" s="53">
        <f t="shared" si="69"/>
        <v>1</v>
      </c>
      <c r="D445" s="951"/>
      <c r="E445" s="53">
        <f t="shared" si="70"/>
        <v>1</v>
      </c>
      <c r="F445" s="951"/>
      <c r="G445" s="53">
        <f t="shared" si="71"/>
        <v>1</v>
      </c>
      <c r="H445" s="951"/>
      <c r="I445" s="53">
        <f t="shared" si="72"/>
        <v>1</v>
      </c>
      <c r="J445" s="951"/>
      <c r="K445" s="53">
        <f t="shared" si="73"/>
        <v>1</v>
      </c>
      <c r="L445" s="951"/>
      <c r="M445" s="53">
        <f t="shared" si="74"/>
        <v>1</v>
      </c>
      <c r="N445" s="951"/>
      <c r="O445" s="53">
        <f t="shared" si="75"/>
        <v>1</v>
      </c>
      <c r="P445" s="951"/>
      <c r="Q445" s="53">
        <f t="shared" si="76"/>
        <v>1</v>
      </c>
      <c r="R445" s="484">
        <f t="shared" si="77"/>
        <v>0</v>
      </c>
      <c r="S445" s="789">
        <f t="shared" si="78"/>
        <v>0</v>
      </c>
    </row>
    <row r="446" spans="1:19">
      <c r="A446" s="953"/>
      <c r="B446" s="136"/>
      <c r="C446" s="53">
        <f t="shared" si="69"/>
        <v>1</v>
      </c>
      <c r="D446" s="951"/>
      <c r="E446" s="53">
        <f t="shared" si="70"/>
        <v>1</v>
      </c>
      <c r="F446" s="951"/>
      <c r="G446" s="53">
        <f t="shared" si="71"/>
        <v>1</v>
      </c>
      <c r="H446" s="951"/>
      <c r="I446" s="53">
        <f t="shared" si="72"/>
        <v>1</v>
      </c>
      <c r="J446" s="951"/>
      <c r="K446" s="53">
        <f t="shared" si="73"/>
        <v>1</v>
      </c>
      <c r="L446" s="951"/>
      <c r="M446" s="53">
        <f t="shared" si="74"/>
        <v>1</v>
      </c>
      <c r="N446" s="951"/>
      <c r="O446" s="53">
        <f t="shared" si="75"/>
        <v>1</v>
      </c>
      <c r="P446" s="951"/>
      <c r="Q446" s="53">
        <f t="shared" si="76"/>
        <v>1</v>
      </c>
      <c r="R446" s="484">
        <f t="shared" si="77"/>
        <v>0</v>
      </c>
      <c r="S446" s="789">
        <f t="shared" si="78"/>
        <v>0</v>
      </c>
    </row>
    <row r="447" spans="1:19">
      <c r="A447" s="953"/>
      <c r="B447" s="136"/>
      <c r="C447" s="53">
        <f t="shared" si="69"/>
        <v>1</v>
      </c>
      <c r="D447" s="951"/>
      <c r="E447" s="53">
        <f t="shared" si="70"/>
        <v>1</v>
      </c>
      <c r="F447" s="951"/>
      <c r="G447" s="53">
        <f t="shared" si="71"/>
        <v>1</v>
      </c>
      <c r="H447" s="951"/>
      <c r="I447" s="53">
        <f t="shared" si="72"/>
        <v>1</v>
      </c>
      <c r="J447" s="951"/>
      <c r="K447" s="53">
        <f t="shared" si="73"/>
        <v>1</v>
      </c>
      <c r="L447" s="951"/>
      <c r="M447" s="53">
        <f t="shared" si="74"/>
        <v>1</v>
      </c>
      <c r="N447" s="951"/>
      <c r="O447" s="53">
        <f t="shared" si="75"/>
        <v>1</v>
      </c>
      <c r="P447" s="951"/>
      <c r="Q447" s="53">
        <f t="shared" si="76"/>
        <v>1</v>
      </c>
      <c r="R447" s="484">
        <f t="shared" si="77"/>
        <v>0</v>
      </c>
      <c r="S447" s="789">
        <f t="shared" si="78"/>
        <v>0</v>
      </c>
    </row>
    <row r="448" spans="1:19">
      <c r="A448" s="953"/>
      <c r="B448" s="136"/>
      <c r="C448" s="53">
        <f t="shared" si="69"/>
        <v>1</v>
      </c>
      <c r="D448" s="951"/>
      <c r="E448" s="53">
        <f t="shared" si="70"/>
        <v>1</v>
      </c>
      <c r="F448" s="951"/>
      <c r="G448" s="53">
        <f t="shared" si="71"/>
        <v>1</v>
      </c>
      <c r="H448" s="951"/>
      <c r="I448" s="53">
        <f t="shared" si="72"/>
        <v>1</v>
      </c>
      <c r="J448" s="951"/>
      <c r="K448" s="53">
        <f t="shared" si="73"/>
        <v>1</v>
      </c>
      <c r="L448" s="951"/>
      <c r="M448" s="53">
        <f t="shared" si="74"/>
        <v>1</v>
      </c>
      <c r="N448" s="951"/>
      <c r="O448" s="53">
        <f t="shared" si="75"/>
        <v>1</v>
      </c>
      <c r="P448" s="951"/>
      <c r="Q448" s="53">
        <f t="shared" si="76"/>
        <v>1</v>
      </c>
      <c r="R448" s="484">
        <f t="shared" si="77"/>
        <v>0</v>
      </c>
      <c r="S448" s="789">
        <f t="shared" si="78"/>
        <v>0</v>
      </c>
    </row>
    <row r="449" spans="1:19">
      <c r="A449" s="953"/>
      <c r="B449" s="136"/>
      <c r="C449" s="53">
        <f t="shared" si="69"/>
        <v>1</v>
      </c>
      <c r="D449" s="951"/>
      <c r="E449" s="53">
        <f t="shared" si="70"/>
        <v>1</v>
      </c>
      <c r="F449" s="951"/>
      <c r="G449" s="53">
        <f t="shared" si="71"/>
        <v>1</v>
      </c>
      <c r="H449" s="951"/>
      <c r="I449" s="53">
        <f t="shared" si="72"/>
        <v>1</v>
      </c>
      <c r="J449" s="951"/>
      <c r="K449" s="53">
        <f t="shared" si="73"/>
        <v>1</v>
      </c>
      <c r="L449" s="951"/>
      <c r="M449" s="53">
        <f t="shared" si="74"/>
        <v>1</v>
      </c>
      <c r="N449" s="951"/>
      <c r="O449" s="53">
        <f t="shared" si="75"/>
        <v>1</v>
      </c>
      <c r="P449" s="951"/>
      <c r="Q449" s="53">
        <f t="shared" si="76"/>
        <v>1</v>
      </c>
      <c r="R449" s="484">
        <f t="shared" si="77"/>
        <v>0</v>
      </c>
      <c r="S449" s="789">
        <f t="shared" si="78"/>
        <v>0</v>
      </c>
    </row>
    <row r="450" spans="1:19">
      <c r="A450" s="953"/>
      <c r="B450" s="136"/>
      <c r="C450" s="53">
        <f t="shared" si="69"/>
        <v>1</v>
      </c>
      <c r="D450" s="951"/>
      <c r="E450" s="53">
        <f t="shared" si="70"/>
        <v>1</v>
      </c>
      <c r="F450" s="951"/>
      <c r="G450" s="53">
        <f t="shared" si="71"/>
        <v>1</v>
      </c>
      <c r="H450" s="951"/>
      <c r="I450" s="53">
        <f t="shared" si="72"/>
        <v>1</v>
      </c>
      <c r="J450" s="951"/>
      <c r="K450" s="53">
        <f t="shared" si="73"/>
        <v>1</v>
      </c>
      <c r="L450" s="951"/>
      <c r="M450" s="53">
        <f t="shared" si="74"/>
        <v>1</v>
      </c>
      <c r="N450" s="951"/>
      <c r="O450" s="53">
        <f t="shared" si="75"/>
        <v>1</v>
      </c>
      <c r="P450" s="951"/>
      <c r="Q450" s="53">
        <f t="shared" si="76"/>
        <v>1</v>
      </c>
      <c r="R450" s="484">
        <f t="shared" si="77"/>
        <v>0</v>
      </c>
      <c r="S450" s="789">
        <f t="shared" si="78"/>
        <v>0</v>
      </c>
    </row>
    <row r="451" spans="1:19">
      <c r="A451" s="953"/>
      <c r="B451" s="136"/>
      <c r="C451" s="53">
        <f t="shared" si="69"/>
        <v>1</v>
      </c>
      <c r="D451" s="951"/>
      <c r="E451" s="53">
        <f t="shared" si="70"/>
        <v>1</v>
      </c>
      <c r="F451" s="951"/>
      <c r="G451" s="53">
        <f t="shared" si="71"/>
        <v>1</v>
      </c>
      <c r="H451" s="951"/>
      <c r="I451" s="53">
        <f t="shared" si="72"/>
        <v>1</v>
      </c>
      <c r="J451" s="951"/>
      <c r="K451" s="53">
        <f t="shared" si="73"/>
        <v>1</v>
      </c>
      <c r="L451" s="951"/>
      <c r="M451" s="53">
        <f t="shared" si="74"/>
        <v>1</v>
      </c>
      <c r="N451" s="951"/>
      <c r="O451" s="53">
        <f t="shared" si="75"/>
        <v>1</v>
      </c>
      <c r="P451" s="951"/>
      <c r="Q451" s="53">
        <f t="shared" si="76"/>
        <v>1</v>
      </c>
      <c r="R451" s="484">
        <f t="shared" si="77"/>
        <v>0</v>
      </c>
      <c r="S451" s="789">
        <f t="shared" si="78"/>
        <v>0</v>
      </c>
    </row>
    <row r="452" spans="1:19">
      <c r="A452" s="953"/>
      <c r="B452" s="136"/>
      <c r="C452" s="53">
        <f t="shared" si="69"/>
        <v>1</v>
      </c>
      <c r="D452" s="951"/>
      <c r="E452" s="53">
        <f t="shared" si="70"/>
        <v>1</v>
      </c>
      <c r="F452" s="951"/>
      <c r="G452" s="53">
        <f t="shared" si="71"/>
        <v>1</v>
      </c>
      <c r="H452" s="951"/>
      <c r="I452" s="53">
        <f t="shared" si="72"/>
        <v>1</v>
      </c>
      <c r="J452" s="951"/>
      <c r="K452" s="53">
        <f t="shared" si="73"/>
        <v>1</v>
      </c>
      <c r="L452" s="951"/>
      <c r="M452" s="53">
        <f t="shared" si="74"/>
        <v>1</v>
      </c>
      <c r="N452" s="951"/>
      <c r="O452" s="53">
        <f t="shared" si="75"/>
        <v>1</v>
      </c>
      <c r="P452" s="951"/>
      <c r="Q452" s="53">
        <f t="shared" si="76"/>
        <v>1</v>
      </c>
      <c r="R452" s="484">
        <f t="shared" si="77"/>
        <v>0</v>
      </c>
      <c r="S452" s="789">
        <f t="shared" si="78"/>
        <v>0</v>
      </c>
    </row>
    <row r="453" spans="1:19">
      <c r="A453" s="953"/>
      <c r="B453" s="136"/>
      <c r="C453" s="53">
        <f t="shared" si="69"/>
        <v>1</v>
      </c>
      <c r="D453" s="951"/>
      <c r="E453" s="53">
        <f t="shared" si="70"/>
        <v>1</v>
      </c>
      <c r="F453" s="951"/>
      <c r="G453" s="53">
        <f t="shared" si="71"/>
        <v>1</v>
      </c>
      <c r="H453" s="951"/>
      <c r="I453" s="53">
        <f t="shared" si="72"/>
        <v>1</v>
      </c>
      <c r="J453" s="951"/>
      <c r="K453" s="53">
        <f t="shared" si="73"/>
        <v>1</v>
      </c>
      <c r="L453" s="951"/>
      <c r="M453" s="53">
        <f t="shared" si="74"/>
        <v>1</v>
      </c>
      <c r="N453" s="951"/>
      <c r="O453" s="53">
        <f t="shared" si="75"/>
        <v>1</v>
      </c>
      <c r="P453" s="951"/>
      <c r="Q453" s="53">
        <f t="shared" si="76"/>
        <v>1</v>
      </c>
      <c r="R453" s="484">
        <f t="shared" si="77"/>
        <v>0</v>
      </c>
      <c r="S453" s="789">
        <f t="shared" si="78"/>
        <v>0</v>
      </c>
    </row>
    <row r="454" spans="1:19">
      <c r="A454" s="953"/>
      <c r="B454" s="136"/>
      <c r="C454" s="53">
        <f t="shared" si="69"/>
        <v>1</v>
      </c>
      <c r="D454" s="951"/>
      <c r="E454" s="53">
        <f t="shared" si="70"/>
        <v>1</v>
      </c>
      <c r="F454" s="951"/>
      <c r="G454" s="53">
        <f t="shared" si="71"/>
        <v>1</v>
      </c>
      <c r="H454" s="951"/>
      <c r="I454" s="53">
        <f t="shared" si="72"/>
        <v>1</v>
      </c>
      <c r="J454" s="951"/>
      <c r="K454" s="53">
        <f t="shared" si="73"/>
        <v>1</v>
      </c>
      <c r="L454" s="951"/>
      <c r="M454" s="53">
        <f t="shared" si="74"/>
        <v>1</v>
      </c>
      <c r="N454" s="951"/>
      <c r="O454" s="53">
        <f t="shared" si="75"/>
        <v>1</v>
      </c>
      <c r="P454" s="951"/>
      <c r="Q454" s="53">
        <f t="shared" si="76"/>
        <v>1</v>
      </c>
      <c r="R454" s="484">
        <f t="shared" si="77"/>
        <v>0</v>
      </c>
      <c r="S454" s="789">
        <f t="shared" si="78"/>
        <v>0</v>
      </c>
    </row>
    <row r="455" spans="1:19">
      <c r="A455" s="953"/>
      <c r="B455" s="136"/>
      <c r="C455" s="53">
        <f t="shared" si="69"/>
        <v>1</v>
      </c>
      <c r="D455" s="951"/>
      <c r="E455" s="53">
        <f t="shared" si="70"/>
        <v>1</v>
      </c>
      <c r="F455" s="951"/>
      <c r="G455" s="53">
        <f t="shared" si="71"/>
        <v>1</v>
      </c>
      <c r="H455" s="951"/>
      <c r="I455" s="53">
        <f t="shared" si="72"/>
        <v>1</v>
      </c>
      <c r="J455" s="951"/>
      <c r="K455" s="53">
        <f t="shared" si="73"/>
        <v>1</v>
      </c>
      <c r="L455" s="951"/>
      <c r="M455" s="53">
        <f t="shared" si="74"/>
        <v>1</v>
      </c>
      <c r="N455" s="951"/>
      <c r="O455" s="53">
        <f t="shared" si="75"/>
        <v>1</v>
      </c>
      <c r="P455" s="951"/>
      <c r="Q455" s="53">
        <f t="shared" si="76"/>
        <v>1</v>
      </c>
      <c r="R455" s="484">
        <f t="shared" si="77"/>
        <v>0</v>
      </c>
      <c r="S455" s="789">
        <f t="shared" si="78"/>
        <v>0</v>
      </c>
    </row>
    <row r="456" spans="1:19">
      <c r="A456" s="953"/>
      <c r="B456" s="136"/>
      <c r="C456" s="53">
        <f t="shared" si="69"/>
        <v>1</v>
      </c>
      <c r="D456" s="951"/>
      <c r="E456" s="53">
        <f t="shared" si="70"/>
        <v>1</v>
      </c>
      <c r="F456" s="951"/>
      <c r="G456" s="53">
        <f t="shared" si="71"/>
        <v>1</v>
      </c>
      <c r="H456" s="951"/>
      <c r="I456" s="53">
        <f t="shared" si="72"/>
        <v>1</v>
      </c>
      <c r="J456" s="951"/>
      <c r="K456" s="53">
        <f t="shared" si="73"/>
        <v>1</v>
      </c>
      <c r="L456" s="951"/>
      <c r="M456" s="53">
        <f t="shared" si="74"/>
        <v>1</v>
      </c>
      <c r="N456" s="951"/>
      <c r="O456" s="53">
        <f t="shared" si="75"/>
        <v>1</v>
      </c>
      <c r="P456" s="951"/>
      <c r="Q456" s="53">
        <f t="shared" si="76"/>
        <v>1</v>
      </c>
      <c r="R456" s="484">
        <f t="shared" si="77"/>
        <v>0</v>
      </c>
      <c r="S456" s="789">
        <f t="shared" si="78"/>
        <v>0</v>
      </c>
    </row>
    <row r="457" spans="1:19">
      <c r="A457" s="953"/>
      <c r="B457" s="136"/>
      <c r="C457" s="53">
        <f t="shared" si="69"/>
        <v>1</v>
      </c>
      <c r="D457" s="951"/>
      <c r="E457" s="53">
        <f t="shared" si="70"/>
        <v>1</v>
      </c>
      <c r="F457" s="951"/>
      <c r="G457" s="53">
        <f t="shared" si="71"/>
        <v>1</v>
      </c>
      <c r="H457" s="951"/>
      <c r="I457" s="53">
        <f t="shared" si="72"/>
        <v>1</v>
      </c>
      <c r="J457" s="951"/>
      <c r="K457" s="53">
        <f t="shared" si="73"/>
        <v>1</v>
      </c>
      <c r="L457" s="951"/>
      <c r="M457" s="53">
        <f t="shared" si="74"/>
        <v>1</v>
      </c>
      <c r="N457" s="951"/>
      <c r="O457" s="53">
        <f t="shared" si="75"/>
        <v>1</v>
      </c>
      <c r="P457" s="951"/>
      <c r="Q457" s="53">
        <f t="shared" si="76"/>
        <v>1</v>
      </c>
      <c r="R457" s="484">
        <f t="shared" si="77"/>
        <v>0</v>
      </c>
      <c r="S457" s="789">
        <f t="shared" si="78"/>
        <v>0</v>
      </c>
    </row>
    <row r="458" spans="1:19">
      <c r="A458" s="953"/>
      <c r="B458" s="136"/>
      <c r="C458" s="53">
        <f t="shared" si="69"/>
        <v>1</v>
      </c>
      <c r="D458" s="951"/>
      <c r="E458" s="53">
        <f t="shared" si="70"/>
        <v>1</v>
      </c>
      <c r="F458" s="951"/>
      <c r="G458" s="53">
        <f t="shared" si="71"/>
        <v>1</v>
      </c>
      <c r="H458" s="951"/>
      <c r="I458" s="53">
        <f t="shared" si="72"/>
        <v>1</v>
      </c>
      <c r="J458" s="951"/>
      <c r="K458" s="53">
        <f t="shared" si="73"/>
        <v>1</v>
      </c>
      <c r="L458" s="951"/>
      <c r="M458" s="53">
        <f t="shared" si="74"/>
        <v>1</v>
      </c>
      <c r="N458" s="951"/>
      <c r="O458" s="53">
        <f t="shared" si="75"/>
        <v>1</v>
      </c>
      <c r="P458" s="951"/>
      <c r="Q458" s="53">
        <f t="shared" si="76"/>
        <v>1</v>
      </c>
      <c r="R458" s="484">
        <f t="shared" si="77"/>
        <v>0</v>
      </c>
      <c r="S458" s="789">
        <f t="shared" si="78"/>
        <v>0</v>
      </c>
    </row>
    <row r="459" spans="1:19">
      <c r="A459" s="953"/>
      <c r="B459" s="136"/>
      <c r="C459" s="53">
        <f t="shared" si="69"/>
        <v>1</v>
      </c>
      <c r="D459" s="951"/>
      <c r="E459" s="53">
        <f t="shared" si="70"/>
        <v>1</v>
      </c>
      <c r="F459" s="951"/>
      <c r="G459" s="53">
        <f t="shared" si="71"/>
        <v>1</v>
      </c>
      <c r="H459" s="951"/>
      <c r="I459" s="53">
        <f t="shared" si="72"/>
        <v>1</v>
      </c>
      <c r="J459" s="951"/>
      <c r="K459" s="53">
        <f t="shared" si="73"/>
        <v>1</v>
      </c>
      <c r="L459" s="951"/>
      <c r="M459" s="53">
        <f t="shared" si="74"/>
        <v>1</v>
      </c>
      <c r="N459" s="951"/>
      <c r="O459" s="53">
        <f t="shared" si="75"/>
        <v>1</v>
      </c>
      <c r="P459" s="951"/>
      <c r="Q459" s="53">
        <f t="shared" si="76"/>
        <v>1</v>
      </c>
      <c r="R459" s="484">
        <f t="shared" si="77"/>
        <v>0</v>
      </c>
      <c r="S459" s="789">
        <f t="shared" si="78"/>
        <v>0</v>
      </c>
    </row>
    <row r="460" spans="1:19">
      <c r="A460" s="953"/>
      <c r="B460" s="136"/>
      <c r="C460" s="53">
        <f t="shared" si="69"/>
        <v>1</v>
      </c>
      <c r="D460" s="951"/>
      <c r="E460" s="53">
        <f t="shared" si="70"/>
        <v>1</v>
      </c>
      <c r="F460" s="951"/>
      <c r="G460" s="53">
        <f t="shared" si="71"/>
        <v>1</v>
      </c>
      <c r="H460" s="951"/>
      <c r="I460" s="53">
        <f t="shared" si="72"/>
        <v>1</v>
      </c>
      <c r="J460" s="951"/>
      <c r="K460" s="53">
        <f t="shared" si="73"/>
        <v>1</v>
      </c>
      <c r="L460" s="951"/>
      <c r="M460" s="53">
        <f t="shared" si="74"/>
        <v>1</v>
      </c>
      <c r="N460" s="951"/>
      <c r="O460" s="53">
        <f t="shared" si="75"/>
        <v>1</v>
      </c>
      <c r="P460" s="951"/>
      <c r="Q460" s="53">
        <f t="shared" si="76"/>
        <v>1</v>
      </c>
      <c r="R460" s="484">
        <f t="shared" si="77"/>
        <v>0</v>
      </c>
      <c r="S460" s="789">
        <f t="shared" si="78"/>
        <v>0</v>
      </c>
    </row>
    <row r="461" spans="1:19">
      <c r="A461" s="953"/>
      <c r="B461" s="136"/>
      <c r="C461" s="53">
        <f t="shared" si="69"/>
        <v>1</v>
      </c>
      <c r="D461" s="951"/>
      <c r="E461" s="53">
        <f t="shared" si="70"/>
        <v>1</v>
      </c>
      <c r="F461" s="951"/>
      <c r="G461" s="53">
        <f t="shared" si="71"/>
        <v>1</v>
      </c>
      <c r="H461" s="951"/>
      <c r="I461" s="53">
        <f t="shared" si="72"/>
        <v>1</v>
      </c>
      <c r="J461" s="951"/>
      <c r="K461" s="53">
        <f t="shared" si="73"/>
        <v>1</v>
      </c>
      <c r="L461" s="951"/>
      <c r="M461" s="53">
        <f t="shared" si="74"/>
        <v>1</v>
      </c>
      <c r="N461" s="951"/>
      <c r="O461" s="53">
        <f t="shared" si="75"/>
        <v>1</v>
      </c>
      <c r="P461" s="951"/>
      <c r="Q461" s="53">
        <f t="shared" si="76"/>
        <v>1</v>
      </c>
      <c r="R461" s="484">
        <f t="shared" si="77"/>
        <v>0</v>
      </c>
      <c r="S461" s="789">
        <f t="shared" si="78"/>
        <v>0</v>
      </c>
    </row>
    <row r="462" spans="1:19">
      <c r="A462" s="953"/>
      <c r="B462" s="136"/>
      <c r="C462" s="53">
        <f t="shared" si="69"/>
        <v>1</v>
      </c>
      <c r="D462" s="951"/>
      <c r="E462" s="53">
        <f t="shared" si="70"/>
        <v>1</v>
      </c>
      <c r="F462" s="951"/>
      <c r="G462" s="53">
        <f t="shared" si="71"/>
        <v>1</v>
      </c>
      <c r="H462" s="951"/>
      <c r="I462" s="53">
        <f t="shared" si="72"/>
        <v>1</v>
      </c>
      <c r="J462" s="951"/>
      <c r="K462" s="53">
        <f t="shared" si="73"/>
        <v>1</v>
      </c>
      <c r="L462" s="951"/>
      <c r="M462" s="53">
        <f t="shared" si="74"/>
        <v>1</v>
      </c>
      <c r="N462" s="951"/>
      <c r="O462" s="53">
        <f t="shared" si="75"/>
        <v>1</v>
      </c>
      <c r="P462" s="951"/>
      <c r="Q462" s="53">
        <f t="shared" si="76"/>
        <v>1</v>
      </c>
      <c r="R462" s="484">
        <f t="shared" si="77"/>
        <v>0</v>
      </c>
      <c r="S462" s="789">
        <f t="shared" si="78"/>
        <v>0</v>
      </c>
    </row>
    <row r="463" spans="1:19">
      <c r="A463" s="953"/>
      <c r="B463" s="136"/>
      <c r="C463" s="53">
        <f t="shared" si="69"/>
        <v>1</v>
      </c>
      <c r="D463" s="951"/>
      <c r="E463" s="53">
        <f t="shared" si="70"/>
        <v>1</v>
      </c>
      <c r="F463" s="951"/>
      <c r="G463" s="53">
        <f t="shared" si="71"/>
        <v>1</v>
      </c>
      <c r="H463" s="951"/>
      <c r="I463" s="53">
        <f t="shared" si="72"/>
        <v>1</v>
      </c>
      <c r="J463" s="951"/>
      <c r="K463" s="53">
        <f t="shared" si="73"/>
        <v>1</v>
      </c>
      <c r="L463" s="951"/>
      <c r="M463" s="53">
        <f t="shared" si="74"/>
        <v>1</v>
      </c>
      <c r="N463" s="951"/>
      <c r="O463" s="53">
        <f t="shared" si="75"/>
        <v>1</v>
      </c>
      <c r="P463" s="951"/>
      <c r="Q463" s="53">
        <f t="shared" si="76"/>
        <v>1</v>
      </c>
      <c r="R463" s="484">
        <f t="shared" si="77"/>
        <v>0</v>
      </c>
      <c r="S463" s="789">
        <f t="shared" si="78"/>
        <v>0</v>
      </c>
    </row>
    <row r="464" spans="1:19">
      <c r="A464" s="953"/>
      <c r="B464" s="136"/>
      <c r="C464" s="53">
        <f t="shared" si="69"/>
        <v>1</v>
      </c>
      <c r="D464" s="951"/>
      <c r="E464" s="53">
        <f t="shared" si="70"/>
        <v>1</v>
      </c>
      <c r="F464" s="951"/>
      <c r="G464" s="53">
        <f t="shared" si="71"/>
        <v>1</v>
      </c>
      <c r="H464" s="951"/>
      <c r="I464" s="53">
        <f t="shared" si="72"/>
        <v>1</v>
      </c>
      <c r="J464" s="951"/>
      <c r="K464" s="53">
        <f t="shared" si="73"/>
        <v>1</v>
      </c>
      <c r="L464" s="951"/>
      <c r="M464" s="53">
        <f t="shared" si="74"/>
        <v>1</v>
      </c>
      <c r="N464" s="951"/>
      <c r="O464" s="53">
        <f t="shared" si="75"/>
        <v>1</v>
      </c>
      <c r="P464" s="951"/>
      <c r="Q464" s="53">
        <f t="shared" si="76"/>
        <v>1</v>
      </c>
      <c r="R464" s="484">
        <f t="shared" si="77"/>
        <v>0</v>
      </c>
      <c r="S464" s="789">
        <f t="shared" si="78"/>
        <v>0</v>
      </c>
    </row>
    <row r="465" spans="1:19">
      <c r="A465" s="953"/>
      <c r="B465" s="136"/>
      <c r="C465" s="53">
        <f t="shared" si="69"/>
        <v>1</v>
      </c>
      <c r="D465" s="951"/>
      <c r="E465" s="53">
        <f t="shared" si="70"/>
        <v>1</v>
      </c>
      <c r="F465" s="951"/>
      <c r="G465" s="53">
        <f t="shared" si="71"/>
        <v>1</v>
      </c>
      <c r="H465" s="951"/>
      <c r="I465" s="53">
        <f t="shared" si="72"/>
        <v>1</v>
      </c>
      <c r="J465" s="951"/>
      <c r="K465" s="53">
        <f t="shared" si="73"/>
        <v>1</v>
      </c>
      <c r="L465" s="951"/>
      <c r="M465" s="53">
        <f t="shared" si="74"/>
        <v>1</v>
      </c>
      <c r="N465" s="951"/>
      <c r="O465" s="53">
        <f t="shared" si="75"/>
        <v>1</v>
      </c>
      <c r="P465" s="951"/>
      <c r="Q465" s="53">
        <f t="shared" si="76"/>
        <v>1</v>
      </c>
      <c r="R465" s="484">
        <f t="shared" si="77"/>
        <v>0</v>
      </c>
      <c r="S465" s="789">
        <f t="shared" si="78"/>
        <v>0</v>
      </c>
    </row>
    <row r="466" spans="1:19">
      <c r="A466" s="953"/>
      <c r="B466" s="136"/>
      <c r="C466" s="53">
        <f t="shared" si="69"/>
        <v>1</v>
      </c>
      <c r="D466" s="951"/>
      <c r="E466" s="53">
        <f t="shared" si="70"/>
        <v>1</v>
      </c>
      <c r="F466" s="951"/>
      <c r="G466" s="53">
        <f t="shared" si="71"/>
        <v>1</v>
      </c>
      <c r="H466" s="951"/>
      <c r="I466" s="53">
        <f t="shared" si="72"/>
        <v>1</v>
      </c>
      <c r="J466" s="951"/>
      <c r="K466" s="53">
        <f t="shared" si="73"/>
        <v>1</v>
      </c>
      <c r="L466" s="951"/>
      <c r="M466" s="53">
        <f t="shared" si="74"/>
        <v>1</v>
      </c>
      <c r="N466" s="951"/>
      <c r="O466" s="53">
        <f t="shared" si="75"/>
        <v>1</v>
      </c>
      <c r="P466" s="951"/>
      <c r="Q466" s="53">
        <f t="shared" si="76"/>
        <v>1</v>
      </c>
      <c r="R466" s="484">
        <f t="shared" si="77"/>
        <v>0</v>
      </c>
      <c r="S466" s="789">
        <f t="shared" si="78"/>
        <v>0</v>
      </c>
    </row>
    <row r="467" spans="1:19">
      <c r="A467" s="953"/>
      <c r="B467" s="136"/>
      <c r="C467" s="53">
        <f t="shared" si="69"/>
        <v>1</v>
      </c>
      <c r="D467" s="951"/>
      <c r="E467" s="53">
        <f t="shared" si="70"/>
        <v>1</v>
      </c>
      <c r="F467" s="951"/>
      <c r="G467" s="53">
        <f t="shared" si="71"/>
        <v>1</v>
      </c>
      <c r="H467" s="951"/>
      <c r="I467" s="53">
        <f t="shared" si="72"/>
        <v>1</v>
      </c>
      <c r="J467" s="951"/>
      <c r="K467" s="53">
        <f t="shared" si="73"/>
        <v>1</v>
      </c>
      <c r="L467" s="951"/>
      <c r="M467" s="53">
        <f t="shared" si="74"/>
        <v>1</v>
      </c>
      <c r="N467" s="951"/>
      <c r="O467" s="53">
        <f t="shared" si="75"/>
        <v>1</v>
      </c>
      <c r="P467" s="951"/>
      <c r="Q467" s="53">
        <f t="shared" si="76"/>
        <v>1</v>
      </c>
      <c r="R467" s="484">
        <f t="shared" si="77"/>
        <v>0</v>
      </c>
      <c r="S467" s="789">
        <f t="shared" si="78"/>
        <v>0</v>
      </c>
    </row>
    <row r="468" spans="1:19">
      <c r="A468" s="953"/>
      <c r="B468" s="136"/>
      <c r="C468" s="53">
        <f t="shared" si="69"/>
        <v>1</v>
      </c>
      <c r="D468" s="951"/>
      <c r="E468" s="53">
        <f t="shared" si="70"/>
        <v>1</v>
      </c>
      <c r="F468" s="951"/>
      <c r="G468" s="53">
        <f t="shared" si="71"/>
        <v>1</v>
      </c>
      <c r="H468" s="951"/>
      <c r="I468" s="53">
        <f t="shared" si="72"/>
        <v>1</v>
      </c>
      <c r="J468" s="951"/>
      <c r="K468" s="53">
        <f t="shared" si="73"/>
        <v>1</v>
      </c>
      <c r="L468" s="951"/>
      <c r="M468" s="53">
        <f t="shared" si="74"/>
        <v>1</v>
      </c>
      <c r="N468" s="951"/>
      <c r="O468" s="53">
        <f t="shared" si="75"/>
        <v>1</v>
      </c>
      <c r="P468" s="951"/>
      <c r="Q468" s="53">
        <f t="shared" si="76"/>
        <v>1</v>
      </c>
      <c r="R468" s="484">
        <f t="shared" si="77"/>
        <v>0</v>
      </c>
      <c r="S468" s="789">
        <f t="shared" ref="S468:S497" si="79">ROUND(R468*B468/10000,0)</f>
        <v>0</v>
      </c>
    </row>
    <row r="469" spans="1:19">
      <c r="A469" s="953"/>
      <c r="B469" s="136"/>
      <c r="C469" s="53">
        <f t="shared" si="69"/>
        <v>1</v>
      </c>
      <c r="D469" s="951"/>
      <c r="E469" s="53">
        <f t="shared" si="70"/>
        <v>1</v>
      </c>
      <c r="F469" s="951"/>
      <c r="G469" s="53">
        <f t="shared" si="71"/>
        <v>1</v>
      </c>
      <c r="H469" s="951"/>
      <c r="I469" s="53">
        <f t="shared" si="72"/>
        <v>1</v>
      </c>
      <c r="J469" s="951"/>
      <c r="K469" s="53">
        <f t="shared" si="73"/>
        <v>1</v>
      </c>
      <c r="L469" s="951"/>
      <c r="M469" s="53">
        <f t="shared" si="74"/>
        <v>1</v>
      </c>
      <c r="N469" s="951"/>
      <c r="O469" s="53">
        <f t="shared" si="75"/>
        <v>1</v>
      </c>
      <c r="P469" s="951"/>
      <c r="Q469" s="53">
        <f t="shared" si="76"/>
        <v>1</v>
      </c>
      <c r="R469" s="484">
        <f t="shared" si="77"/>
        <v>0</v>
      </c>
      <c r="S469" s="789">
        <f t="shared" si="79"/>
        <v>0</v>
      </c>
    </row>
    <row r="470" spans="1:19">
      <c r="A470" s="953"/>
      <c r="B470" s="136"/>
      <c r="C470" s="53">
        <f t="shared" si="69"/>
        <v>1</v>
      </c>
      <c r="D470" s="951"/>
      <c r="E470" s="53">
        <f t="shared" si="70"/>
        <v>1</v>
      </c>
      <c r="F470" s="951"/>
      <c r="G470" s="53">
        <f t="shared" si="71"/>
        <v>1</v>
      </c>
      <c r="H470" s="951"/>
      <c r="I470" s="53">
        <f t="shared" si="72"/>
        <v>1</v>
      </c>
      <c r="J470" s="951"/>
      <c r="K470" s="53">
        <f t="shared" si="73"/>
        <v>1</v>
      </c>
      <c r="L470" s="951"/>
      <c r="M470" s="53">
        <f t="shared" si="74"/>
        <v>1</v>
      </c>
      <c r="N470" s="951"/>
      <c r="O470" s="53">
        <f t="shared" si="75"/>
        <v>1</v>
      </c>
      <c r="P470" s="951"/>
      <c r="Q470" s="53">
        <f t="shared" si="76"/>
        <v>1</v>
      </c>
      <c r="R470" s="484">
        <f t="shared" si="77"/>
        <v>0</v>
      </c>
      <c r="S470" s="789">
        <f t="shared" si="79"/>
        <v>0</v>
      </c>
    </row>
    <row r="471" spans="1:19">
      <c r="A471" s="953"/>
      <c r="B471" s="136"/>
      <c r="C471" s="53">
        <f t="shared" si="69"/>
        <v>1</v>
      </c>
      <c r="D471" s="951"/>
      <c r="E471" s="53">
        <f t="shared" si="70"/>
        <v>1</v>
      </c>
      <c r="F471" s="951"/>
      <c r="G471" s="53">
        <f t="shared" si="71"/>
        <v>1</v>
      </c>
      <c r="H471" s="951"/>
      <c r="I471" s="53">
        <f t="shared" si="72"/>
        <v>1</v>
      </c>
      <c r="J471" s="951"/>
      <c r="K471" s="53">
        <f t="shared" si="73"/>
        <v>1</v>
      </c>
      <c r="L471" s="951"/>
      <c r="M471" s="53">
        <f t="shared" si="74"/>
        <v>1</v>
      </c>
      <c r="N471" s="951"/>
      <c r="O471" s="53">
        <f t="shared" si="75"/>
        <v>1</v>
      </c>
      <c r="P471" s="951"/>
      <c r="Q471" s="53">
        <f t="shared" si="76"/>
        <v>1</v>
      </c>
      <c r="R471" s="484">
        <f t="shared" si="77"/>
        <v>0</v>
      </c>
      <c r="S471" s="789">
        <f t="shared" si="79"/>
        <v>0</v>
      </c>
    </row>
    <row r="472" spans="1:19">
      <c r="A472" s="953"/>
      <c r="B472" s="136"/>
      <c r="C472" s="53">
        <f t="shared" si="69"/>
        <v>1</v>
      </c>
      <c r="D472" s="951"/>
      <c r="E472" s="53">
        <f t="shared" si="70"/>
        <v>1</v>
      </c>
      <c r="F472" s="951"/>
      <c r="G472" s="53">
        <f t="shared" si="71"/>
        <v>1</v>
      </c>
      <c r="H472" s="951"/>
      <c r="I472" s="53">
        <f t="shared" si="72"/>
        <v>1</v>
      </c>
      <c r="J472" s="951"/>
      <c r="K472" s="53">
        <f t="shared" si="73"/>
        <v>1</v>
      </c>
      <c r="L472" s="951"/>
      <c r="M472" s="53">
        <f t="shared" si="74"/>
        <v>1</v>
      </c>
      <c r="N472" s="951"/>
      <c r="O472" s="53">
        <f t="shared" si="75"/>
        <v>1</v>
      </c>
      <c r="P472" s="951"/>
      <c r="Q472" s="53">
        <f t="shared" si="76"/>
        <v>1</v>
      </c>
      <c r="R472" s="484">
        <f t="shared" si="77"/>
        <v>0</v>
      </c>
      <c r="S472" s="789">
        <f t="shared" si="79"/>
        <v>0</v>
      </c>
    </row>
    <row r="473" spans="1:19">
      <c r="A473" s="953"/>
      <c r="B473" s="136"/>
      <c r="C473" s="53">
        <f t="shared" si="69"/>
        <v>1</v>
      </c>
      <c r="D473" s="951"/>
      <c r="E473" s="53">
        <f t="shared" si="70"/>
        <v>1</v>
      </c>
      <c r="F473" s="951"/>
      <c r="G473" s="53">
        <f t="shared" si="71"/>
        <v>1</v>
      </c>
      <c r="H473" s="951"/>
      <c r="I473" s="53">
        <f t="shared" si="72"/>
        <v>1</v>
      </c>
      <c r="J473" s="951"/>
      <c r="K473" s="53">
        <f t="shared" si="73"/>
        <v>1</v>
      </c>
      <c r="L473" s="951"/>
      <c r="M473" s="53">
        <f t="shared" si="74"/>
        <v>1</v>
      </c>
      <c r="N473" s="951"/>
      <c r="O473" s="53">
        <f t="shared" si="75"/>
        <v>1</v>
      </c>
      <c r="P473" s="951"/>
      <c r="Q473" s="53">
        <f t="shared" si="76"/>
        <v>1</v>
      </c>
      <c r="R473" s="484">
        <f t="shared" si="77"/>
        <v>0</v>
      </c>
      <c r="S473" s="789">
        <f t="shared" si="79"/>
        <v>0</v>
      </c>
    </row>
    <row r="474" spans="1:19">
      <c r="A474" s="953"/>
      <c r="B474" s="136"/>
      <c r="C474" s="53">
        <f t="shared" ref="C474:C524" si="80">IF(B474="",1,(LOOKUP(B474,$3:$3,$4:$4)-LOOKUP($B$24,$3:$3,$4:$4)+100)/100)</f>
        <v>1</v>
      </c>
      <c r="D474" s="951"/>
      <c r="E474" s="53">
        <f t="shared" ref="E474:E524" si="81">(SUMIF($5:$5,D474,$6:$6)-SUMIF($5:$5,$D$24,$6:$6)+100)/100</f>
        <v>1</v>
      </c>
      <c r="F474" s="951"/>
      <c r="G474" s="53">
        <f t="shared" ref="G474:G524" si="82">(SUMIF($7:$7,F474,$8:$8)-SUMIF($7:$7,$F$24,$8:$8)+100)/100</f>
        <v>1</v>
      </c>
      <c r="H474" s="951"/>
      <c r="I474" s="53">
        <f t="shared" ref="I474:I524" si="83">(SUMIF($9:$9,H474,$10:$10)-SUMIF($9:$9,$H$24,$10:$10)+100)/100</f>
        <v>1</v>
      </c>
      <c r="J474" s="951"/>
      <c r="K474" s="53">
        <f t="shared" ref="K474:K524" si="84">(SUMIF($11:$11,J474,$12:$12)-SUMIF($11:$11,$J$24,$12:$12)+100)/100</f>
        <v>1</v>
      </c>
      <c r="L474" s="951"/>
      <c r="M474" s="53">
        <f t="shared" ref="M474:M524" si="85">(SUMIF($13:$13,L474,$14:$14)-SUMIF($13:$13,$L$24,$14:$14)+100)/100</f>
        <v>1</v>
      </c>
      <c r="N474" s="951"/>
      <c r="O474" s="53">
        <f t="shared" ref="O474:O524" si="86">(SUMIF($15:$15,N474,$16:$16)-SUMIF($15:$15,$N$24,$16:$16)+100)/100</f>
        <v>1</v>
      </c>
      <c r="P474" s="951"/>
      <c r="Q474" s="53">
        <f t="shared" ref="Q474:Q524" si="87">(SUMIF($17:$17,P474,$18:$18)-SUMIF($17:$17,$P$24,$18:$18)+100)/100</f>
        <v>1</v>
      </c>
      <c r="R474" s="484">
        <f t="shared" ref="R474:R524" si="88">IF(B474="",0,ROUND($R$24*C474*E474*G474*I474*K474*M474*O474*Q474,0))</f>
        <v>0</v>
      </c>
      <c r="S474" s="789">
        <f t="shared" si="79"/>
        <v>0</v>
      </c>
    </row>
    <row r="475" spans="1:19">
      <c r="A475" s="953"/>
      <c r="B475" s="136"/>
      <c r="C475" s="53">
        <f t="shared" si="80"/>
        <v>1</v>
      </c>
      <c r="D475" s="951"/>
      <c r="E475" s="53">
        <f t="shared" si="81"/>
        <v>1</v>
      </c>
      <c r="F475" s="951"/>
      <c r="G475" s="53">
        <f t="shared" si="82"/>
        <v>1</v>
      </c>
      <c r="H475" s="951"/>
      <c r="I475" s="53">
        <f t="shared" si="83"/>
        <v>1</v>
      </c>
      <c r="J475" s="951"/>
      <c r="K475" s="53">
        <f t="shared" si="84"/>
        <v>1</v>
      </c>
      <c r="L475" s="951"/>
      <c r="M475" s="53">
        <f t="shared" si="85"/>
        <v>1</v>
      </c>
      <c r="N475" s="951"/>
      <c r="O475" s="53">
        <f t="shared" si="86"/>
        <v>1</v>
      </c>
      <c r="P475" s="951"/>
      <c r="Q475" s="53">
        <f t="shared" si="87"/>
        <v>1</v>
      </c>
      <c r="R475" s="484">
        <f t="shared" si="88"/>
        <v>0</v>
      </c>
      <c r="S475" s="789">
        <f t="shared" si="79"/>
        <v>0</v>
      </c>
    </row>
    <row r="476" spans="1:19">
      <c r="A476" s="953"/>
      <c r="B476" s="136"/>
      <c r="C476" s="53">
        <f t="shared" si="80"/>
        <v>1</v>
      </c>
      <c r="D476" s="951"/>
      <c r="E476" s="53">
        <f t="shared" si="81"/>
        <v>1</v>
      </c>
      <c r="F476" s="951"/>
      <c r="G476" s="53">
        <f t="shared" si="82"/>
        <v>1</v>
      </c>
      <c r="H476" s="951"/>
      <c r="I476" s="53">
        <f t="shared" si="83"/>
        <v>1</v>
      </c>
      <c r="J476" s="951"/>
      <c r="K476" s="53">
        <f t="shared" si="84"/>
        <v>1</v>
      </c>
      <c r="L476" s="951"/>
      <c r="M476" s="53">
        <f t="shared" si="85"/>
        <v>1</v>
      </c>
      <c r="N476" s="951"/>
      <c r="O476" s="53">
        <f t="shared" si="86"/>
        <v>1</v>
      </c>
      <c r="P476" s="951"/>
      <c r="Q476" s="53">
        <f t="shared" si="87"/>
        <v>1</v>
      </c>
      <c r="R476" s="484">
        <f t="shared" si="88"/>
        <v>0</v>
      </c>
      <c r="S476" s="789">
        <f t="shared" si="79"/>
        <v>0</v>
      </c>
    </row>
    <row r="477" spans="1:19">
      <c r="A477" s="953"/>
      <c r="B477" s="136"/>
      <c r="C477" s="53">
        <f t="shared" si="80"/>
        <v>1</v>
      </c>
      <c r="D477" s="951"/>
      <c r="E477" s="53">
        <f t="shared" si="81"/>
        <v>1</v>
      </c>
      <c r="F477" s="951"/>
      <c r="G477" s="53">
        <f t="shared" si="82"/>
        <v>1</v>
      </c>
      <c r="H477" s="951"/>
      <c r="I477" s="53">
        <f t="shared" si="83"/>
        <v>1</v>
      </c>
      <c r="J477" s="951"/>
      <c r="K477" s="53">
        <f t="shared" si="84"/>
        <v>1</v>
      </c>
      <c r="L477" s="951"/>
      <c r="M477" s="53">
        <f t="shared" si="85"/>
        <v>1</v>
      </c>
      <c r="N477" s="951"/>
      <c r="O477" s="53">
        <f t="shared" si="86"/>
        <v>1</v>
      </c>
      <c r="P477" s="951"/>
      <c r="Q477" s="53">
        <f t="shared" si="87"/>
        <v>1</v>
      </c>
      <c r="R477" s="484">
        <f t="shared" si="88"/>
        <v>0</v>
      </c>
      <c r="S477" s="789">
        <f t="shared" si="79"/>
        <v>0</v>
      </c>
    </row>
    <row r="478" spans="1:19">
      <c r="A478" s="953"/>
      <c r="B478" s="136"/>
      <c r="C478" s="53">
        <f t="shared" si="80"/>
        <v>1</v>
      </c>
      <c r="D478" s="951"/>
      <c r="E478" s="53">
        <f t="shared" si="81"/>
        <v>1</v>
      </c>
      <c r="F478" s="951"/>
      <c r="G478" s="53">
        <f t="shared" si="82"/>
        <v>1</v>
      </c>
      <c r="H478" s="951"/>
      <c r="I478" s="53">
        <f t="shared" si="83"/>
        <v>1</v>
      </c>
      <c r="J478" s="951"/>
      <c r="K478" s="53">
        <f t="shared" si="84"/>
        <v>1</v>
      </c>
      <c r="L478" s="951"/>
      <c r="M478" s="53">
        <f t="shared" si="85"/>
        <v>1</v>
      </c>
      <c r="N478" s="951"/>
      <c r="O478" s="53">
        <f t="shared" si="86"/>
        <v>1</v>
      </c>
      <c r="P478" s="951"/>
      <c r="Q478" s="53">
        <f t="shared" si="87"/>
        <v>1</v>
      </c>
      <c r="R478" s="484">
        <f t="shared" si="88"/>
        <v>0</v>
      </c>
      <c r="S478" s="789">
        <f t="shared" si="79"/>
        <v>0</v>
      </c>
    </row>
    <row r="479" spans="1:19">
      <c r="A479" s="953"/>
      <c r="B479" s="136"/>
      <c r="C479" s="53">
        <f t="shared" si="80"/>
        <v>1</v>
      </c>
      <c r="D479" s="951"/>
      <c r="E479" s="53">
        <f t="shared" si="81"/>
        <v>1</v>
      </c>
      <c r="F479" s="951"/>
      <c r="G479" s="53">
        <f t="shared" si="82"/>
        <v>1</v>
      </c>
      <c r="H479" s="951"/>
      <c r="I479" s="53">
        <f t="shared" si="83"/>
        <v>1</v>
      </c>
      <c r="J479" s="951"/>
      <c r="K479" s="53">
        <f t="shared" si="84"/>
        <v>1</v>
      </c>
      <c r="L479" s="951"/>
      <c r="M479" s="53">
        <f t="shared" si="85"/>
        <v>1</v>
      </c>
      <c r="N479" s="951"/>
      <c r="O479" s="53">
        <f t="shared" si="86"/>
        <v>1</v>
      </c>
      <c r="P479" s="951"/>
      <c r="Q479" s="53">
        <f t="shared" si="87"/>
        <v>1</v>
      </c>
      <c r="R479" s="484">
        <f t="shared" si="88"/>
        <v>0</v>
      </c>
      <c r="S479" s="789">
        <f t="shared" si="79"/>
        <v>0</v>
      </c>
    </row>
    <row r="480" spans="1:19">
      <c r="A480" s="953"/>
      <c r="B480" s="136"/>
      <c r="C480" s="53">
        <f t="shared" si="80"/>
        <v>1</v>
      </c>
      <c r="D480" s="951"/>
      <c r="E480" s="53">
        <f t="shared" si="81"/>
        <v>1</v>
      </c>
      <c r="F480" s="951"/>
      <c r="G480" s="53">
        <f t="shared" si="82"/>
        <v>1</v>
      </c>
      <c r="H480" s="951"/>
      <c r="I480" s="53">
        <f t="shared" si="83"/>
        <v>1</v>
      </c>
      <c r="J480" s="951"/>
      <c r="K480" s="53">
        <f t="shared" si="84"/>
        <v>1</v>
      </c>
      <c r="L480" s="951"/>
      <c r="M480" s="53">
        <f t="shared" si="85"/>
        <v>1</v>
      </c>
      <c r="N480" s="951"/>
      <c r="O480" s="53">
        <f t="shared" si="86"/>
        <v>1</v>
      </c>
      <c r="P480" s="951"/>
      <c r="Q480" s="53">
        <f t="shared" si="87"/>
        <v>1</v>
      </c>
      <c r="R480" s="484">
        <f t="shared" si="88"/>
        <v>0</v>
      </c>
      <c r="S480" s="789">
        <f t="shared" si="79"/>
        <v>0</v>
      </c>
    </row>
    <row r="481" spans="1:19">
      <c r="A481" s="953"/>
      <c r="B481" s="136"/>
      <c r="C481" s="53">
        <f t="shared" si="80"/>
        <v>1</v>
      </c>
      <c r="D481" s="951"/>
      <c r="E481" s="53">
        <f t="shared" si="81"/>
        <v>1</v>
      </c>
      <c r="F481" s="951"/>
      <c r="G481" s="53">
        <f t="shared" si="82"/>
        <v>1</v>
      </c>
      <c r="H481" s="951"/>
      <c r="I481" s="53">
        <f t="shared" si="83"/>
        <v>1</v>
      </c>
      <c r="J481" s="951"/>
      <c r="K481" s="53">
        <f t="shared" si="84"/>
        <v>1</v>
      </c>
      <c r="L481" s="951"/>
      <c r="M481" s="53">
        <f t="shared" si="85"/>
        <v>1</v>
      </c>
      <c r="N481" s="951"/>
      <c r="O481" s="53">
        <f t="shared" si="86"/>
        <v>1</v>
      </c>
      <c r="P481" s="951"/>
      <c r="Q481" s="53">
        <f t="shared" si="87"/>
        <v>1</v>
      </c>
      <c r="R481" s="484">
        <f t="shared" si="88"/>
        <v>0</v>
      </c>
      <c r="S481" s="789">
        <f t="shared" si="79"/>
        <v>0</v>
      </c>
    </row>
    <row r="482" spans="1:19">
      <c r="A482" s="953"/>
      <c r="B482" s="136"/>
      <c r="C482" s="53">
        <f t="shared" si="80"/>
        <v>1</v>
      </c>
      <c r="D482" s="951"/>
      <c r="E482" s="53">
        <f t="shared" si="81"/>
        <v>1</v>
      </c>
      <c r="F482" s="951"/>
      <c r="G482" s="53">
        <f t="shared" si="82"/>
        <v>1</v>
      </c>
      <c r="H482" s="951"/>
      <c r="I482" s="53">
        <f t="shared" si="83"/>
        <v>1</v>
      </c>
      <c r="J482" s="951"/>
      <c r="K482" s="53">
        <f t="shared" si="84"/>
        <v>1</v>
      </c>
      <c r="L482" s="951"/>
      <c r="M482" s="53">
        <f t="shared" si="85"/>
        <v>1</v>
      </c>
      <c r="N482" s="951"/>
      <c r="O482" s="53">
        <f t="shared" si="86"/>
        <v>1</v>
      </c>
      <c r="P482" s="951"/>
      <c r="Q482" s="53">
        <f t="shared" si="87"/>
        <v>1</v>
      </c>
      <c r="R482" s="484">
        <f t="shared" si="88"/>
        <v>0</v>
      </c>
      <c r="S482" s="789">
        <f t="shared" si="79"/>
        <v>0</v>
      </c>
    </row>
    <row r="483" spans="1:19">
      <c r="A483" s="953"/>
      <c r="B483" s="136"/>
      <c r="C483" s="53">
        <f t="shared" si="80"/>
        <v>1</v>
      </c>
      <c r="D483" s="951"/>
      <c r="E483" s="53">
        <f t="shared" si="81"/>
        <v>1</v>
      </c>
      <c r="F483" s="951"/>
      <c r="G483" s="53">
        <f t="shared" si="82"/>
        <v>1</v>
      </c>
      <c r="H483" s="951"/>
      <c r="I483" s="53">
        <f t="shared" si="83"/>
        <v>1</v>
      </c>
      <c r="J483" s="951"/>
      <c r="K483" s="53">
        <f t="shared" si="84"/>
        <v>1</v>
      </c>
      <c r="L483" s="951"/>
      <c r="M483" s="53">
        <f t="shared" si="85"/>
        <v>1</v>
      </c>
      <c r="N483" s="951"/>
      <c r="O483" s="53">
        <f t="shared" si="86"/>
        <v>1</v>
      </c>
      <c r="P483" s="951"/>
      <c r="Q483" s="53">
        <f t="shared" si="87"/>
        <v>1</v>
      </c>
      <c r="R483" s="484">
        <f t="shared" si="88"/>
        <v>0</v>
      </c>
      <c r="S483" s="789">
        <f t="shared" si="79"/>
        <v>0</v>
      </c>
    </row>
    <row r="484" spans="1:19">
      <c r="A484" s="953"/>
      <c r="B484" s="136"/>
      <c r="C484" s="53">
        <f t="shared" si="80"/>
        <v>1</v>
      </c>
      <c r="D484" s="951"/>
      <c r="E484" s="53">
        <f t="shared" si="81"/>
        <v>1</v>
      </c>
      <c r="F484" s="951"/>
      <c r="G484" s="53">
        <f t="shared" si="82"/>
        <v>1</v>
      </c>
      <c r="H484" s="951"/>
      <c r="I484" s="53">
        <f t="shared" si="83"/>
        <v>1</v>
      </c>
      <c r="J484" s="951"/>
      <c r="K484" s="53">
        <f t="shared" si="84"/>
        <v>1</v>
      </c>
      <c r="L484" s="951"/>
      <c r="M484" s="53">
        <f t="shared" si="85"/>
        <v>1</v>
      </c>
      <c r="N484" s="951"/>
      <c r="O484" s="53">
        <f t="shared" si="86"/>
        <v>1</v>
      </c>
      <c r="P484" s="951"/>
      <c r="Q484" s="53">
        <f t="shared" si="87"/>
        <v>1</v>
      </c>
      <c r="R484" s="484">
        <f t="shared" si="88"/>
        <v>0</v>
      </c>
      <c r="S484" s="789">
        <f t="shared" si="79"/>
        <v>0</v>
      </c>
    </row>
    <row r="485" spans="1:19">
      <c r="A485" s="953"/>
      <c r="B485" s="136"/>
      <c r="C485" s="53">
        <f t="shared" si="80"/>
        <v>1</v>
      </c>
      <c r="D485" s="951"/>
      <c r="E485" s="53">
        <f t="shared" si="81"/>
        <v>1</v>
      </c>
      <c r="F485" s="951"/>
      <c r="G485" s="53">
        <f t="shared" si="82"/>
        <v>1</v>
      </c>
      <c r="H485" s="951"/>
      <c r="I485" s="53">
        <f t="shared" si="83"/>
        <v>1</v>
      </c>
      <c r="J485" s="951"/>
      <c r="K485" s="53">
        <f t="shared" si="84"/>
        <v>1</v>
      </c>
      <c r="L485" s="951"/>
      <c r="M485" s="53">
        <f t="shared" si="85"/>
        <v>1</v>
      </c>
      <c r="N485" s="951"/>
      <c r="O485" s="53">
        <f t="shared" si="86"/>
        <v>1</v>
      </c>
      <c r="P485" s="951"/>
      <c r="Q485" s="53">
        <f t="shared" si="87"/>
        <v>1</v>
      </c>
      <c r="R485" s="484">
        <f t="shared" si="88"/>
        <v>0</v>
      </c>
      <c r="S485" s="789">
        <f t="shared" si="79"/>
        <v>0</v>
      </c>
    </row>
    <row r="486" spans="1:19">
      <c r="A486" s="953"/>
      <c r="B486" s="136"/>
      <c r="C486" s="53">
        <f t="shared" si="80"/>
        <v>1</v>
      </c>
      <c r="D486" s="951"/>
      <c r="E486" s="53">
        <f t="shared" si="81"/>
        <v>1</v>
      </c>
      <c r="F486" s="951"/>
      <c r="G486" s="53">
        <f t="shared" si="82"/>
        <v>1</v>
      </c>
      <c r="H486" s="951"/>
      <c r="I486" s="53">
        <f t="shared" si="83"/>
        <v>1</v>
      </c>
      <c r="J486" s="951"/>
      <c r="K486" s="53">
        <f t="shared" si="84"/>
        <v>1</v>
      </c>
      <c r="L486" s="951"/>
      <c r="M486" s="53">
        <f t="shared" si="85"/>
        <v>1</v>
      </c>
      <c r="N486" s="951"/>
      <c r="O486" s="53">
        <f t="shared" si="86"/>
        <v>1</v>
      </c>
      <c r="P486" s="951"/>
      <c r="Q486" s="53">
        <f t="shared" si="87"/>
        <v>1</v>
      </c>
      <c r="R486" s="484">
        <f t="shared" si="88"/>
        <v>0</v>
      </c>
      <c r="S486" s="789">
        <f t="shared" si="79"/>
        <v>0</v>
      </c>
    </row>
    <row r="487" spans="1:19">
      <c r="A487" s="953"/>
      <c r="B487" s="136"/>
      <c r="C487" s="53">
        <f t="shared" si="80"/>
        <v>1</v>
      </c>
      <c r="D487" s="951"/>
      <c r="E487" s="53">
        <f t="shared" si="81"/>
        <v>1</v>
      </c>
      <c r="F487" s="951"/>
      <c r="G487" s="53">
        <f t="shared" si="82"/>
        <v>1</v>
      </c>
      <c r="H487" s="951"/>
      <c r="I487" s="53">
        <f t="shared" si="83"/>
        <v>1</v>
      </c>
      <c r="J487" s="951"/>
      <c r="K487" s="53">
        <f t="shared" si="84"/>
        <v>1</v>
      </c>
      <c r="L487" s="951"/>
      <c r="M487" s="53">
        <f t="shared" si="85"/>
        <v>1</v>
      </c>
      <c r="N487" s="951"/>
      <c r="O487" s="53">
        <f t="shared" si="86"/>
        <v>1</v>
      </c>
      <c r="P487" s="951"/>
      <c r="Q487" s="53">
        <f t="shared" si="87"/>
        <v>1</v>
      </c>
      <c r="R487" s="484">
        <f t="shared" si="88"/>
        <v>0</v>
      </c>
      <c r="S487" s="789">
        <f t="shared" si="79"/>
        <v>0</v>
      </c>
    </row>
    <row r="488" spans="1:19">
      <c r="A488" s="953"/>
      <c r="B488" s="136"/>
      <c r="C488" s="53">
        <f t="shared" si="80"/>
        <v>1</v>
      </c>
      <c r="D488" s="951"/>
      <c r="E488" s="53">
        <f t="shared" si="81"/>
        <v>1</v>
      </c>
      <c r="F488" s="951"/>
      <c r="G488" s="53">
        <f t="shared" si="82"/>
        <v>1</v>
      </c>
      <c r="H488" s="951"/>
      <c r="I488" s="53">
        <f t="shared" si="83"/>
        <v>1</v>
      </c>
      <c r="J488" s="951"/>
      <c r="K488" s="53">
        <f t="shared" si="84"/>
        <v>1</v>
      </c>
      <c r="L488" s="951"/>
      <c r="M488" s="53">
        <f t="shared" si="85"/>
        <v>1</v>
      </c>
      <c r="N488" s="951"/>
      <c r="O488" s="53">
        <f t="shared" si="86"/>
        <v>1</v>
      </c>
      <c r="P488" s="951"/>
      <c r="Q488" s="53">
        <f t="shared" si="87"/>
        <v>1</v>
      </c>
      <c r="R488" s="484">
        <f t="shared" si="88"/>
        <v>0</v>
      </c>
      <c r="S488" s="789">
        <f t="shared" si="79"/>
        <v>0</v>
      </c>
    </row>
    <row r="489" spans="1:19">
      <c r="A489" s="953"/>
      <c r="B489" s="136"/>
      <c r="C489" s="53">
        <f t="shared" si="80"/>
        <v>1</v>
      </c>
      <c r="D489" s="951"/>
      <c r="E489" s="53">
        <f t="shared" si="81"/>
        <v>1</v>
      </c>
      <c r="F489" s="951"/>
      <c r="G489" s="53">
        <f t="shared" si="82"/>
        <v>1</v>
      </c>
      <c r="H489" s="951"/>
      <c r="I489" s="53">
        <f t="shared" si="83"/>
        <v>1</v>
      </c>
      <c r="J489" s="951"/>
      <c r="K489" s="53">
        <f t="shared" si="84"/>
        <v>1</v>
      </c>
      <c r="L489" s="951"/>
      <c r="M489" s="53">
        <f t="shared" si="85"/>
        <v>1</v>
      </c>
      <c r="N489" s="951"/>
      <c r="O489" s="53">
        <f t="shared" si="86"/>
        <v>1</v>
      </c>
      <c r="P489" s="951"/>
      <c r="Q489" s="53">
        <f t="shared" si="87"/>
        <v>1</v>
      </c>
      <c r="R489" s="484">
        <f t="shared" si="88"/>
        <v>0</v>
      </c>
      <c r="S489" s="789">
        <f t="shared" si="79"/>
        <v>0</v>
      </c>
    </row>
    <row r="490" spans="1:19">
      <c r="A490" s="953"/>
      <c r="B490" s="136"/>
      <c r="C490" s="53">
        <f t="shared" si="80"/>
        <v>1</v>
      </c>
      <c r="D490" s="951"/>
      <c r="E490" s="53">
        <f t="shared" si="81"/>
        <v>1</v>
      </c>
      <c r="F490" s="951"/>
      <c r="G490" s="53">
        <f t="shared" si="82"/>
        <v>1</v>
      </c>
      <c r="H490" s="951"/>
      <c r="I490" s="53">
        <f t="shared" si="83"/>
        <v>1</v>
      </c>
      <c r="J490" s="951"/>
      <c r="K490" s="53">
        <f t="shared" si="84"/>
        <v>1</v>
      </c>
      <c r="L490" s="951"/>
      <c r="M490" s="53">
        <f t="shared" si="85"/>
        <v>1</v>
      </c>
      <c r="N490" s="951"/>
      <c r="O490" s="53">
        <f t="shared" si="86"/>
        <v>1</v>
      </c>
      <c r="P490" s="951"/>
      <c r="Q490" s="53">
        <f t="shared" si="87"/>
        <v>1</v>
      </c>
      <c r="R490" s="484">
        <f t="shared" si="88"/>
        <v>0</v>
      </c>
      <c r="S490" s="789">
        <f t="shared" si="79"/>
        <v>0</v>
      </c>
    </row>
    <row r="491" spans="1:19">
      <c r="A491" s="953"/>
      <c r="B491" s="136"/>
      <c r="C491" s="53">
        <f t="shared" si="80"/>
        <v>1</v>
      </c>
      <c r="D491" s="951"/>
      <c r="E491" s="53">
        <f t="shared" si="81"/>
        <v>1</v>
      </c>
      <c r="F491" s="951"/>
      <c r="G491" s="53">
        <f t="shared" si="82"/>
        <v>1</v>
      </c>
      <c r="H491" s="951"/>
      <c r="I491" s="53">
        <f t="shared" si="83"/>
        <v>1</v>
      </c>
      <c r="J491" s="951"/>
      <c r="K491" s="53">
        <f t="shared" si="84"/>
        <v>1</v>
      </c>
      <c r="L491" s="951"/>
      <c r="M491" s="53">
        <f t="shared" si="85"/>
        <v>1</v>
      </c>
      <c r="N491" s="951"/>
      <c r="O491" s="53">
        <f t="shared" si="86"/>
        <v>1</v>
      </c>
      <c r="P491" s="951"/>
      <c r="Q491" s="53">
        <f t="shared" si="87"/>
        <v>1</v>
      </c>
      <c r="R491" s="484">
        <f t="shared" si="88"/>
        <v>0</v>
      </c>
      <c r="S491" s="789">
        <f t="shared" si="79"/>
        <v>0</v>
      </c>
    </row>
    <row r="492" spans="1:19">
      <c r="A492" s="953"/>
      <c r="B492" s="136"/>
      <c r="C492" s="53">
        <f t="shared" si="80"/>
        <v>1</v>
      </c>
      <c r="D492" s="951"/>
      <c r="E492" s="53">
        <f t="shared" si="81"/>
        <v>1</v>
      </c>
      <c r="F492" s="951"/>
      <c r="G492" s="53">
        <f t="shared" si="82"/>
        <v>1</v>
      </c>
      <c r="H492" s="951"/>
      <c r="I492" s="53">
        <f t="shared" si="83"/>
        <v>1</v>
      </c>
      <c r="J492" s="951"/>
      <c r="K492" s="53">
        <f t="shared" si="84"/>
        <v>1</v>
      </c>
      <c r="L492" s="951"/>
      <c r="M492" s="53">
        <f t="shared" si="85"/>
        <v>1</v>
      </c>
      <c r="N492" s="951"/>
      <c r="O492" s="53">
        <f t="shared" si="86"/>
        <v>1</v>
      </c>
      <c r="P492" s="951"/>
      <c r="Q492" s="53">
        <f t="shared" si="87"/>
        <v>1</v>
      </c>
      <c r="R492" s="484">
        <f t="shared" si="88"/>
        <v>0</v>
      </c>
      <c r="S492" s="789">
        <f t="shared" si="79"/>
        <v>0</v>
      </c>
    </row>
    <row r="493" spans="1:19">
      <c r="A493" s="953"/>
      <c r="B493" s="136"/>
      <c r="C493" s="53">
        <f t="shared" si="80"/>
        <v>1</v>
      </c>
      <c r="D493" s="951"/>
      <c r="E493" s="53">
        <f t="shared" si="81"/>
        <v>1</v>
      </c>
      <c r="F493" s="951"/>
      <c r="G493" s="53">
        <f t="shared" si="82"/>
        <v>1</v>
      </c>
      <c r="H493" s="951"/>
      <c r="I493" s="53">
        <f t="shared" si="83"/>
        <v>1</v>
      </c>
      <c r="J493" s="951"/>
      <c r="K493" s="53">
        <f t="shared" si="84"/>
        <v>1</v>
      </c>
      <c r="L493" s="951"/>
      <c r="M493" s="53">
        <f t="shared" si="85"/>
        <v>1</v>
      </c>
      <c r="N493" s="951"/>
      <c r="O493" s="53">
        <f t="shared" si="86"/>
        <v>1</v>
      </c>
      <c r="P493" s="951"/>
      <c r="Q493" s="53">
        <f t="shared" si="87"/>
        <v>1</v>
      </c>
      <c r="R493" s="484">
        <f t="shared" si="88"/>
        <v>0</v>
      </c>
      <c r="S493" s="789">
        <f t="shared" si="79"/>
        <v>0</v>
      </c>
    </row>
    <row r="494" spans="1:19">
      <c r="A494" s="953"/>
      <c r="B494" s="136"/>
      <c r="C494" s="53">
        <f t="shared" si="80"/>
        <v>1</v>
      </c>
      <c r="D494" s="951"/>
      <c r="E494" s="53">
        <f t="shared" si="81"/>
        <v>1</v>
      </c>
      <c r="F494" s="951"/>
      <c r="G494" s="53">
        <f t="shared" si="82"/>
        <v>1</v>
      </c>
      <c r="H494" s="951"/>
      <c r="I494" s="53">
        <f t="shared" si="83"/>
        <v>1</v>
      </c>
      <c r="J494" s="951"/>
      <c r="K494" s="53">
        <f t="shared" si="84"/>
        <v>1</v>
      </c>
      <c r="L494" s="951"/>
      <c r="M494" s="53">
        <f t="shared" si="85"/>
        <v>1</v>
      </c>
      <c r="N494" s="951"/>
      <c r="O494" s="53">
        <f t="shared" si="86"/>
        <v>1</v>
      </c>
      <c r="P494" s="951"/>
      <c r="Q494" s="53">
        <f t="shared" si="87"/>
        <v>1</v>
      </c>
      <c r="R494" s="484">
        <f t="shared" si="88"/>
        <v>0</v>
      </c>
      <c r="S494" s="789">
        <f t="shared" si="79"/>
        <v>0</v>
      </c>
    </row>
    <row r="495" spans="1:19">
      <c r="A495" s="953"/>
      <c r="B495" s="136"/>
      <c r="C495" s="53">
        <f t="shared" si="80"/>
        <v>1</v>
      </c>
      <c r="D495" s="951"/>
      <c r="E495" s="53">
        <f t="shared" si="81"/>
        <v>1</v>
      </c>
      <c r="F495" s="951"/>
      <c r="G495" s="53">
        <f t="shared" si="82"/>
        <v>1</v>
      </c>
      <c r="H495" s="951"/>
      <c r="I495" s="53">
        <f t="shared" si="83"/>
        <v>1</v>
      </c>
      <c r="J495" s="951"/>
      <c r="K495" s="53">
        <f t="shared" si="84"/>
        <v>1</v>
      </c>
      <c r="L495" s="951"/>
      <c r="M495" s="53">
        <f t="shared" si="85"/>
        <v>1</v>
      </c>
      <c r="N495" s="951"/>
      <c r="O495" s="53">
        <f t="shared" si="86"/>
        <v>1</v>
      </c>
      <c r="P495" s="951"/>
      <c r="Q495" s="53">
        <f t="shared" si="87"/>
        <v>1</v>
      </c>
      <c r="R495" s="484">
        <f t="shared" si="88"/>
        <v>0</v>
      </c>
      <c r="S495" s="789">
        <f t="shared" si="79"/>
        <v>0</v>
      </c>
    </row>
    <row r="496" spans="1:19">
      <c r="A496" s="953"/>
      <c r="B496" s="136"/>
      <c r="C496" s="53">
        <f t="shared" si="80"/>
        <v>1</v>
      </c>
      <c r="D496" s="951"/>
      <c r="E496" s="53">
        <f t="shared" si="81"/>
        <v>1</v>
      </c>
      <c r="F496" s="951"/>
      <c r="G496" s="53">
        <f t="shared" si="82"/>
        <v>1</v>
      </c>
      <c r="H496" s="951"/>
      <c r="I496" s="53">
        <f t="shared" si="83"/>
        <v>1</v>
      </c>
      <c r="J496" s="951"/>
      <c r="K496" s="53">
        <f t="shared" si="84"/>
        <v>1</v>
      </c>
      <c r="L496" s="951"/>
      <c r="M496" s="53">
        <f t="shared" si="85"/>
        <v>1</v>
      </c>
      <c r="N496" s="951"/>
      <c r="O496" s="53">
        <f t="shared" si="86"/>
        <v>1</v>
      </c>
      <c r="P496" s="951"/>
      <c r="Q496" s="53">
        <f t="shared" si="87"/>
        <v>1</v>
      </c>
      <c r="R496" s="484">
        <f t="shared" si="88"/>
        <v>0</v>
      </c>
      <c r="S496" s="789">
        <f t="shared" si="79"/>
        <v>0</v>
      </c>
    </row>
    <row r="497" spans="1:19">
      <c r="A497" s="953"/>
      <c r="B497" s="136"/>
      <c r="C497" s="53">
        <f t="shared" si="80"/>
        <v>1</v>
      </c>
      <c r="D497" s="951"/>
      <c r="E497" s="53">
        <f t="shared" si="81"/>
        <v>1</v>
      </c>
      <c r="F497" s="951"/>
      <c r="G497" s="53">
        <f t="shared" si="82"/>
        <v>1</v>
      </c>
      <c r="H497" s="951"/>
      <c r="I497" s="53">
        <f t="shared" si="83"/>
        <v>1</v>
      </c>
      <c r="J497" s="951"/>
      <c r="K497" s="53">
        <f t="shared" si="84"/>
        <v>1</v>
      </c>
      <c r="L497" s="951"/>
      <c r="M497" s="53">
        <f t="shared" si="85"/>
        <v>1</v>
      </c>
      <c r="N497" s="951"/>
      <c r="O497" s="53">
        <f t="shared" si="86"/>
        <v>1</v>
      </c>
      <c r="P497" s="951"/>
      <c r="Q497" s="53">
        <f t="shared" si="87"/>
        <v>1</v>
      </c>
      <c r="R497" s="484">
        <f t="shared" si="88"/>
        <v>0</v>
      </c>
      <c r="S497" s="789">
        <f t="shared" si="79"/>
        <v>0</v>
      </c>
    </row>
    <row r="498" spans="1:19">
      <c r="A498" s="953"/>
      <c r="B498" s="136"/>
      <c r="C498" s="53">
        <f t="shared" si="80"/>
        <v>1</v>
      </c>
      <c r="D498" s="951"/>
      <c r="E498" s="53">
        <f t="shared" si="81"/>
        <v>1</v>
      </c>
      <c r="F498" s="951"/>
      <c r="G498" s="53">
        <f t="shared" si="82"/>
        <v>1</v>
      </c>
      <c r="H498" s="951"/>
      <c r="I498" s="53">
        <f t="shared" si="83"/>
        <v>1</v>
      </c>
      <c r="J498" s="951"/>
      <c r="K498" s="53">
        <f t="shared" si="84"/>
        <v>1</v>
      </c>
      <c r="L498" s="951"/>
      <c r="M498" s="53">
        <f t="shared" si="85"/>
        <v>1</v>
      </c>
      <c r="N498" s="951"/>
      <c r="O498" s="53">
        <f t="shared" si="86"/>
        <v>1</v>
      </c>
      <c r="P498" s="951"/>
      <c r="Q498" s="53">
        <f t="shared" si="87"/>
        <v>1</v>
      </c>
      <c r="R498" s="484">
        <f t="shared" si="88"/>
        <v>0</v>
      </c>
      <c r="S498" s="789">
        <f t="shared" ref="S498:S524" si="89">ROUND(R498*B498/10000,0)</f>
        <v>0</v>
      </c>
    </row>
    <row r="499" spans="1:19">
      <c r="A499" s="953"/>
      <c r="B499" s="136"/>
      <c r="C499" s="53">
        <f t="shared" si="80"/>
        <v>1</v>
      </c>
      <c r="D499" s="951"/>
      <c r="E499" s="53">
        <f t="shared" si="81"/>
        <v>1</v>
      </c>
      <c r="F499" s="951"/>
      <c r="G499" s="53">
        <f t="shared" si="82"/>
        <v>1</v>
      </c>
      <c r="H499" s="951"/>
      <c r="I499" s="53">
        <f t="shared" si="83"/>
        <v>1</v>
      </c>
      <c r="J499" s="951"/>
      <c r="K499" s="53">
        <f t="shared" si="84"/>
        <v>1</v>
      </c>
      <c r="L499" s="951"/>
      <c r="M499" s="53">
        <f t="shared" si="85"/>
        <v>1</v>
      </c>
      <c r="N499" s="951"/>
      <c r="O499" s="53">
        <f t="shared" si="86"/>
        <v>1</v>
      </c>
      <c r="P499" s="951"/>
      <c r="Q499" s="53">
        <f t="shared" si="87"/>
        <v>1</v>
      </c>
      <c r="R499" s="484">
        <f t="shared" si="88"/>
        <v>0</v>
      </c>
      <c r="S499" s="789">
        <f t="shared" si="89"/>
        <v>0</v>
      </c>
    </row>
    <row r="500" spans="1:19">
      <c r="A500" s="953"/>
      <c r="B500" s="136"/>
      <c r="C500" s="53">
        <f t="shared" si="80"/>
        <v>1</v>
      </c>
      <c r="D500" s="951"/>
      <c r="E500" s="53">
        <f t="shared" si="81"/>
        <v>1</v>
      </c>
      <c r="F500" s="951"/>
      <c r="G500" s="53">
        <f t="shared" si="82"/>
        <v>1</v>
      </c>
      <c r="H500" s="951"/>
      <c r="I500" s="53">
        <f t="shared" si="83"/>
        <v>1</v>
      </c>
      <c r="J500" s="951"/>
      <c r="K500" s="53">
        <f t="shared" si="84"/>
        <v>1</v>
      </c>
      <c r="L500" s="951"/>
      <c r="M500" s="53">
        <f t="shared" si="85"/>
        <v>1</v>
      </c>
      <c r="N500" s="951"/>
      <c r="O500" s="53">
        <f t="shared" si="86"/>
        <v>1</v>
      </c>
      <c r="P500" s="951"/>
      <c r="Q500" s="53">
        <f t="shared" si="87"/>
        <v>1</v>
      </c>
      <c r="R500" s="484">
        <f t="shared" si="88"/>
        <v>0</v>
      </c>
      <c r="S500" s="789">
        <f t="shared" si="89"/>
        <v>0</v>
      </c>
    </row>
    <row r="501" spans="1:19">
      <c r="A501" s="953"/>
      <c r="B501" s="136"/>
      <c r="C501" s="53">
        <f t="shared" si="80"/>
        <v>1</v>
      </c>
      <c r="D501" s="951"/>
      <c r="E501" s="53">
        <f t="shared" si="81"/>
        <v>1</v>
      </c>
      <c r="F501" s="951"/>
      <c r="G501" s="53">
        <f t="shared" si="82"/>
        <v>1</v>
      </c>
      <c r="H501" s="951"/>
      <c r="I501" s="53">
        <f t="shared" si="83"/>
        <v>1</v>
      </c>
      <c r="J501" s="951"/>
      <c r="K501" s="53">
        <f t="shared" si="84"/>
        <v>1</v>
      </c>
      <c r="L501" s="951"/>
      <c r="M501" s="53">
        <f t="shared" si="85"/>
        <v>1</v>
      </c>
      <c r="N501" s="951"/>
      <c r="O501" s="53">
        <f t="shared" si="86"/>
        <v>1</v>
      </c>
      <c r="P501" s="951"/>
      <c r="Q501" s="53">
        <f t="shared" si="87"/>
        <v>1</v>
      </c>
      <c r="R501" s="484">
        <f t="shared" si="88"/>
        <v>0</v>
      </c>
      <c r="S501" s="789">
        <f t="shared" si="89"/>
        <v>0</v>
      </c>
    </row>
    <row r="502" spans="1:19">
      <c r="A502" s="953"/>
      <c r="B502" s="136"/>
      <c r="C502" s="53">
        <f t="shared" si="80"/>
        <v>1</v>
      </c>
      <c r="D502" s="951"/>
      <c r="E502" s="53">
        <f t="shared" si="81"/>
        <v>1</v>
      </c>
      <c r="F502" s="951"/>
      <c r="G502" s="53">
        <f t="shared" si="82"/>
        <v>1</v>
      </c>
      <c r="H502" s="951"/>
      <c r="I502" s="53">
        <f t="shared" si="83"/>
        <v>1</v>
      </c>
      <c r="J502" s="951"/>
      <c r="K502" s="53">
        <f t="shared" si="84"/>
        <v>1</v>
      </c>
      <c r="L502" s="951"/>
      <c r="M502" s="53">
        <f t="shared" si="85"/>
        <v>1</v>
      </c>
      <c r="N502" s="951"/>
      <c r="O502" s="53">
        <f t="shared" si="86"/>
        <v>1</v>
      </c>
      <c r="P502" s="951"/>
      <c r="Q502" s="53">
        <f t="shared" si="87"/>
        <v>1</v>
      </c>
      <c r="R502" s="484">
        <f t="shared" si="88"/>
        <v>0</v>
      </c>
      <c r="S502" s="789">
        <f t="shared" si="89"/>
        <v>0</v>
      </c>
    </row>
    <row r="503" spans="1:19">
      <c r="A503" s="953"/>
      <c r="B503" s="136"/>
      <c r="C503" s="53">
        <f t="shared" si="80"/>
        <v>1</v>
      </c>
      <c r="D503" s="951"/>
      <c r="E503" s="53">
        <f t="shared" si="81"/>
        <v>1</v>
      </c>
      <c r="F503" s="951"/>
      <c r="G503" s="53">
        <f t="shared" si="82"/>
        <v>1</v>
      </c>
      <c r="H503" s="951"/>
      <c r="I503" s="53">
        <f t="shared" si="83"/>
        <v>1</v>
      </c>
      <c r="J503" s="951"/>
      <c r="K503" s="53">
        <f t="shared" si="84"/>
        <v>1</v>
      </c>
      <c r="L503" s="951"/>
      <c r="M503" s="53">
        <f t="shared" si="85"/>
        <v>1</v>
      </c>
      <c r="N503" s="951"/>
      <c r="O503" s="53">
        <f t="shared" si="86"/>
        <v>1</v>
      </c>
      <c r="P503" s="951"/>
      <c r="Q503" s="53">
        <f t="shared" si="87"/>
        <v>1</v>
      </c>
      <c r="R503" s="484">
        <f t="shared" si="88"/>
        <v>0</v>
      </c>
      <c r="S503" s="789">
        <f t="shared" si="89"/>
        <v>0</v>
      </c>
    </row>
    <row r="504" spans="1:19">
      <c r="A504" s="953"/>
      <c r="B504" s="136"/>
      <c r="C504" s="53">
        <f t="shared" si="80"/>
        <v>1</v>
      </c>
      <c r="D504" s="951"/>
      <c r="E504" s="53">
        <f t="shared" si="81"/>
        <v>1</v>
      </c>
      <c r="F504" s="951"/>
      <c r="G504" s="53">
        <f t="shared" si="82"/>
        <v>1</v>
      </c>
      <c r="H504" s="951"/>
      <c r="I504" s="53">
        <f t="shared" si="83"/>
        <v>1</v>
      </c>
      <c r="J504" s="951"/>
      <c r="K504" s="53">
        <f t="shared" si="84"/>
        <v>1</v>
      </c>
      <c r="L504" s="951"/>
      <c r="M504" s="53">
        <f t="shared" si="85"/>
        <v>1</v>
      </c>
      <c r="N504" s="951"/>
      <c r="O504" s="53">
        <f t="shared" si="86"/>
        <v>1</v>
      </c>
      <c r="P504" s="951"/>
      <c r="Q504" s="53">
        <f t="shared" si="87"/>
        <v>1</v>
      </c>
      <c r="R504" s="484">
        <f t="shared" si="88"/>
        <v>0</v>
      </c>
      <c r="S504" s="789">
        <f t="shared" si="89"/>
        <v>0</v>
      </c>
    </row>
    <row r="505" spans="1:19">
      <c r="A505" s="953"/>
      <c r="B505" s="136"/>
      <c r="C505" s="53">
        <f t="shared" si="80"/>
        <v>1</v>
      </c>
      <c r="D505" s="951"/>
      <c r="E505" s="53">
        <f t="shared" si="81"/>
        <v>1</v>
      </c>
      <c r="F505" s="951"/>
      <c r="G505" s="53">
        <f t="shared" si="82"/>
        <v>1</v>
      </c>
      <c r="H505" s="951"/>
      <c r="I505" s="53">
        <f t="shared" si="83"/>
        <v>1</v>
      </c>
      <c r="J505" s="951"/>
      <c r="K505" s="53">
        <f t="shared" si="84"/>
        <v>1</v>
      </c>
      <c r="L505" s="951"/>
      <c r="M505" s="53">
        <f t="shared" si="85"/>
        <v>1</v>
      </c>
      <c r="N505" s="951"/>
      <c r="O505" s="53">
        <f t="shared" si="86"/>
        <v>1</v>
      </c>
      <c r="P505" s="951"/>
      <c r="Q505" s="53">
        <f t="shared" si="87"/>
        <v>1</v>
      </c>
      <c r="R505" s="484">
        <f t="shared" si="88"/>
        <v>0</v>
      </c>
      <c r="S505" s="789">
        <f t="shared" si="89"/>
        <v>0</v>
      </c>
    </row>
    <row r="506" spans="1:19">
      <c r="A506" s="953"/>
      <c r="B506" s="136"/>
      <c r="C506" s="53">
        <f t="shared" si="80"/>
        <v>1</v>
      </c>
      <c r="D506" s="951"/>
      <c r="E506" s="53">
        <f t="shared" si="81"/>
        <v>1</v>
      </c>
      <c r="F506" s="951"/>
      <c r="G506" s="53">
        <f t="shared" si="82"/>
        <v>1</v>
      </c>
      <c r="H506" s="951"/>
      <c r="I506" s="53">
        <f t="shared" si="83"/>
        <v>1</v>
      </c>
      <c r="J506" s="951"/>
      <c r="K506" s="53">
        <f t="shared" si="84"/>
        <v>1</v>
      </c>
      <c r="L506" s="951"/>
      <c r="M506" s="53">
        <f t="shared" si="85"/>
        <v>1</v>
      </c>
      <c r="N506" s="951"/>
      <c r="O506" s="53">
        <f t="shared" si="86"/>
        <v>1</v>
      </c>
      <c r="P506" s="951"/>
      <c r="Q506" s="53">
        <f t="shared" si="87"/>
        <v>1</v>
      </c>
      <c r="R506" s="484">
        <f t="shared" si="88"/>
        <v>0</v>
      </c>
      <c r="S506" s="789">
        <f t="shared" si="89"/>
        <v>0</v>
      </c>
    </row>
    <row r="507" spans="1:19">
      <c r="A507" s="953"/>
      <c r="B507" s="136"/>
      <c r="C507" s="53">
        <f t="shared" si="80"/>
        <v>1</v>
      </c>
      <c r="D507" s="951"/>
      <c r="E507" s="53">
        <f t="shared" si="81"/>
        <v>1</v>
      </c>
      <c r="F507" s="951"/>
      <c r="G507" s="53">
        <f t="shared" si="82"/>
        <v>1</v>
      </c>
      <c r="H507" s="951"/>
      <c r="I507" s="53">
        <f t="shared" si="83"/>
        <v>1</v>
      </c>
      <c r="J507" s="951"/>
      <c r="K507" s="53">
        <f t="shared" si="84"/>
        <v>1</v>
      </c>
      <c r="L507" s="951"/>
      <c r="M507" s="53">
        <f t="shared" si="85"/>
        <v>1</v>
      </c>
      <c r="N507" s="951"/>
      <c r="O507" s="53">
        <f t="shared" si="86"/>
        <v>1</v>
      </c>
      <c r="P507" s="951"/>
      <c r="Q507" s="53">
        <f t="shared" si="87"/>
        <v>1</v>
      </c>
      <c r="R507" s="484">
        <f t="shared" si="88"/>
        <v>0</v>
      </c>
      <c r="S507" s="789">
        <f t="shared" si="89"/>
        <v>0</v>
      </c>
    </row>
    <row r="508" spans="1:19">
      <c r="A508" s="953"/>
      <c r="B508" s="136"/>
      <c r="C508" s="53">
        <f t="shared" si="80"/>
        <v>1</v>
      </c>
      <c r="D508" s="951"/>
      <c r="E508" s="53">
        <f t="shared" si="81"/>
        <v>1</v>
      </c>
      <c r="F508" s="951"/>
      <c r="G508" s="53">
        <f t="shared" si="82"/>
        <v>1</v>
      </c>
      <c r="H508" s="951"/>
      <c r="I508" s="53">
        <f t="shared" si="83"/>
        <v>1</v>
      </c>
      <c r="J508" s="951"/>
      <c r="K508" s="53">
        <f t="shared" si="84"/>
        <v>1</v>
      </c>
      <c r="L508" s="951"/>
      <c r="M508" s="53">
        <f t="shared" si="85"/>
        <v>1</v>
      </c>
      <c r="N508" s="951"/>
      <c r="O508" s="53">
        <f t="shared" si="86"/>
        <v>1</v>
      </c>
      <c r="P508" s="951"/>
      <c r="Q508" s="53">
        <f t="shared" si="87"/>
        <v>1</v>
      </c>
      <c r="R508" s="484">
        <f t="shared" si="88"/>
        <v>0</v>
      </c>
      <c r="S508" s="789">
        <f t="shared" si="89"/>
        <v>0</v>
      </c>
    </row>
    <row r="509" spans="1:19">
      <c r="A509" s="953"/>
      <c r="B509" s="136"/>
      <c r="C509" s="53">
        <f t="shared" si="80"/>
        <v>1</v>
      </c>
      <c r="D509" s="951"/>
      <c r="E509" s="53">
        <f t="shared" si="81"/>
        <v>1</v>
      </c>
      <c r="F509" s="951"/>
      <c r="G509" s="53">
        <f t="shared" si="82"/>
        <v>1</v>
      </c>
      <c r="H509" s="951"/>
      <c r="I509" s="53">
        <f t="shared" si="83"/>
        <v>1</v>
      </c>
      <c r="J509" s="951"/>
      <c r="K509" s="53">
        <f t="shared" si="84"/>
        <v>1</v>
      </c>
      <c r="L509" s="951"/>
      <c r="M509" s="53">
        <f t="shared" si="85"/>
        <v>1</v>
      </c>
      <c r="N509" s="951"/>
      <c r="O509" s="53">
        <f t="shared" si="86"/>
        <v>1</v>
      </c>
      <c r="P509" s="951"/>
      <c r="Q509" s="53">
        <f t="shared" si="87"/>
        <v>1</v>
      </c>
      <c r="R509" s="484">
        <f t="shared" si="88"/>
        <v>0</v>
      </c>
      <c r="S509" s="789">
        <f t="shared" si="89"/>
        <v>0</v>
      </c>
    </row>
    <row r="510" spans="1:19">
      <c r="A510" s="953"/>
      <c r="B510" s="136"/>
      <c r="C510" s="53">
        <f t="shared" si="80"/>
        <v>1</v>
      </c>
      <c r="D510" s="951"/>
      <c r="E510" s="53">
        <f t="shared" si="81"/>
        <v>1</v>
      </c>
      <c r="F510" s="951"/>
      <c r="G510" s="53">
        <f t="shared" si="82"/>
        <v>1</v>
      </c>
      <c r="H510" s="951"/>
      <c r="I510" s="53">
        <f t="shared" si="83"/>
        <v>1</v>
      </c>
      <c r="J510" s="951"/>
      <c r="K510" s="53">
        <f t="shared" si="84"/>
        <v>1</v>
      </c>
      <c r="L510" s="951"/>
      <c r="M510" s="53">
        <f t="shared" si="85"/>
        <v>1</v>
      </c>
      <c r="N510" s="951"/>
      <c r="O510" s="53">
        <f t="shared" si="86"/>
        <v>1</v>
      </c>
      <c r="P510" s="951"/>
      <c r="Q510" s="53">
        <f t="shared" si="87"/>
        <v>1</v>
      </c>
      <c r="R510" s="484">
        <f t="shared" si="88"/>
        <v>0</v>
      </c>
      <c r="S510" s="789">
        <f t="shared" si="89"/>
        <v>0</v>
      </c>
    </row>
    <row r="511" spans="1:19">
      <c r="A511" s="953"/>
      <c r="B511" s="136"/>
      <c r="C511" s="53">
        <f t="shared" si="80"/>
        <v>1</v>
      </c>
      <c r="D511" s="951"/>
      <c r="E511" s="53">
        <f t="shared" si="81"/>
        <v>1</v>
      </c>
      <c r="F511" s="951"/>
      <c r="G511" s="53">
        <f t="shared" si="82"/>
        <v>1</v>
      </c>
      <c r="H511" s="951"/>
      <c r="I511" s="53">
        <f t="shared" si="83"/>
        <v>1</v>
      </c>
      <c r="J511" s="951"/>
      <c r="K511" s="53">
        <f t="shared" si="84"/>
        <v>1</v>
      </c>
      <c r="L511" s="951"/>
      <c r="M511" s="53">
        <f t="shared" si="85"/>
        <v>1</v>
      </c>
      <c r="N511" s="951"/>
      <c r="O511" s="53">
        <f t="shared" si="86"/>
        <v>1</v>
      </c>
      <c r="P511" s="951"/>
      <c r="Q511" s="53">
        <f t="shared" si="87"/>
        <v>1</v>
      </c>
      <c r="R511" s="484">
        <f t="shared" si="88"/>
        <v>0</v>
      </c>
      <c r="S511" s="789">
        <f t="shared" si="89"/>
        <v>0</v>
      </c>
    </row>
    <row r="512" spans="1:19">
      <c r="A512" s="953"/>
      <c r="B512" s="136"/>
      <c r="C512" s="53">
        <f t="shared" si="80"/>
        <v>1</v>
      </c>
      <c r="D512" s="951"/>
      <c r="E512" s="53">
        <f t="shared" si="81"/>
        <v>1</v>
      </c>
      <c r="F512" s="951"/>
      <c r="G512" s="53">
        <f t="shared" si="82"/>
        <v>1</v>
      </c>
      <c r="H512" s="951"/>
      <c r="I512" s="53">
        <f t="shared" si="83"/>
        <v>1</v>
      </c>
      <c r="J512" s="951"/>
      <c r="K512" s="53">
        <f t="shared" si="84"/>
        <v>1</v>
      </c>
      <c r="L512" s="951"/>
      <c r="M512" s="53">
        <f t="shared" si="85"/>
        <v>1</v>
      </c>
      <c r="N512" s="951"/>
      <c r="O512" s="53">
        <f t="shared" si="86"/>
        <v>1</v>
      </c>
      <c r="P512" s="951"/>
      <c r="Q512" s="53">
        <f t="shared" si="87"/>
        <v>1</v>
      </c>
      <c r="R512" s="484">
        <f t="shared" si="88"/>
        <v>0</v>
      </c>
      <c r="S512" s="789">
        <f t="shared" si="89"/>
        <v>0</v>
      </c>
    </row>
    <row r="513" spans="1:19">
      <c r="A513" s="953"/>
      <c r="B513" s="136"/>
      <c r="C513" s="53">
        <f t="shared" si="80"/>
        <v>1</v>
      </c>
      <c r="D513" s="951"/>
      <c r="E513" s="53">
        <f t="shared" si="81"/>
        <v>1</v>
      </c>
      <c r="F513" s="951"/>
      <c r="G513" s="53">
        <f t="shared" si="82"/>
        <v>1</v>
      </c>
      <c r="H513" s="951"/>
      <c r="I513" s="53">
        <f t="shared" si="83"/>
        <v>1</v>
      </c>
      <c r="J513" s="951"/>
      <c r="K513" s="53">
        <f t="shared" si="84"/>
        <v>1</v>
      </c>
      <c r="L513" s="951"/>
      <c r="M513" s="53">
        <f t="shared" si="85"/>
        <v>1</v>
      </c>
      <c r="N513" s="951"/>
      <c r="O513" s="53">
        <f t="shared" si="86"/>
        <v>1</v>
      </c>
      <c r="P513" s="951"/>
      <c r="Q513" s="53">
        <f t="shared" si="87"/>
        <v>1</v>
      </c>
      <c r="R513" s="484">
        <f t="shared" si="88"/>
        <v>0</v>
      </c>
      <c r="S513" s="789">
        <f t="shared" si="89"/>
        <v>0</v>
      </c>
    </row>
    <row r="514" spans="1:19">
      <c r="A514" s="953"/>
      <c r="B514" s="136"/>
      <c r="C514" s="53">
        <f t="shared" si="80"/>
        <v>1</v>
      </c>
      <c r="D514" s="951"/>
      <c r="E514" s="53">
        <f t="shared" si="81"/>
        <v>1</v>
      </c>
      <c r="F514" s="951"/>
      <c r="G514" s="53">
        <f t="shared" si="82"/>
        <v>1</v>
      </c>
      <c r="H514" s="951"/>
      <c r="I514" s="53">
        <f t="shared" si="83"/>
        <v>1</v>
      </c>
      <c r="J514" s="951"/>
      <c r="K514" s="53">
        <f t="shared" si="84"/>
        <v>1</v>
      </c>
      <c r="L514" s="951"/>
      <c r="M514" s="53">
        <f t="shared" si="85"/>
        <v>1</v>
      </c>
      <c r="N514" s="951"/>
      <c r="O514" s="53">
        <f t="shared" si="86"/>
        <v>1</v>
      </c>
      <c r="P514" s="951"/>
      <c r="Q514" s="53">
        <f t="shared" si="87"/>
        <v>1</v>
      </c>
      <c r="R514" s="484">
        <f t="shared" si="88"/>
        <v>0</v>
      </c>
      <c r="S514" s="789">
        <f t="shared" si="89"/>
        <v>0</v>
      </c>
    </row>
    <row r="515" spans="1:19">
      <c r="A515" s="953"/>
      <c r="B515" s="136"/>
      <c r="C515" s="53">
        <f t="shared" si="80"/>
        <v>1</v>
      </c>
      <c r="D515" s="951"/>
      <c r="E515" s="53">
        <f t="shared" si="81"/>
        <v>1</v>
      </c>
      <c r="F515" s="951"/>
      <c r="G515" s="53">
        <f t="shared" si="82"/>
        <v>1</v>
      </c>
      <c r="H515" s="951"/>
      <c r="I515" s="53">
        <f t="shared" si="83"/>
        <v>1</v>
      </c>
      <c r="J515" s="951"/>
      <c r="K515" s="53">
        <f t="shared" si="84"/>
        <v>1</v>
      </c>
      <c r="L515" s="951"/>
      <c r="M515" s="53">
        <f t="shared" si="85"/>
        <v>1</v>
      </c>
      <c r="N515" s="951"/>
      <c r="O515" s="53">
        <f t="shared" si="86"/>
        <v>1</v>
      </c>
      <c r="P515" s="951"/>
      <c r="Q515" s="53">
        <f t="shared" si="87"/>
        <v>1</v>
      </c>
      <c r="R515" s="484">
        <f t="shared" si="88"/>
        <v>0</v>
      </c>
      <c r="S515" s="789">
        <f t="shared" si="89"/>
        <v>0</v>
      </c>
    </row>
    <row r="516" spans="1:19">
      <c r="A516" s="953"/>
      <c r="B516" s="136"/>
      <c r="C516" s="53">
        <f t="shared" si="80"/>
        <v>1</v>
      </c>
      <c r="D516" s="951"/>
      <c r="E516" s="53">
        <f t="shared" si="81"/>
        <v>1</v>
      </c>
      <c r="F516" s="951"/>
      <c r="G516" s="53">
        <f t="shared" si="82"/>
        <v>1</v>
      </c>
      <c r="H516" s="951"/>
      <c r="I516" s="53">
        <f t="shared" si="83"/>
        <v>1</v>
      </c>
      <c r="J516" s="951"/>
      <c r="K516" s="53">
        <f t="shared" si="84"/>
        <v>1</v>
      </c>
      <c r="L516" s="951"/>
      <c r="M516" s="53">
        <f t="shared" si="85"/>
        <v>1</v>
      </c>
      <c r="N516" s="951"/>
      <c r="O516" s="53">
        <f t="shared" si="86"/>
        <v>1</v>
      </c>
      <c r="P516" s="951"/>
      <c r="Q516" s="53">
        <f t="shared" si="87"/>
        <v>1</v>
      </c>
      <c r="R516" s="484">
        <f t="shared" si="88"/>
        <v>0</v>
      </c>
      <c r="S516" s="789">
        <f t="shared" si="89"/>
        <v>0</v>
      </c>
    </row>
    <row r="517" spans="1:19">
      <c r="A517" s="953"/>
      <c r="B517" s="136"/>
      <c r="C517" s="53">
        <f t="shared" si="80"/>
        <v>1</v>
      </c>
      <c r="D517" s="951"/>
      <c r="E517" s="53">
        <f t="shared" si="81"/>
        <v>1</v>
      </c>
      <c r="F517" s="951"/>
      <c r="G517" s="53">
        <f t="shared" si="82"/>
        <v>1</v>
      </c>
      <c r="H517" s="951"/>
      <c r="I517" s="53">
        <f t="shared" si="83"/>
        <v>1</v>
      </c>
      <c r="J517" s="951"/>
      <c r="K517" s="53">
        <f t="shared" si="84"/>
        <v>1</v>
      </c>
      <c r="L517" s="951"/>
      <c r="M517" s="53">
        <f t="shared" si="85"/>
        <v>1</v>
      </c>
      <c r="N517" s="951"/>
      <c r="O517" s="53">
        <f t="shared" si="86"/>
        <v>1</v>
      </c>
      <c r="P517" s="951"/>
      <c r="Q517" s="53">
        <f t="shared" si="87"/>
        <v>1</v>
      </c>
      <c r="R517" s="484">
        <f t="shared" si="88"/>
        <v>0</v>
      </c>
      <c r="S517" s="789">
        <f t="shared" si="89"/>
        <v>0</v>
      </c>
    </row>
    <row r="518" spans="1:19">
      <c r="A518" s="953"/>
      <c r="B518" s="136"/>
      <c r="C518" s="53">
        <f t="shared" si="80"/>
        <v>1</v>
      </c>
      <c r="D518" s="951"/>
      <c r="E518" s="53">
        <f t="shared" si="81"/>
        <v>1</v>
      </c>
      <c r="F518" s="951"/>
      <c r="G518" s="53">
        <f t="shared" si="82"/>
        <v>1</v>
      </c>
      <c r="H518" s="951"/>
      <c r="I518" s="53">
        <f t="shared" si="83"/>
        <v>1</v>
      </c>
      <c r="J518" s="951"/>
      <c r="K518" s="53">
        <f t="shared" si="84"/>
        <v>1</v>
      </c>
      <c r="L518" s="951"/>
      <c r="M518" s="53">
        <f t="shared" si="85"/>
        <v>1</v>
      </c>
      <c r="N518" s="951"/>
      <c r="O518" s="53">
        <f t="shared" si="86"/>
        <v>1</v>
      </c>
      <c r="P518" s="951"/>
      <c r="Q518" s="53">
        <f t="shared" si="87"/>
        <v>1</v>
      </c>
      <c r="R518" s="484">
        <f t="shared" si="88"/>
        <v>0</v>
      </c>
      <c r="S518" s="789">
        <f t="shared" si="89"/>
        <v>0</v>
      </c>
    </row>
    <row r="519" spans="1:19">
      <c r="A519" s="953"/>
      <c r="B519" s="136"/>
      <c r="C519" s="53">
        <f t="shared" si="80"/>
        <v>1</v>
      </c>
      <c r="D519" s="951"/>
      <c r="E519" s="53">
        <f t="shared" si="81"/>
        <v>1</v>
      </c>
      <c r="F519" s="951"/>
      <c r="G519" s="53">
        <f t="shared" si="82"/>
        <v>1</v>
      </c>
      <c r="H519" s="951"/>
      <c r="I519" s="53">
        <f t="shared" si="83"/>
        <v>1</v>
      </c>
      <c r="J519" s="951"/>
      <c r="K519" s="53">
        <f t="shared" si="84"/>
        <v>1</v>
      </c>
      <c r="L519" s="951"/>
      <c r="M519" s="53">
        <f t="shared" si="85"/>
        <v>1</v>
      </c>
      <c r="N519" s="951"/>
      <c r="O519" s="53">
        <f t="shared" si="86"/>
        <v>1</v>
      </c>
      <c r="P519" s="951"/>
      <c r="Q519" s="53">
        <f t="shared" si="87"/>
        <v>1</v>
      </c>
      <c r="R519" s="484">
        <f t="shared" si="88"/>
        <v>0</v>
      </c>
      <c r="S519" s="789">
        <f t="shared" si="89"/>
        <v>0</v>
      </c>
    </row>
    <row r="520" spans="1:19">
      <c r="A520" s="953"/>
      <c r="B520" s="136"/>
      <c r="C520" s="53">
        <f t="shared" si="80"/>
        <v>1</v>
      </c>
      <c r="D520" s="951"/>
      <c r="E520" s="53">
        <f t="shared" si="81"/>
        <v>1</v>
      </c>
      <c r="F520" s="951"/>
      <c r="G520" s="53">
        <f t="shared" si="82"/>
        <v>1</v>
      </c>
      <c r="H520" s="951"/>
      <c r="I520" s="53">
        <f t="shared" si="83"/>
        <v>1</v>
      </c>
      <c r="J520" s="951"/>
      <c r="K520" s="53">
        <f t="shared" si="84"/>
        <v>1</v>
      </c>
      <c r="L520" s="951"/>
      <c r="M520" s="53">
        <f t="shared" si="85"/>
        <v>1</v>
      </c>
      <c r="N520" s="951"/>
      <c r="O520" s="53">
        <f t="shared" si="86"/>
        <v>1</v>
      </c>
      <c r="P520" s="951"/>
      <c r="Q520" s="53">
        <f t="shared" si="87"/>
        <v>1</v>
      </c>
      <c r="R520" s="484">
        <f t="shared" si="88"/>
        <v>0</v>
      </c>
      <c r="S520" s="789">
        <f t="shared" si="89"/>
        <v>0</v>
      </c>
    </row>
    <row r="521" spans="1:19">
      <c r="A521" s="953"/>
      <c r="B521" s="136"/>
      <c r="C521" s="53">
        <f t="shared" si="80"/>
        <v>1</v>
      </c>
      <c r="D521" s="951"/>
      <c r="E521" s="53">
        <f t="shared" si="81"/>
        <v>1</v>
      </c>
      <c r="F521" s="951"/>
      <c r="G521" s="53">
        <f t="shared" si="82"/>
        <v>1</v>
      </c>
      <c r="H521" s="951"/>
      <c r="I521" s="53">
        <f t="shared" si="83"/>
        <v>1</v>
      </c>
      <c r="J521" s="951"/>
      <c r="K521" s="53">
        <f t="shared" si="84"/>
        <v>1</v>
      </c>
      <c r="L521" s="951"/>
      <c r="M521" s="53">
        <f t="shared" si="85"/>
        <v>1</v>
      </c>
      <c r="N521" s="951"/>
      <c r="O521" s="53">
        <f t="shared" si="86"/>
        <v>1</v>
      </c>
      <c r="P521" s="951"/>
      <c r="Q521" s="53">
        <f t="shared" si="87"/>
        <v>1</v>
      </c>
      <c r="R521" s="484">
        <f t="shared" si="88"/>
        <v>0</v>
      </c>
      <c r="S521" s="789">
        <f t="shared" si="89"/>
        <v>0</v>
      </c>
    </row>
    <row r="522" spans="1:19">
      <c r="A522" s="953"/>
      <c r="B522" s="136"/>
      <c r="C522" s="53">
        <f t="shared" si="80"/>
        <v>1</v>
      </c>
      <c r="D522" s="951"/>
      <c r="E522" s="53">
        <f t="shared" si="81"/>
        <v>1</v>
      </c>
      <c r="F522" s="951"/>
      <c r="G522" s="53">
        <f t="shared" si="82"/>
        <v>1</v>
      </c>
      <c r="H522" s="951"/>
      <c r="I522" s="53">
        <f t="shared" si="83"/>
        <v>1</v>
      </c>
      <c r="J522" s="951"/>
      <c r="K522" s="53">
        <f t="shared" si="84"/>
        <v>1</v>
      </c>
      <c r="L522" s="951"/>
      <c r="M522" s="53">
        <f t="shared" si="85"/>
        <v>1</v>
      </c>
      <c r="N522" s="951"/>
      <c r="O522" s="53">
        <f t="shared" si="86"/>
        <v>1</v>
      </c>
      <c r="P522" s="951"/>
      <c r="Q522" s="53">
        <f t="shared" si="87"/>
        <v>1</v>
      </c>
      <c r="R522" s="484">
        <f t="shared" si="88"/>
        <v>0</v>
      </c>
      <c r="S522" s="789">
        <f t="shared" si="89"/>
        <v>0</v>
      </c>
    </row>
    <row r="523" spans="1:19">
      <c r="A523" s="953"/>
      <c r="B523" s="136"/>
      <c r="C523" s="53">
        <f t="shared" si="80"/>
        <v>1</v>
      </c>
      <c r="D523" s="951"/>
      <c r="E523" s="53">
        <f t="shared" si="81"/>
        <v>1</v>
      </c>
      <c r="F523" s="951"/>
      <c r="G523" s="53">
        <f t="shared" si="82"/>
        <v>1</v>
      </c>
      <c r="H523" s="951"/>
      <c r="I523" s="53">
        <f t="shared" si="83"/>
        <v>1</v>
      </c>
      <c r="J523" s="951"/>
      <c r="K523" s="53">
        <f t="shared" si="84"/>
        <v>1</v>
      </c>
      <c r="L523" s="951"/>
      <c r="M523" s="53">
        <f t="shared" si="85"/>
        <v>1</v>
      </c>
      <c r="N523" s="951"/>
      <c r="O523" s="53">
        <f t="shared" si="86"/>
        <v>1</v>
      </c>
      <c r="P523" s="951"/>
      <c r="Q523" s="53">
        <f t="shared" si="87"/>
        <v>1</v>
      </c>
      <c r="R523" s="484">
        <f t="shared" si="88"/>
        <v>0</v>
      </c>
      <c r="S523" s="789">
        <f t="shared" si="89"/>
        <v>0</v>
      </c>
    </row>
    <row r="524" spans="1:19">
      <c r="A524" s="953"/>
      <c r="B524" s="136"/>
      <c r="C524" s="53">
        <f t="shared" si="80"/>
        <v>1</v>
      </c>
      <c r="D524" s="951"/>
      <c r="E524" s="53">
        <f t="shared" si="81"/>
        <v>1</v>
      </c>
      <c r="F524" s="951"/>
      <c r="G524" s="53">
        <f t="shared" si="82"/>
        <v>1</v>
      </c>
      <c r="H524" s="951"/>
      <c r="I524" s="53">
        <f t="shared" si="83"/>
        <v>1</v>
      </c>
      <c r="J524" s="951"/>
      <c r="K524" s="53">
        <f t="shared" si="84"/>
        <v>1</v>
      </c>
      <c r="L524" s="951"/>
      <c r="M524" s="53">
        <f t="shared" si="85"/>
        <v>1</v>
      </c>
      <c r="N524" s="951"/>
      <c r="O524" s="53">
        <f t="shared" si="86"/>
        <v>1</v>
      </c>
      <c r="P524" s="951"/>
      <c r="Q524" s="53">
        <f t="shared" si="87"/>
        <v>1</v>
      </c>
      <c r="R524" s="484">
        <f t="shared" si="88"/>
        <v>0</v>
      </c>
      <c r="S524" s="789">
        <f t="shared" si="89"/>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19"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1853</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受贵公司委托，我公司对北京市划拨国有建设用地使用权市场价格进行了预评估。</v>
      </c>
    </row>
    <row r="5" spans="1:4" ht="18.75">
      <c r="A5" s="1709" t="s">
        <v>1854</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22121.8平方米。根据《建设工程规划许可证》[]、《出让合同》[]，估价对象规划建筑面积为6546.1平方米。</v>
      </c>
    </row>
    <row r="7" spans="1:4" ht="93.75">
      <c r="A7" s="2587" t="s">
        <v>2681</v>
      </c>
    </row>
    <row r="8" spans="1:4" ht="18.75">
      <c r="A8" s="1709" t="s">
        <v>1855</v>
      </c>
    </row>
    <row r="9" spans="1:4" ht="37.5">
      <c r="A9" s="1711"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12" t="s">
        <v>1973</v>
      </c>
    </row>
    <row r="11" spans="1:4" ht="18.75">
      <c r="A11" s="1695" t="str">
        <f>TEXT(项目基本情况!D3,"yyyy年m月d日;;")&amp;IF(项目基本情况!B3=项目基本情况!D3,"（评估专业人员勘察现场之日）","")</f>
        <v>2020年9月23日（评估专业人员勘察现场之日）</v>
      </c>
    </row>
    <row r="12" spans="1:4" ht="18.75">
      <c r="A12" s="1712" t="s">
        <v>1972</v>
      </c>
    </row>
    <row r="13" spans="1:4" ht="18.75">
      <c r="A13" s="1706" t="s">
        <v>2018</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2019</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2020</v>
      </c>
    </row>
    <row r="20" spans="1:1" ht="56.25">
      <c r="A20" s="2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根据《国有土地使用证》[]，估价对象（分摊）出让国有建设用地使用权面积为22121.8平方米。根据《建设工程规划许可证》[]、《出让合同》[]，估价对象规划建筑面积为6546.1平方米。</v>
      </c>
    </row>
    <row r="21" spans="1:1" ht="93.75">
      <c r="A21" s="258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2021</v>
      </c>
    </row>
    <row r="23" spans="1:1" ht="18.75">
      <c r="A23" s="2589" t="s">
        <v>2682</v>
      </c>
    </row>
    <row r="24" spans="1:1" ht="18.75">
      <c r="A24" s="1706" t="s">
        <v>2022</v>
      </c>
    </row>
    <row r="25" spans="1:1" ht="75">
      <c r="A25" s="1706" t="str">
        <f>定义!C53</f>
        <v>本次估价的“划拨国有建设用地使用权价格”是指在估价对象土地所有权为国家所有，使用权性质为划拨，在公开市场条件下，于估价期日2020年9月23日在规划利用条件下、设定土地开发程度为红线外“七通”、宗地内场地，设定用途为的划拨国有建设用地使用权价格。</v>
      </c>
    </row>
    <row r="26" spans="1:1" ht="56.25">
      <c r="A26" s="1706" t="str">
        <f>IF(项目基本情况!E8="抵押价格",定义!C54,IF(项目基本情况!E8="已注销",定义!C55,定义!C56))</f>
        <v>本次估价的“抵押担保权已注销时的抵押价格”是指估价对象在估价期日的“划拨国有建设用地使用权价格”扣减估价师于估价期日所知悉的除抵押担保权以外的其他法定优先受偿款后的余额。</v>
      </c>
    </row>
    <row r="27" spans="1:1" ht="18.7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1974</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713"/>
    </row>
    <row r="32" spans="1:1" ht="18.75">
      <c r="A32" s="1714" t="s">
        <v>1975</v>
      </c>
    </row>
  </sheetData>
  <sheetProtection sheet="1" objects="1" scenarios="1" formatCells="0" formatRows="0" insertRows="0" deleteRows="0"/>
  <phoneticPr fontId="16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3"/>
  <sheetViews>
    <sheetView workbookViewId="0">
      <selection activeCell="I5" sqref="I5"/>
    </sheetView>
  </sheetViews>
  <sheetFormatPr defaultColWidth="9" defaultRowHeight="12"/>
  <cols>
    <col min="1" max="1" width="4.875" style="2654" customWidth="1"/>
    <col min="2" max="2" width="13.125" style="2660" customWidth="1"/>
    <col min="3" max="3" width="15.625" style="2660" customWidth="1"/>
    <col min="4" max="4" width="9.375" style="2660" bestFit="1" customWidth="1"/>
    <col min="5" max="5" width="13.5" style="2660" customWidth="1"/>
    <col min="6" max="6" width="9" style="2660"/>
    <col min="7" max="7" width="9.375" style="2660" bestFit="1" customWidth="1"/>
    <col min="8" max="9" width="9" style="2660"/>
    <col min="10" max="10" width="9.375" style="2660" bestFit="1" customWidth="1"/>
    <col min="11" max="11" width="4" style="2654" customWidth="1"/>
    <col min="12" max="12" width="5.125" style="2660" customWidth="1"/>
    <col min="13" max="13" width="13.625" style="2660" customWidth="1"/>
    <col min="14" max="16384" width="9" style="2660"/>
  </cols>
  <sheetData>
    <row r="1" spans="1:256" s="2710" customFormat="1" ht="14.25" thickBot="1">
      <c r="A1" s="2709"/>
      <c r="B1" s="2711" t="s">
        <v>2720</v>
      </c>
      <c r="C1" s="2715">
        <f>项目基本情况!D3</f>
        <v>44097</v>
      </c>
      <c r="H1" s="2652">
        <f>IF(C1&gt;C13,0,MATCH(C1,C$13:C$100,-1))+IF(SUMIF(C13:C100,C1,D13:D100)=0,13,12)</f>
        <v>13</v>
      </c>
      <c r="I1" s="2652">
        <f>MATCH(C2,H3:H7,1)+IF(SUMIF(H3:H7,C2,I3:I7)=0,2,1)</f>
        <v>5</v>
      </c>
      <c r="J1" s="2708">
        <f ca="1">MATCH(C3,H3:H7,1)+IF(SUMIF(H3:H7,C3,J3:J7)=0,2,1)</f>
        <v>4</v>
      </c>
      <c r="N1" s="2652">
        <f>IF(C1&gt;M13,0,MATCH(C1,M$13:M$100,-1))+IF(SUMIF(M13:M100,C1,N13:N100)=0,13,12)</f>
        <v>13</v>
      </c>
      <c r="P1" s="2709"/>
      <c r="Q1" s="2709"/>
      <c r="R1" s="2709"/>
      <c r="S1" s="2709"/>
      <c r="T1" s="2709"/>
      <c r="U1" s="2709"/>
      <c r="V1" s="2709"/>
      <c r="W1" s="2709"/>
      <c r="X1" s="2709"/>
      <c r="Y1" s="2709"/>
      <c r="Z1" s="2709"/>
      <c r="AA1" s="2709"/>
      <c r="AB1" s="2709"/>
      <c r="AC1" s="2709"/>
      <c r="AD1" s="2709"/>
      <c r="AE1" s="2709"/>
      <c r="AF1" s="2709"/>
      <c r="AG1" s="2709"/>
      <c r="AH1" s="2709"/>
      <c r="AI1" s="2709"/>
      <c r="AJ1" s="2709"/>
      <c r="AK1" s="2709"/>
      <c r="AL1" s="2709"/>
      <c r="AM1" s="2709"/>
      <c r="AN1" s="2709"/>
      <c r="AO1" s="2709"/>
      <c r="AP1" s="2709"/>
      <c r="AQ1" s="2709"/>
      <c r="AR1" s="2709"/>
      <c r="AS1" s="2709"/>
      <c r="AT1" s="2709"/>
      <c r="AU1" s="2709"/>
      <c r="AV1" s="2709"/>
      <c r="AW1" s="2709"/>
      <c r="AX1" s="2709"/>
      <c r="AY1" s="2709"/>
      <c r="AZ1" s="2709"/>
      <c r="BA1" s="2709"/>
      <c r="BB1" s="2709"/>
      <c r="BC1" s="2709"/>
      <c r="BD1" s="2709"/>
      <c r="BE1" s="2709"/>
      <c r="BF1" s="2709"/>
      <c r="BG1" s="2709"/>
      <c r="BH1" s="2709"/>
      <c r="BI1" s="2709"/>
      <c r="BJ1" s="2709"/>
      <c r="BK1" s="2709"/>
      <c r="BL1" s="2709"/>
      <c r="BM1" s="2709"/>
      <c r="BN1" s="2709"/>
      <c r="BO1" s="2709"/>
      <c r="BP1" s="2709"/>
      <c r="BQ1" s="2709"/>
      <c r="BR1" s="2709"/>
      <c r="BS1" s="2709"/>
      <c r="BT1" s="2709"/>
      <c r="BU1" s="2709"/>
      <c r="BV1" s="2709"/>
      <c r="BW1" s="2709"/>
      <c r="BX1" s="2709"/>
      <c r="BY1" s="2709"/>
      <c r="BZ1" s="2709"/>
      <c r="CA1" s="2709"/>
      <c r="CB1" s="2709"/>
      <c r="CC1" s="2709"/>
      <c r="CD1" s="2709"/>
      <c r="CE1" s="2709"/>
      <c r="CF1" s="2709"/>
      <c r="CG1" s="2709"/>
      <c r="CH1" s="2709"/>
      <c r="CI1" s="2709"/>
      <c r="CJ1" s="2709"/>
      <c r="CK1" s="2709"/>
      <c r="CL1" s="2709"/>
      <c r="CM1" s="2709"/>
      <c r="CN1" s="2709"/>
      <c r="CO1" s="2709"/>
      <c r="CP1" s="2709"/>
      <c r="CQ1" s="2709"/>
      <c r="CR1" s="2709"/>
      <c r="CS1" s="2709"/>
      <c r="CT1" s="2709"/>
      <c r="CU1" s="2709"/>
      <c r="CV1" s="2709"/>
      <c r="CW1" s="2709"/>
      <c r="CX1" s="2709"/>
      <c r="CY1" s="2709"/>
      <c r="CZ1" s="2709"/>
      <c r="DA1" s="2709"/>
      <c r="DB1" s="2709"/>
      <c r="DC1" s="2709"/>
      <c r="DD1" s="2709"/>
      <c r="DE1" s="2709"/>
      <c r="DF1" s="2709"/>
      <c r="DG1" s="2709"/>
      <c r="DH1" s="2709"/>
      <c r="DI1" s="2709"/>
      <c r="DJ1" s="2709"/>
      <c r="DK1" s="2709"/>
      <c r="DL1" s="2709"/>
      <c r="DM1" s="2709"/>
      <c r="DN1" s="2709"/>
      <c r="DO1" s="2709"/>
      <c r="DP1" s="2709"/>
      <c r="DQ1" s="2709"/>
      <c r="DR1" s="2709"/>
      <c r="DS1" s="2709"/>
      <c r="DT1" s="2709"/>
      <c r="DU1" s="2709"/>
      <c r="DV1" s="2709"/>
      <c r="DW1" s="2709"/>
      <c r="DX1" s="2709"/>
      <c r="DY1" s="2709"/>
      <c r="DZ1" s="2709"/>
      <c r="EA1" s="2709"/>
      <c r="EB1" s="2709"/>
      <c r="EC1" s="2709"/>
      <c r="ED1" s="2709"/>
      <c r="EE1" s="2709"/>
      <c r="EF1" s="2709"/>
      <c r="EG1" s="2709"/>
      <c r="EH1" s="2709"/>
      <c r="EI1" s="2709"/>
      <c r="EJ1" s="2709"/>
      <c r="EK1" s="2709"/>
      <c r="EL1" s="2709"/>
      <c r="EM1" s="2709"/>
      <c r="EN1" s="2709"/>
      <c r="EO1" s="2709"/>
      <c r="EP1" s="2709"/>
      <c r="EQ1" s="2709"/>
      <c r="ER1" s="2709"/>
      <c r="ES1" s="2709"/>
      <c r="ET1" s="2709"/>
      <c r="EU1" s="2709"/>
      <c r="EV1" s="2709"/>
      <c r="EW1" s="2709"/>
      <c r="EX1" s="2709"/>
      <c r="EY1" s="2709"/>
      <c r="EZ1" s="2709"/>
      <c r="FA1" s="2709"/>
      <c r="FB1" s="2709"/>
      <c r="FC1" s="2709"/>
      <c r="FD1" s="2709"/>
      <c r="FE1" s="2709"/>
      <c r="FF1" s="2709"/>
      <c r="FG1" s="2709"/>
      <c r="FH1" s="2709"/>
      <c r="FI1" s="2709"/>
      <c r="FJ1" s="2709"/>
      <c r="FK1" s="2709"/>
      <c r="FL1" s="2709"/>
      <c r="FM1" s="2709"/>
      <c r="FN1" s="2709"/>
      <c r="FO1" s="2709"/>
      <c r="FP1" s="2709"/>
      <c r="FQ1" s="2709"/>
      <c r="FR1" s="2709"/>
      <c r="FS1" s="2709"/>
      <c r="FT1" s="2709"/>
      <c r="FU1" s="2709"/>
      <c r="FV1" s="2709"/>
      <c r="FW1" s="2709"/>
      <c r="FX1" s="2709"/>
      <c r="FY1" s="2709"/>
      <c r="FZ1" s="2709"/>
      <c r="GA1" s="2709"/>
      <c r="GB1" s="2709"/>
      <c r="GC1" s="2709"/>
      <c r="GD1" s="2709"/>
      <c r="GE1" s="2709"/>
      <c r="GF1" s="2709"/>
      <c r="GG1" s="2709"/>
      <c r="GH1" s="2709"/>
      <c r="GI1" s="2709"/>
      <c r="GJ1" s="2709"/>
      <c r="GK1" s="2709"/>
      <c r="GL1" s="2709"/>
      <c r="GM1" s="2709"/>
      <c r="GN1" s="2709"/>
      <c r="GO1" s="2709"/>
      <c r="GP1" s="2709"/>
      <c r="GQ1" s="2709"/>
      <c r="GR1" s="2709"/>
      <c r="GS1" s="2709"/>
      <c r="GT1" s="2709"/>
      <c r="GU1" s="2709"/>
      <c r="GV1" s="2709"/>
      <c r="GW1" s="2709"/>
      <c r="GX1" s="2709"/>
      <c r="GY1" s="2709"/>
      <c r="GZ1" s="2709"/>
      <c r="HA1" s="2709"/>
      <c r="HB1" s="2709"/>
      <c r="HC1" s="2709"/>
      <c r="HD1" s="2709"/>
      <c r="HE1" s="2709"/>
      <c r="HF1" s="2709"/>
      <c r="HG1" s="2709"/>
      <c r="HH1" s="2709"/>
      <c r="HI1" s="2709"/>
      <c r="HJ1" s="2709"/>
      <c r="HK1" s="2709"/>
      <c r="HL1" s="2709"/>
      <c r="HM1" s="2709"/>
      <c r="HN1" s="2709"/>
      <c r="HO1" s="2709"/>
      <c r="HP1" s="2709"/>
      <c r="HQ1" s="2709"/>
      <c r="HR1" s="2709"/>
      <c r="HS1" s="2709"/>
      <c r="HT1" s="2709"/>
      <c r="HU1" s="2709"/>
      <c r="HV1" s="2709"/>
      <c r="HW1" s="2709"/>
      <c r="HX1" s="2709"/>
      <c r="HY1" s="2709"/>
      <c r="HZ1" s="2709"/>
      <c r="IA1" s="2709"/>
      <c r="IB1" s="2709"/>
      <c r="IC1" s="2709"/>
      <c r="ID1" s="2709"/>
      <c r="IE1" s="2709"/>
      <c r="IF1" s="2709"/>
      <c r="IG1" s="2709"/>
      <c r="IH1" s="2709"/>
      <c r="II1" s="2709"/>
      <c r="IJ1" s="2709"/>
      <c r="IK1" s="2709"/>
      <c r="IL1" s="2709"/>
      <c r="IM1" s="2709"/>
      <c r="IN1" s="2709"/>
      <c r="IO1" s="2709"/>
      <c r="IP1" s="2709"/>
      <c r="IQ1" s="2709"/>
      <c r="IR1" s="2709"/>
      <c r="IS1" s="2709"/>
      <c r="IT1" s="2709"/>
      <c r="IU1" s="2709"/>
      <c r="IV1" s="2709"/>
    </row>
    <row r="2" spans="1:256" s="2707" customFormat="1" ht="15" thickTop="1" thickBot="1">
      <c r="A2" s="2653"/>
      <c r="B2" s="2712" t="s">
        <v>2751</v>
      </c>
      <c r="C2" s="2716">
        <f>'数据-取费表'!B22</f>
        <v>2</v>
      </c>
      <c r="D2" s="2711" t="s">
        <v>2721</v>
      </c>
      <c r="E2" s="2714">
        <f ca="1">INDIRECT("I"&amp;$I$1)/100</f>
        <v>4.7500000000000001E-2</v>
      </c>
      <c r="G2" s="2653"/>
      <c r="H2" s="2653"/>
      <c r="I2" s="2653" t="s">
        <v>2722</v>
      </c>
      <c r="K2" s="2653"/>
      <c r="L2" s="2653"/>
      <c r="M2" s="2653"/>
      <c r="N2" s="2653" t="s">
        <v>2723</v>
      </c>
      <c r="O2" s="2653"/>
      <c r="P2" s="2653"/>
      <c r="Q2" s="2653"/>
      <c r="R2" s="2653"/>
      <c r="S2" s="2653"/>
      <c r="T2" s="2653"/>
      <c r="U2" s="2653"/>
      <c r="V2" s="2653"/>
      <c r="W2" s="2653"/>
      <c r="X2" s="2653"/>
      <c r="Y2" s="2653"/>
      <c r="Z2" s="2653"/>
      <c r="AA2" s="2653"/>
      <c r="AB2" s="2653"/>
      <c r="AC2" s="2653"/>
      <c r="AD2" s="2653"/>
      <c r="AE2" s="2653"/>
      <c r="AF2" s="2653"/>
      <c r="AG2" s="2653"/>
      <c r="AH2" s="2653"/>
      <c r="AI2" s="2653"/>
      <c r="AJ2" s="2653"/>
      <c r="AK2" s="2653"/>
      <c r="AL2" s="2653"/>
      <c r="AM2" s="2653"/>
      <c r="AN2" s="2653"/>
      <c r="AO2" s="2653"/>
      <c r="AP2" s="2653"/>
      <c r="AQ2" s="2653"/>
      <c r="AR2" s="2653"/>
      <c r="AS2" s="2653"/>
      <c r="AT2" s="2653"/>
      <c r="AU2" s="2653"/>
      <c r="AV2" s="2653"/>
      <c r="AW2" s="2653"/>
      <c r="AX2" s="2653"/>
      <c r="AY2" s="2653"/>
      <c r="AZ2" s="2653"/>
      <c r="BA2" s="2653"/>
      <c r="BB2" s="2653"/>
      <c r="BC2" s="2653"/>
      <c r="BD2" s="2653"/>
      <c r="BE2" s="2653"/>
      <c r="BF2" s="2653"/>
      <c r="BG2" s="2653"/>
      <c r="BH2" s="2653"/>
      <c r="BI2" s="2653"/>
      <c r="BJ2" s="2653"/>
      <c r="BK2" s="2653"/>
      <c r="BL2" s="2653"/>
      <c r="BM2" s="2653"/>
      <c r="BN2" s="2653"/>
      <c r="BO2" s="2653"/>
      <c r="BP2" s="2653"/>
      <c r="BQ2" s="2653"/>
      <c r="BR2" s="2653"/>
      <c r="BS2" s="2653"/>
      <c r="BT2" s="2653"/>
      <c r="BU2" s="2653"/>
      <c r="BV2" s="2653"/>
      <c r="BW2" s="2653"/>
      <c r="BX2" s="2653"/>
      <c r="BY2" s="2653"/>
      <c r="BZ2" s="2653"/>
      <c r="CA2" s="2653"/>
      <c r="CB2" s="2653"/>
      <c r="CC2" s="2653"/>
      <c r="CD2" s="2653"/>
      <c r="CE2" s="2653"/>
      <c r="CF2" s="2653"/>
      <c r="CG2" s="2653"/>
      <c r="CH2" s="2653"/>
      <c r="CI2" s="2653"/>
      <c r="CJ2" s="2653"/>
      <c r="CK2" s="2653"/>
      <c r="CL2" s="2653"/>
      <c r="CM2" s="2653"/>
      <c r="CN2" s="2653"/>
      <c r="CO2" s="2653"/>
      <c r="CP2" s="2653"/>
      <c r="CQ2" s="2653"/>
      <c r="CR2" s="2653"/>
      <c r="CS2" s="2653"/>
      <c r="CT2" s="2653"/>
      <c r="CU2" s="2653"/>
      <c r="CV2" s="2653"/>
      <c r="CW2" s="2653"/>
      <c r="CX2" s="2653"/>
      <c r="CY2" s="2653"/>
      <c r="CZ2" s="2653"/>
      <c r="DA2" s="2653"/>
      <c r="DB2" s="2653"/>
      <c r="DC2" s="2653"/>
      <c r="DD2" s="2653"/>
      <c r="DE2" s="2653"/>
      <c r="DF2" s="2653"/>
      <c r="DG2" s="2653"/>
      <c r="DH2" s="2653"/>
      <c r="DI2" s="2653"/>
      <c r="DJ2" s="2653"/>
      <c r="DK2" s="2653"/>
      <c r="DL2" s="2653"/>
      <c r="DM2" s="2653"/>
      <c r="DN2" s="2653"/>
      <c r="DO2" s="2653"/>
      <c r="DP2" s="2653"/>
      <c r="DQ2" s="2653"/>
      <c r="DR2" s="2653"/>
      <c r="DS2" s="2653"/>
      <c r="DT2" s="2653"/>
      <c r="DU2" s="2653"/>
      <c r="DV2" s="2653"/>
      <c r="DW2" s="2653"/>
      <c r="DX2" s="2653"/>
      <c r="DY2" s="2653"/>
      <c r="DZ2" s="2653"/>
      <c r="EA2" s="2653"/>
      <c r="EB2" s="2653"/>
      <c r="EC2" s="2653"/>
      <c r="ED2" s="2653"/>
      <c r="EE2" s="2653"/>
      <c r="EF2" s="2653"/>
      <c r="EG2" s="2653"/>
      <c r="EH2" s="2653"/>
      <c r="EI2" s="2653"/>
      <c r="EJ2" s="2653"/>
      <c r="EK2" s="2653"/>
      <c r="EL2" s="2653"/>
      <c r="EM2" s="2653"/>
      <c r="EN2" s="2653"/>
      <c r="EO2" s="2653"/>
      <c r="EP2" s="2653"/>
      <c r="EQ2" s="2653"/>
      <c r="ER2" s="2653"/>
      <c r="ES2" s="2653"/>
      <c r="ET2" s="2653"/>
      <c r="EU2" s="2653"/>
      <c r="EV2" s="2653"/>
      <c r="EW2" s="2653"/>
      <c r="EX2" s="2653"/>
      <c r="EY2" s="2653"/>
      <c r="EZ2" s="2653"/>
      <c r="FA2" s="2653"/>
      <c r="FB2" s="2653"/>
      <c r="FC2" s="2653"/>
      <c r="FD2" s="2653"/>
      <c r="FE2" s="2653"/>
      <c r="FF2" s="2653"/>
      <c r="FG2" s="2653"/>
      <c r="FH2" s="2653"/>
      <c r="FI2" s="2653"/>
      <c r="FJ2" s="2653"/>
      <c r="FK2" s="2653"/>
      <c r="FL2" s="2653"/>
      <c r="FM2" s="2653"/>
      <c r="FN2" s="2653"/>
      <c r="FO2" s="2653"/>
      <c r="FP2" s="2653"/>
      <c r="FQ2" s="2653"/>
      <c r="FR2" s="2653"/>
      <c r="FS2" s="2653"/>
      <c r="FT2" s="2653"/>
      <c r="FU2" s="2653"/>
      <c r="FV2" s="2653"/>
      <c r="FW2" s="2653"/>
      <c r="FX2" s="2653"/>
      <c r="FY2" s="2653"/>
      <c r="FZ2" s="2653"/>
      <c r="GA2" s="2653"/>
      <c r="GB2" s="2653"/>
      <c r="GC2" s="2653"/>
      <c r="GD2" s="2653"/>
      <c r="GE2" s="2653"/>
      <c r="GF2" s="2653"/>
      <c r="GG2" s="2653"/>
      <c r="GH2" s="2653"/>
      <c r="GI2" s="2653"/>
      <c r="GJ2" s="2653"/>
      <c r="GK2" s="2653"/>
      <c r="GL2" s="2653"/>
      <c r="GM2" s="2653"/>
      <c r="GN2" s="2653"/>
      <c r="GO2" s="2653"/>
      <c r="GP2" s="2653"/>
      <c r="GQ2" s="2653"/>
      <c r="GR2" s="2653"/>
      <c r="GS2" s="2653"/>
      <c r="GT2" s="2653"/>
      <c r="GU2" s="2653"/>
      <c r="GV2" s="2653"/>
      <c r="GW2" s="2653"/>
      <c r="GX2" s="2653"/>
      <c r="GY2" s="2653"/>
      <c r="GZ2" s="2653"/>
      <c r="HA2" s="2653"/>
      <c r="HB2" s="2653"/>
      <c r="HC2" s="2653"/>
      <c r="HD2" s="2653"/>
      <c r="HE2" s="2653"/>
      <c r="HF2" s="2653"/>
      <c r="HG2" s="2653"/>
      <c r="HH2" s="2653"/>
      <c r="HI2" s="2653"/>
      <c r="HJ2" s="2653"/>
      <c r="HK2" s="2653"/>
      <c r="HL2" s="2653"/>
      <c r="HM2" s="2653"/>
      <c r="HN2" s="2653"/>
      <c r="HO2" s="2653"/>
      <c r="HP2" s="2653"/>
      <c r="HQ2" s="2653"/>
      <c r="HR2" s="2653"/>
      <c r="HS2" s="2653"/>
      <c r="HT2" s="2653"/>
      <c r="HU2" s="2653"/>
      <c r="HV2" s="2653"/>
      <c r="HW2" s="2653"/>
      <c r="HX2" s="2653"/>
      <c r="HY2" s="2653"/>
      <c r="HZ2" s="2653"/>
      <c r="IA2" s="2653"/>
      <c r="IB2" s="2653"/>
      <c r="IC2" s="2653"/>
      <c r="ID2" s="2653"/>
      <c r="IE2" s="2653"/>
      <c r="IF2" s="2653"/>
      <c r="IG2" s="2653"/>
      <c r="IH2" s="2653"/>
      <c r="II2" s="2653"/>
      <c r="IJ2" s="2653"/>
      <c r="IK2" s="2653"/>
      <c r="IL2" s="2653"/>
      <c r="IM2" s="2653"/>
      <c r="IN2" s="2653"/>
      <c r="IO2" s="2653"/>
      <c r="IP2" s="2653"/>
      <c r="IQ2" s="2653"/>
      <c r="IR2" s="2653"/>
      <c r="IS2" s="2653"/>
      <c r="IT2" s="2653"/>
      <c r="IU2" s="2653"/>
      <c r="IV2" s="2653"/>
    </row>
    <row r="3" spans="1:256" s="2707" customFormat="1" ht="13.5">
      <c r="A3" s="2654"/>
      <c r="B3" s="2711" t="s">
        <v>2753</v>
      </c>
      <c r="C3" s="2713">
        <f>'数据-取费表'!B19</f>
        <v>1</v>
      </c>
      <c r="D3" s="2711" t="s">
        <v>2721</v>
      </c>
      <c r="E3" s="2714">
        <f ca="1">INDIRECT("J"&amp;$J$1)/100</f>
        <v>4.3499999999999997E-2</v>
      </c>
      <c r="G3" s="2655" t="s">
        <v>2724</v>
      </c>
      <c r="H3" s="2656">
        <v>0</v>
      </c>
      <c r="I3" s="2657">
        <f ca="1">INDIRECT("d"&amp;$H$1)</f>
        <v>4.3499999999999996</v>
      </c>
      <c r="J3" s="2657">
        <f ca="1">INDIRECT("d"&amp;$H$1)</f>
        <v>4.3499999999999996</v>
      </c>
      <c r="K3" s="2654"/>
      <c r="L3" s="2654"/>
      <c r="M3" s="2658">
        <v>0.5</v>
      </c>
      <c r="N3" s="2659">
        <f ca="1">INDIRECT("p"&amp;$N$1)</f>
        <v>1.3</v>
      </c>
      <c r="O3" s="2654"/>
      <c r="P3" s="2654"/>
      <c r="Q3" s="2654"/>
      <c r="R3" s="2654"/>
      <c r="S3" s="2654"/>
      <c r="T3" s="2654"/>
      <c r="U3" s="2654"/>
      <c r="V3" s="2654"/>
      <c r="W3" s="2654"/>
      <c r="X3" s="2654"/>
      <c r="Y3" s="2654"/>
      <c r="Z3" s="2654"/>
      <c r="AA3" s="2654"/>
      <c r="AB3" s="2654"/>
      <c r="AC3" s="2654"/>
      <c r="AD3" s="2654"/>
      <c r="AE3" s="2654"/>
      <c r="AF3" s="2654"/>
      <c r="AG3" s="2654"/>
      <c r="AH3" s="2654"/>
      <c r="AI3" s="2654"/>
      <c r="AJ3" s="2654"/>
      <c r="AK3" s="2654"/>
      <c r="AL3" s="2654"/>
      <c r="AM3" s="2654"/>
      <c r="AN3" s="2654"/>
      <c r="AO3" s="2654"/>
      <c r="AP3" s="2654"/>
      <c r="AQ3" s="2654"/>
      <c r="AR3" s="2654"/>
      <c r="AS3" s="2654"/>
      <c r="AT3" s="2654"/>
      <c r="AU3" s="2654"/>
      <c r="AV3" s="2654"/>
      <c r="AW3" s="2654"/>
      <c r="AX3" s="2654"/>
      <c r="AY3" s="2654"/>
      <c r="AZ3" s="2654"/>
      <c r="BA3" s="2654"/>
      <c r="BB3" s="2654"/>
      <c r="BC3" s="2654"/>
      <c r="BD3" s="2654"/>
      <c r="BE3" s="2654"/>
      <c r="BF3" s="2654"/>
      <c r="BG3" s="2654"/>
      <c r="BH3" s="2654"/>
      <c r="BI3" s="2654"/>
      <c r="BJ3" s="2654"/>
      <c r="BK3" s="2654"/>
      <c r="BL3" s="2654"/>
      <c r="BM3" s="2654"/>
      <c r="BN3" s="2654"/>
      <c r="BO3" s="2654"/>
      <c r="BP3" s="2654"/>
      <c r="BQ3" s="2654"/>
      <c r="BR3" s="2654"/>
      <c r="BS3" s="2654"/>
      <c r="BT3" s="2654"/>
      <c r="BU3" s="2654"/>
      <c r="BV3" s="2654"/>
      <c r="BW3" s="2654"/>
      <c r="BX3" s="2654"/>
      <c r="BY3" s="2654"/>
      <c r="BZ3" s="2654"/>
      <c r="CA3" s="2654"/>
      <c r="CB3" s="2654"/>
      <c r="CC3" s="2654"/>
      <c r="CD3" s="2654"/>
      <c r="CE3" s="2654"/>
      <c r="CF3" s="2654"/>
      <c r="CG3" s="2654"/>
      <c r="CH3" s="2654"/>
      <c r="CI3" s="2654"/>
      <c r="CJ3" s="2654"/>
      <c r="CK3" s="2654"/>
      <c r="CL3" s="2654"/>
      <c r="CM3" s="2654"/>
      <c r="CN3" s="2654"/>
      <c r="CO3" s="2654"/>
      <c r="CP3" s="2654"/>
      <c r="CQ3" s="2654"/>
      <c r="CR3" s="2654"/>
      <c r="CS3" s="2654"/>
      <c r="CT3" s="2654"/>
      <c r="CU3" s="2654"/>
      <c r="CV3" s="2654"/>
      <c r="CW3" s="2654"/>
      <c r="CX3" s="2654"/>
      <c r="CY3" s="2654"/>
      <c r="CZ3" s="2654"/>
      <c r="DA3" s="2654"/>
      <c r="DB3" s="2654"/>
      <c r="DC3" s="2654"/>
      <c r="DD3" s="2654"/>
      <c r="DE3" s="2654"/>
      <c r="DF3" s="2654"/>
      <c r="DG3" s="2654"/>
      <c r="DH3" s="2654"/>
      <c r="DI3" s="2654"/>
      <c r="DJ3" s="2654"/>
      <c r="DK3" s="2654"/>
      <c r="DL3" s="2654"/>
      <c r="DM3" s="2654"/>
      <c r="DN3" s="2654"/>
      <c r="DO3" s="2654"/>
      <c r="DP3" s="2654"/>
      <c r="DQ3" s="2654"/>
      <c r="DR3" s="2654"/>
      <c r="DS3" s="2654"/>
      <c r="DT3" s="2654"/>
      <c r="DU3" s="2654"/>
      <c r="DV3" s="2654"/>
      <c r="DW3" s="2654"/>
      <c r="DX3" s="2654"/>
      <c r="DY3" s="2654"/>
      <c r="DZ3" s="2654"/>
      <c r="EA3" s="2654"/>
      <c r="EB3" s="2654"/>
      <c r="EC3" s="2654"/>
      <c r="ED3" s="2654"/>
      <c r="EE3" s="2654"/>
      <c r="EF3" s="2654"/>
      <c r="EG3" s="2654"/>
      <c r="EH3" s="2654"/>
      <c r="EI3" s="2654"/>
      <c r="EJ3" s="2654"/>
      <c r="EK3" s="2654"/>
      <c r="EL3" s="2654"/>
      <c r="EM3" s="2654"/>
      <c r="EN3" s="2654"/>
      <c r="EO3" s="2654"/>
      <c r="EP3" s="2654"/>
      <c r="EQ3" s="2654"/>
      <c r="ER3" s="2654"/>
      <c r="ES3" s="2654"/>
      <c r="ET3" s="2654"/>
      <c r="EU3" s="2654"/>
      <c r="EV3" s="2654"/>
      <c r="EW3" s="2654"/>
      <c r="EX3" s="2654"/>
      <c r="EY3" s="2654"/>
      <c r="EZ3" s="2654"/>
      <c r="FA3" s="2654"/>
      <c r="FB3" s="2654"/>
      <c r="FC3" s="2654"/>
      <c r="FD3" s="2654"/>
      <c r="FE3" s="2654"/>
      <c r="FF3" s="2654"/>
      <c r="FG3" s="2654"/>
      <c r="FH3" s="2654"/>
      <c r="FI3" s="2654"/>
      <c r="FJ3" s="2654"/>
      <c r="FK3" s="2654"/>
      <c r="FL3" s="2654"/>
      <c r="FM3" s="2654"/>
      <c r="FN3" s="2654"/>
      <c r="FO3" s="2654"/>
      <c r="FP3" s="2654"/>
      <c r="FQ3" s="2654"/>
      <c r="FR3" s="2654"/>
      <c r="FS3" s="2654"/>
      <c r="FT3" s="2654"/>
      <c r="FU3" s="2654"/>
      <c r="FV3" s="2654"/>
      <c r="FW3" s="2654"/>
      <c r="FX3" s="2654"/>
      <c r="FY3" s="2654"/>
      <c r="FZ3" s="2654"/>
      <c r="GA3" s="2654"/>
      <c r="GB3" s="2654"/>
      <c r="GC3" s="2654"/>
      <c r="GD3" s="2654"/>
      <c r="GE3" s="2654"/>
      <c r="GF3" s="2654"/>
      <c r="GG3" s="2654"/>
      <c r="GH3" s="2654"/>
      <c r="GI3" s="2654"/>
      <c r="GJ3" s="2654"/>
      <c r="GK3" s="2654"/>
      <c r="GL3" s="2654"/>
      <c r="GM3" s="2654"/>
      <c r="GN3" s="2654"/>
      <c r="GO3" s="2654"/>
      <c r="GP3" s="2654"/>
      <c r="GQ3" s="2654"/>
      <c r="GR3" s="2654"/>
      <c r="GS3" s="2654"/>
      <c r="GT3" s="2654"/>
      <c r="GU3" s="2654"/>
      <c r="GV3" s="2654"/>
      <c r="GW3" s="2654"/>
      <c r="GX3" s="2654"/>
      <c r="GY3" s="2654"/>
      <c r="GZ3" s="2654"/>
      <c r="HA3" s="2654"/>
      <c r="HB3" s="2654"/>
      <c r="HC3" s="2654"/>
      <c r="HD3" s="2654"/>
      <c r="HE3" s="2654"/>
      <c r="HF3" s="2654"/>
      <c r="HG3" s="2654"/>
      <c r="HH3" s="2654"/>
      <c r="HI3" s="2654"/>
      <c r="HJ3" s="2654"/>
      <c r="HK3" s="2654"/>
      <c r="HL3" s="2654"/>
      <c r="HM3" s="2654"/>
      <c r="HN3" s="2654"/>
      <c r="HO3" s="2654"/>
      <c r="HP3" s="2654"/>
      <c r="HQ3" s="2654"/>
      <c r="HR3" s="2654"/>
      <c r="HS3" s="2654"/>
      <c r="HT3" s="2654"/>
      <c r="HU3" s="2654"/>
      <c r="HV3" s="2654"/>
      <c r="HW3" s="2654"/>
      <c r="HX3" s="2654"/>
      <c r="HY3" s="2654"/>
      <c r="HZ3" s="2654"/>
      <c r="IA3" s="2654"/>
      <c r="IB3" s="2654"/>
      <c r="IC3" s="2654"/>
      <c r="ID3" s="2654"/>
      <c r="IE3" s="2654"/>
      <c r="IF3" s="2654"/>
      <c r="IG3" s="2654"/>
      <c r="IH3" s="2654"/>
      <c r="II3" s="2654"/>
      <c r="IJ3" s="2654"/>
      <c r="IK3" s="2654"/>
      <c r="IL3" s="2654"/>
      <c r="IM3" s="2654"/>
      <c r="IN3" s="2654"/>
      <c r="IO3" s="2654"/>
      <c r="IP3" s="2654"/>
      <c r="IQ3" s="2654"/>
      <c r="IR3" s="2654"/>
      <c r="IS3" s="2654"/>
      <c r="IT3" s="2654"/>
      <c r="IU3" s="2654"/>
      <c r="IV3" s="2654"/>
    </row>
    <row r="4" spans="1:256" s="2707" customFormat="1" ht="13.5">
      <c r="A4" s="2654"/>
      <c r="B4" s="2711" t="s">
        <v>2752</v>
      </c>
      <c r="C4" s="2714">
        <f ca="1">N4/100</f>
        <v>1.4999999999999999E-2</v>
      </c>
      <c r="G4" s="2661" t="s">
        <v>2725</v>
      </c>
      <c r="H4" s="2662">
        <v>0.5</v>
      </c>
      <c r="I4" s="2663">
        <f ca="1">INDIRECT("e"&amp;$H$1)</f>
        <v>4.3499999999999996</v>
      </c>
      <c r="J4" s="2663">
        <f ca="1">INDIRECT("e"&amp;$H$1)</f>
        <v>4.3499999999999996</v>
      </c>
      <c r="K4" s="2654"/>
      <c r="L4" s="2654"/>
      <c r="M4" s="2664">
        <v>1</v>
      </c>
      <c r="N4" s="2665">
        <f ca="1">INDIRECT("q"&amp;$N$1)</f>
        <v>1.5</v>
      </c>
      <c r="O4" s="2654"/>
      <c r="P4" s="2654"/>
      <c r="Q4" s="2654"/>
      <c r="R4" s="2654"/>
      <c r="S4" s="2654"/>
      <c r="T4" s="2654"/>
      <c r="U4" s="2654"/>
      <c r="V4" s="2654"/>
      <c r="W4" s="2654"/>
      <c r="X4" s="2654"/>
      <c r="Y4" s="2654"/>
      <c r="Z4" s="2654"/>
      <c r="AA4" s="2654"/>
      <c r="AB4" s="2654"/>
      <c r="AC4" s="2654"/>
      <c r="AD4" s="2654"/>
      <c r="AE4" s="2654"/>
      <c r="AF4" s="2654"/>
      <c r="AG4" s="2654"/>
      <c r="AH4" s="2654"/>
      <c r="AI4" s="2654"/>
      <c r="AJ4" s="2654"/>
      <c r="AK4" s="2654"/>
      <c r="AL4" s="2654"/>
      <c r="AM4" s="2654"/>
      <c r="AN4" s="2654"/>
      <c r="AO4" s="2654"/>
      <c r="AP4" s="2654"/>
      <c r="AQ4" s="2654"/>
      <c r="AR4" s="2654"/>
      <c r="AS4" s="2654"/>
      <c r="AT4" s="2654"/>
      <c r="AU4" s="2654"/>
      <c r="AV4" s="2654"/>
      <c r="AW4" s="2654"/>
      <c r="AX4" s="2654"/>
      <c r="AY4" s="2654"/>
      <c r="AZ4" s="2654"/>
      <c r="BA4" s="2654"/>
      <c r="BB4" s="2654"/>
      <c r="BC4" s="2654"/>
      <c r="BD4" s="2654"/>
      <c r="BE4" s="2654"/>
      <c r="BF4" s="2654"/>
      <c r="BG4" s="2654"/>
      <c r="BH4" s="2654"/>
      <c r="BI4" s="2654"/>
      <c r="BJ4" s="2654"/>
      <c r="BK4" s="2654"/>
      <c r="BL4" s="2654"/>
      <c r="BM4" s="2654"/>
      <c r="BN4" s="2654"/>
      <c r="BO4" s="2654"/>
      <c r="BP4" s="2654"/>
      <c r="BQ4" s="2654"/>
      <c r="BR4" s="2654"/>
      <c r="BS4" s="2654"/>
      <c r="BT4" s="2654"/>
      <c r="BU4" s="2654"/>
      <c r="BV4" s="2654"/>
      <c r="BW4" s="2654"/>
      <c r="BX4" s="2654"/>
      <c r="BY4" s="2654"/>
      <c r="BZ4" s="2654"/>
      <c r="CA4" s="2654"/>
      <c r="CB4" s="2654"/>
      <c r="CC4" s="2654"/>
      <c r="CD4" s="2654"/>
      <c r="CE4" s="2654"/>
      <c r="CF4" s="2654"/>
      <c r="CG4" s="2654"/>
      <c r="CH4" s="2654"/>
      <c r="CI4" s="2654"/>
      <c r="CJ4" s="2654"/>
      <c r="CK4" s="2654"/>
      <c r="CL4" s="2654"/>
      <c r="CM4" s="2654"/>
      <c r="CN4" s="2654"/>
      <c r="CO4" s="2654"/>
      <c r="CP4" s="2654"/>
      <c r="CQ4" s="2654"/>
      <c r="CR4" s="2654"/>
      <c r="CS4" s="2654"/>
      <c r="CT4" s="2654"/>
      <c r="CU4" s="2654"/>
      <c r="CV4" s="2654"/>
      <c r="CW4" s="2654"/>
      <c r="CX4" s="2654"/>
      <c r="CY4" s="2654"/>
      <c r="CZ4" s="2654"/>
      <c r="DA4" s="2654"/>
      <c r="DB4" s="2654"/>
      <c r="DC4" s="2654"/>
      <c r="DD4" s="2654"/>
      <c r="DE4" s="2654"/>
      <c r="DF4" s="2654"/>
      <c r="DG4" s="2654"/>
      <c r="DH4" s="2654"/>
      <c r="DI4" s="2654"/>
      <c r="DJ4" s="2654"/>
      <c r="DK4" s="2654"/>
      <c r="DL4" s="2654"/>
      <c r="DM4" s="2654"/>
      <c r="DN4" s="2654"/>
      <c r="DO4" s="2654"/>
      <c r="DP4" s="2654"/>
      <c r="DQ4" s="2654"/>
      <c r="DR4" s="2654"/>
      <c r="DS4" s="2654"/>
      <c r="DT4" s="2654"/>
      <c r="DU4" s="2654"/>
      <c r="DV4" s="2654"/>
      <c r="DW4" s="2654"/>
      <c r="DX4" s="2654"/>
      <c r="DY4" s="2654"/>
      <c r="DZ4" s="2654"/>
      <c r="EA4" s="2654"/>
      <c r="EB4" s="2654"/>
      <c r="EC4" s="2654"/>
      <c r="ED4" s="2654"/>
      <c r="EE4" s="2654"/>
      <c r="EF4" s="2654"/>
      <c r="EG4" s="2654"/>
      <c r="EH4" s="2654"/>
      <c r="EI4" s="2654"/>
      <c r="EJ4" s="2654"/>
      <c r="EK4" s="2654"/>
      <c r="EL4" s="2654"/>
      <c r="EM4" s="2654"/>
      <c r="EN4" s="2654"/>
      <c r="EO4" s="2654"/>
      <c r="EP4" s="2654"/>
      <c r="EQ4" s="2654"/>
      <c r="ER4" s="2654"/>
      <c r="ES4" s="2654"/>
      <c r="ET4" s="2654"/>
      <c r="EU4" s="2654"/>
      <c r="EV4" s="2654"/>
      <c r="EW4" s="2654"/>
      <c r="EX4" s="2654"/>
      <c r="EY4" s="2654"/>
      <c r="EZ4" s="2654"/>
      <c r="FA4" s="2654"/>
      <c r="FB4" s="2654"/>
      <c r="FC4" s="2654"/>
      <c r="FD4" s="2654"/>
      <c r="FE4" s="2654"/>
      <c r="FF4" s="2654"/>
      <c r="FG4" s="2654"/>
      <c r="FH4" s="2654"/>
      <c r="FI4" s="2654"/>
      <c r="FJ4" s="2654"/>
      <c r="FK4" s="2654"/>
      <c r="FL4" s="2654"/>
      <c r="FM4" s="2654"/>
      <c r="FN4" s="2654"/>
      <c r="FO4" s="2654"/>
      <c r="FP4" s="2654"/>
      <c r="FQ4" s="2654"/>
      <c r="FR4" s="2654"/>
      <c r="FS4" s="2654"/>
      <c r="FT4" s="2654"/>
      <c r="FU4" s="2654"/>
      <c r="FV4" s="2654"/>
      <c r="FW4" s="2654"/>
      <c r="FX4" s="2654"/>
      <c r="FY4" s="2654"/>
      <c r="FZ4" s="2654"/>
      <c r="GA4" s="2654"/>
      <c r="GB4" s="2654"/>
      <c r="GC4" s="2654"/>
      <c r="GD4" s="2654"/>
      <c r="GE4" s="2654"/>
      <c r="GF4" s="2654"/>
      <c r="GG4" s="2654"/>
      <c r="GH4" s="2654"/>
      <c r="GI4" s="2654"/>
      <c r="GJ4" s="2654"/>
      <c r="GK4" s="2654"/>
      <c r="GL4" s="2654"/>
      <c r="GM4" s="2654"/>
      <c r="GN4" s="2654"/>
      <c r="GO4" s="2654"/>
      <c r="GP4" s="2654"/>
      <c r="GQ4" s="2654"/>
      <c r="GR4" s="2654"/>
      <c r="GS4" s="2654"/>
      <c r="GT4" s="2654"/>
      <c r="GU4" s="2654"/>
      <c r="GV4" s="2654"/>
      <c r="GW4" s="2654"/>
      <c r="GX4" s="2654"/>
      <c r="GY4" s="2654"/>
      <c r="GZ4" s="2654"/>
      <c r="HA4" s="2654"/>
      <c r="HB4" s="2654"/>
      <c r="HC4" s="2654"/>
      <c r="HD4" s="2654"/>
      <c r="HE4" s="2654"/>
      <c r="HF4" s="2654"/>
      <c r="HG4" s="2654"/>
      <c r="HH4" s="2654"/>
      <c r="HI4" s="2654"/>
      <c r="HJ4" s="2654"/>
      <c r="HK4" s="2654"/>
      <c r="HL4" s="2654"/>
      <c r="HM4" s="2654"/>
      <c r="HN4" s="2654"/>
      <c r="HO4" s="2654"/>
      <c r="HP4" s="2654"/>
      <c r="HQ4" s="2654"/>
      <c r="HR4" s="2654"/>
      <c r="HS4" s="2654"/>
      <c r="HT4" s="2654"/>
      <c r="HU4" s="2654"/>
      <c r="HV4" s="2654"/>
      <c r="HW4" s="2654"/>
      <c r="HX4" s="2654"/>
      <c r="HY4" s="2654"/>
      <c r="HZ4" s="2654"/>
      <c r="IA4" s="2654"/>
      <c r="IB4" s="2654"/>
      <c r="IC4" s="2654"/>
      <c r="ID4" s="2654"/>
      <c r="IE4" s="2654"/>
      <c r="IF4" s="2654"/>
      <c r="IG4" s="2654"/>
      <c r="IH4" s="2654"/>
      <c r="II4" s="2654"/>
      <c r="IJ4" s="2654"/>
      <c r="IK4" s="2654"/>
      <c r="IL4" s="2654"/>
      <c r="IM4" s="2654"/>
      <c r="IN4" s="2654"/>
      <c r="IO4" s="2654"/>
      <c r="IP4" s="2654"/>
      <c r="IQ4" s="2654"/>
      <c r="IR4" s="2654"/>
      <c r="IS4" s="2654"/>
      <c r="IT4" s="2654"/>
      <c r="IU4" s="2654"/>
      <c r="IV4" s="2654"/>
    </row>
    <row r="5" spans="1:256" s="2707" customFormat="1" ht="13.5">
      <c r="A5" s="2654"/>
      <c r="G5" s="2661" t="s">
        <v>2726</v>
      </c>
      <c r="H5" s="2662">
        <v>1</v>
      </c>
      <c r="I5" s="2663">
        <f ca="1">INDIRECT("f"&amp;$H$1)</f>
        <v>4.75</v>
      </c>
      <c r="J5" s="2663">
        <f ca="1">INDIRECT("f"&amp;$H$1)</f>
        <v>4.75</v>
      </c>
      <c r="K5" s="2654"/>
      <c r="L5" s="2654"/>
      <c r="M5" s="2664">
        <v>2</v>
      </c>
      <c r="N5" s="2665">
        <f ca="1">INDIRECT("r"&amp;$N$1)</f>
        <v>2.1</v>
      </c>
      <c r="O5" s="2654"/>
      <c r="P5" s="2654"/>
      <c r="Q5" s="2654"/>
      <c r="R5" s="2654"/>
      <c r="S5" s="2654"/>
      <c r="T5" s="2654"/>
      <c r="U5" s="2654"/>
      <c r="V5" s="2654"/>
      <c r="W5" s="2654"/>
      <c r="X5" s="2654"/>
      <c r="Y5" s="2654"/>
      <c r="Z5" s="2654"/>
      <c r="AA5" s="2654"/>
      <c r="AB5" s="2654"/>
      <c r="AC5" s="2654"/>
      <c r="AD5" s="2654"/>
      <c r="AE5" s="2654"/>
      <c r="AF5" s="2654"/>
      <c r="AG5" s="2654"/>
      <c r="AH5" s="2654"/>
      <c r="AI5" s="2654"/>
      <c r="AJ5" s="2654"/>
      <c r="AK5" s="2654"/>
      <c r="AL5" s="2654"/>
      <c r="AM5" s="2654"/>
      <c r="AN5" s="2654"/>
      <c r="AO5" s="2654"/>
      <c r="AP5" s="2654"/>
      <c r="AQ5" s="2654"/>
      <c r="AR5" s="2654"/>
      <c r="AS5" s="2654"/>
      <c r="AT5" s="2654"/>
      <c r="AU5" s="2654"/>
      <c r="AV5" s="2654"/>
      <c r="AW5" s="2654"/>
      <c r="AX5" s="2654"/>
      <c r="AY5" s="2654"/>
      <c r="AZ5" s="2654"/>
      <c r="BA5" s="2654"/>
      <c r="BB5" s="2654"/>
      <c r="BC5" s="2654"/>
      <c r="BD5" s="2654"/>
      <c r="BE5" s="2654"/>
      <c r="BF5" s="2654"/>
      <c r="BG5" s="2654"/>
      <c r="BH5" s="2654"/>
      <c r="BI5" s="2654"/>
      <c r="BJ5" s="2654"/>
      <c r="BK5" s="2654"/>
      <c r="BL5" s="2654"/>
      <c r="BM5" s="2654"/>
      <c r="BN5" s="2654"/>
      <c r="BO5" s="2654"/>
      <c r="BP5" s="2654"/>
      <c r="BQ5" s="2654"/>
      <c r="BR5" s="2654"/>
      <c r="BS5" s="2654"/>
      <c r="BT5" s="2654"/>
      <c r="BU5" s="2654"/>
      <c r="BV5" s="2654"/>
      <c r="BW5" s="2654"/>
      <c r="BX5" s="2654"/>
      <c r="BY5" s="2654"/>
      <c r="BZ5" s="2654"/>
      <c r="CA5" s="2654"/>
      <c r="CB5" s="2654"/>
      <c r="CC5" s="2654"/>
      <c r="CD5" s="2654"/>
      <c r="CE5" s="2654"/>
      <c r="CF5" s="2654"/>
      <c r="CG5" s="2654"/>
      <c r="CH5" s="2654"/>
      <c r="CI5" s="2654"/>
      <c r="CJ5" s="2654"/>
      <c r="CK5" s="2654"/>
      <c r="CL5" s="2654"/>
      <c r="CM5" s="2654"/>
      <c r="CN5" s="2654"/>
      <c r="CO5" s="2654"/>
      <c r="CP5" s="2654"/>
      <c r="CQ5" s="2654"/>
      <c r="CR5" s="2654"/>
      <c r="CS5" s="2654"/>
      <c r="CT5" s="2654"/>
      <c r="CU5" s="2654"/>
      <c r="CV5" s="2654"/>
      <c r="CW5" s="2654"/>
      <c r="CX5" s="2654"/>
      <c r="CY5" s="2654"/>
      <c r="CZ5" s="2654"/>
      <c r="DA5" s="2654"/>
      <c r="DB5" s="2654"/>
      <c r="DC5" s="2654"/>
      <c r="DD5" s="2654"/>
      <c r="DE5" s="2654"/>
      <c r="DF5" s="2654"/>
      <c r="DG5" s="2654"/>
      <c r="DH5" s="2654"/>
      <c r="DI5" s="2654"/>
      <c r="DJ5" s="2654"/>
      <c r="DK5" s="2654"/>
      <c r="DL5" s="2654"/>
      <c r="DM5" s="2654"/>
      <c r="DN5" s="2654"/>
      <c r="DO5" s="2654"/>
      <c r="DP5" s="2654"/>
      <c r="DQ5" s="2654"/>
      <c r="DR5" s="2654"/>
      <c r="DS5" s="2654"/>
      <c r="DT5" s="2654"/>
      <c r="DU5" s="2654"/>
      <c r="DV5" s="2654"/>
      <c r="DW5" s="2654"/>
      <c r="DX5" s="2654"/>
      <c r="DY5" s="2654"/>
      <c r="DZ5" s="2654"/>
      <c r="EA5" s="2654"/>
      <c r="EB5" s="2654"/>
      <c r="EC5" s="2654"/>
      <c r="ED5" s="2654"/>
      <c r="EE5" s="2654"/>
      <c r="EF5" s="2654"/>
      <c r="EG5" s="2654"/>
      <c r="EH5" s="2654"/>
      <c r="EI5" s="2654"/>
      <c r="EJ5" s="2654"/>
      <c r="EK5" s="2654"/>
      <c r="EL5" s="2654"/>
      <c r="EM5" s="2654"/>
      <c r="EN5" s="2654"/>
      <c r="EO5" s="2654"/>
      <c r="EP5" s="2654"/>
      <c r="EQ5" s="2654"/>
      <c r="ER5" s="2654"/>
      <c r="ES5" s="2654"/>
      <c r="ET5" s="2654"/>
      <c r="EU5" s="2654"/>
      <c r="EV5" s="2654"/>
      <c r="EW5" s="2654"/>
      <c r="EX5" s="2654"/>
      <c r="EY5" s="2654"/>
      <c r="EZ5" s="2654"/>
      <c r="FA5" s="2654"/>
      <c r="FB5" s="2654"/>
      <c r="FC5" s="2654"/>
      <c r="FD5" s="2654"/>
      <c r="FE5" s="2654"/>
      <c r="FF5" s="2654"/>
      <c r="FG5" s="2654"/>
      <c r="FH5" s="2654"/>
      <c r="FI5" s="2654"/>
      <c r="FJ5" s="2654"/>
      <c r="FK5" s="2654"/>
      <c r="FL5" s="2654"/>
      <c r="FM5" s="2654"/>
      <c r="FN5" s="2654"/>
      <c r="FO5" s="2654"/>
      <c r="FP5" s="2654"/>
      <c r="FQ5" s="2654"/>
      <c r="FR5" s="2654"/>
      <c r="FS5" s="2654"/>
      <c r="FT5" s="2654"/>
      <c r="FU5" s="2654"/>
      <c r="FV5" s="2654"/>
      <c r="FW5" s="2654"/>
      <c r="FX5" s="2654"/>
      <c r="FY5" s="2654"/>
      <c r="FZ5" s="2654"/>
      <c r="GA5" s="2654"/>
      <c r="GB5" s="2654"/>
      <c r="GC5" s="2654"/>
      <c r="GD5" s="2654"/>
      <c r="GE5" s="2654"/>
      <c r="GF5" s="2654"/>
      <c r="GG5" s="2654"/>
      <c r="GH5" s="2654"/>
      <c r="GI5" s="2654"/>
      <c r="GJ5" s="2654"/>
      <c r="GK5" s="2654"/>
      <c r="GL5" s="2654"/>
      <c r="GM5" s="2654"/>
      <c r="GN5" s="2654"/>
      <c r="GO5" s="2654"/>
      <c r="GP5" s="2654"/>
      <c r="GQ5" s="2654"/>
      <c r="GR5" s="2654"/>
      <c r="GS5" s="2654"/>
      <c r="GT5" s="2654"/>
      <c r="GU5" s="2654"/>
      <c r="GV5" s="2654"/>
      <c r="GW5" s="2654"/>
      <c r="GX5" s="2654"/>
      <c r="GY5" s="2654"/>
      <c r="GZ5" s="2654"/>
      <c r="HA5" s="2654"/>
      <c r="HB5" s="2654"/>
      <c r="HC5" s="2654"/>
      <c r="HD5" s="2654"/>
      <c r="HE5" s="2654"/>
      <c r="HF5" s="2654"/>
      <c r="HG5" s="2654"/>
      <c r="HH5" s="2654"/>
      <c r="HI5" s="2654"/>
      <c r="HJ5" s="2654"/>
      <c r="HK5" s="2654"/>
      <c r="HL5" s="2654"/>
      <c r="HM5" s="2654"/>
      <c r="HN5" s="2654"/>
      <c r="HO5" s="2654"/>
      <c r="HP5" s="2654"/>
      <c r="HQ5" s="2654"/>
      <c r="HR5" s="2654"/>
      <c r="HS5" s="2654"/>
      <c r="HT5" s="2654"/>
      <c r="HU5" s="2654"/>
      <c r="HV5" s="2654"/>
      <c r="HW5" s="2654"/>
      <c r="HX5" s="2654"/>
      <c r="HY5" s="2654"/>
      <c r="HZ5" s="2654"/>
      <c r="IA5" s="2654"/>
      <c r="IB5" s="2654"/>
      <c r="IC5" s="2654"/>
      <c r="ID5" s="2654"/>
      <c r="IE5" s="2654"/>
      <c r="IF5" s="2654"/>
      <c r="IG5" s="2654"/>
      <c r="IH5" s="2654"/>
      <c r="II5" s="2654"/>
      <c r="IJ5" s="2654"/>
      <c r="IK5" s="2654"/>
      <c r="IL5" s="2654"/>
      <c r="IM5" s="2654"/>
      <c r="IN5" s="2654"/>
      <c r="IO5" s="2654"/>
      <c r="IP5" s="2654"/>
      <c r="IQ5" s="2654"/>
      <c r="IR5" s="2654"/>
      <c r="IS5" s="2654"/>
      <c r="IT5" s="2654"/>
      <c r="IU5" s="2654"/>
      <c r="IV5" s="2654"/>
    </row>
    <row r="6" spans="1:256" s="2707" customFormat="1" ht="13.5">
      <c r="A6" s="2654"/>
      <c r="G6" s="2661" t="s">
        <v>2727</v>
      </c>
      <c r="H6" s="2662">
        <v>3</v>
      </c>
      <c r="I6" s="2663">
        <f ca="1">INDIRECT("g"&amp;$H$1)</f>
        <v>4.75</v>
      </c>
      <c r="J6" s="2663">
        <f ca="1">INDIRECT("g"&amp;$H$1)</f>
        <v>4.75</v>
      </c>
      <c r="K6" s="2654"/>
      <c r="L6" s="2654"/>
      <c r="M6" s="2664">
        <v>3</v>
      </c>
      <c r="N6" s="2665">
        <f ca="1">INDIRECT("s"&amp;$N$1)</f>
        <v>2.75</v>
      </c>
      <c r="O6" s="2654"/>
      <c r="P6" s="2654"/>
      <c r="Q6" s="2654"/>
      <c r="R6" s="2654"/>
      <c r="S6" s="2654"/>
      <c r="T6" s="2654"/>
      <c r="U6" s="2654"/>
      <c r="V6" s="2654"/>
      <c r="W6" s="2654"/>
      <c r="X6" s="2654"/>
      <c r="Y6" s="2654"/>
      <c r="Z6" s="2654"/>
      <c r="AA6" s="2654"/>
      <c r="AB6" s="2654"/>
      <c r="AC6" s="2654"/>
      <c r="AD6" s="2654"/>
      <c r="AE6" s="2654"/>
      <c r="AF6" s="2654"/>
      <c r="AG6" s="2654"/>
      <c r="AH6" s="2654"/>
      <c r="AI6" s="2654"/>
      <c r="AJ6" s="2654"/>
      <c r="AK6" s="2654"/>
      <c r="AL6" s="2654"/>
      <c r="AM6" s="2654"/>
      <c r="AN6" s="2654"/>
      <c r="AO6" s="2654"/>
      <c r="AP6" s="2654"/>
      <c r="AQ6" s="2654"/>
      <c r="AR6" s="2654"/>
      <c r="AS6" s="2654"/>
      <c r="AT6" s="2654"/>
      <c r="AU6" s="2654"/>
      <c r="AV6" s="2654"/>
      <c r="AW6" s="2654"/>
      <c r="AX6" s="2654"/>
      <c r="AY6" s="2654"/>
      <c r="AZ6" s="2654"/>
      <c r="BA6" s="2654"/>
      <c r="BB6" s="2654"/>
      <c r="BC6" s="2654"/>
      <c r="BD6" s="2654"/>
      <c r="BE6" s="2654"/>
      <c r="BF6" s="2654"/>
      <c r="BG6" s="2654"/>
      <c r="BH6" s="2654"/>
      <c r="BI6" s="2654"/>
      <c r="BJ6" s="2654"/>
      <c r="BK6" s="2654"/>
      <c r="BL6" s="2654"/>
      <c r="BM6" s="2654"/>
      <c r="BN6" s="2654"/>
      <c r="BO6" s="2654"/>
      <c r="BP6" s="2654"/>
      <c r="BQ6" s="2654"/>
      <c r="BR6" s="2654"/>
      <c r="BS6" s="2654"/>
      <c r="BT6" s="2654"/>
      <c r="BU6" s="2654"/>
      <c r="BV6" s="2654"/>
      <c r="BW6" s="2654"/>
      <c r="BX6" s="2654"/>
      <c r="BY6" s="2654"/>
      <c r="BZ6" s="2654"/>
      <c r="CA6" s="2654"/>
      <c r="CB6" s="2654"/>
      <c r="CC6" s="2654"/>
      <c r="CD6" s="2654"/>
      <c r="CE6" s="2654"/>
      <c r="CF6" s="2654"/>
      <c r="CG6" s="2654"/>
      <c r="CH6" s="2654"/>
      <c r="CI6" s="2654"/>
      <c r="CJ6" s="2654"/>
      <c r="CK6" s="2654"/>
      <c r="CL6" s="2654"/>
      <c r="CM6" s="2654"/>
      <c r="CN6" s="2654"/>
      <c r="CO6" s="2654"/>
      <c r="CP6" s="2654"/>
      <c r="CQ6" s="2654"/>
      <c r="CR6" s="2654"/>
      <c r="CS6" s="2654"/>
      <c r="CT6" s="2654"/>
      <c r="CU6" s="2654"/>
      <c r="CV6" s="2654"/>
      <c r="CW6" s="2654"/>
      <c r="CX6" s="2654"/>
      <c r="CY6" s="2654"/>
      <c r="CZ6" s="2654"/>
      <c r="DA6" s="2654"/>
      <c r="DB6" s="2654"/>
      <c r="DC6" s="2654"/>
      <c r="DD6" s="2654"/>
      <c r="DE6" s="2654"/>
      <c r="DF6" s="2654"/>
      <c r="DG6" s="2654"/>
      <c r="DH6" s="2654"/>
      <c r="DI6" s="2654"/>
      <c r="DJ6" s="2654"/>
      <c r="DK6" s="2654"/>
      <c r="DL6" s="2654"/>
      <c r="DM6" s="2654"/>
      <c r="DN6" s="2654"/>
      <c r="DO6" s="2654"/>
      <c r="DP6" s="2654"/>
      <c r="DQ6" s="2654"/>
      <c r="DR6" s="2654"/>
      <c r="DS6" s="2654"/>
      <c r="DT6" s="2654"/>
      <c r="DU6" s="2654"/>
      <c r="DV6" s="2654"/>
      <c r="DW6" s="2654"/>
      <c r="DX6" s="2654"/>
      <c r="DY6" s="2654"/>
      <c r="DZ6" s="2654"/>
      <c r="EA6" s="2654"/>
      <c r="EB6" s="2654"/>
      <c r="EC6" s="2654"/>
      <c r="ED6" s="2654"/>
      <c r="EE6" s="2654"/>
      <c r="EF6" s="2654"/>
      <c r="EG6" s="2654"/>
      <c r="EH6" s="2654"/>
      <c r="EI6" s="2654"/>
      <c r="EJ6" s="2654"/>
      <c r="EK6" s="2654"/>
      <c r="EL6" s="2654"/>
      <c r="EM6" s="2654"/>
      <c r="EN6" s="2654"/>
      <c r="EO6" s="2654"/>
      <c r="EP6" s="2654"/>
      <c r="EQ6" s="2654"/>
      <c r="ER6" s="2654"/>
      <c r="ES6" s="2654"/>
      <c r="ET6" s="2654"/>
      <c r="EU6" s="2654"/>
      <c r="EV6" s="2654"/>
      <c r="EW6" s="2654"/>
      <c r="EX6" s="2654"/>
      <c r="EY6" s="2654"/>
      <c r="EZ6" s="2654"/>
      <c r="FA6" s="2654"/>
      <c r="FB6" s="2654"/>
      <c r="FC6" s="2654"/>
      <c r="FD6" s="2654"/>
      <c r="FE6" s="2654"/>
      <c r="FF6" s="2654"/>
      <c r="FG6" s="2654"/>
      <c r="FH6" s="2654"/>
      <c r="FI6" s="2654"/>
      <c r="FJ6" s="2654"/>
      <c r="FK6" s="2654"/>
      <c r="FL6" s="2654"/>
      <c r="FM6" s="2654"/>
      <c r="FN6" s="2654"/>
      <c r="FO6" s="2654"/>
      <c r="FP6" s="2654"/>
      <c r="FQ6" s="2654"/>
      <c r="FR6" s="2654"/>
      <c r="FS6" s="2654"/>
      <c r="FT6" s="2654"/>
      <c r="FU6" s="2654"/>
      <c r="FV6" s="2654"/>
      <c r="FW6" s="2654"/>
      <c r="FX6" s="2654"/>
      <c r="FY6" s="2654"/>
      <c r="FZ6" s="2654"/>
      <c r="GA6" s="2654"/>
      <c r="GB6" s="2654"/>
      <c r="GC6" s="2654"/>
      <c r="GD6" s="2654"/>
      <c r="GE6" s="2654"/>
      <c r="GF6" s="2654"/>
      <c r="GG6" s="2654"/>
      <c r="GH6" s="2654"/>
      <c r="GI6" s="2654"/>
      <c r="GJ6" s="2654"/>
      <c r="GK6" s="2654"/>
      <c r="GL6" s="2654"/>
      <c r="GM6" s="2654"/>
      <c r="GN6" s="2654"/>
      <c r="GO6" s="2654"/>
      <c r="GP6" s="2654"/>
      <c r="GQ6" s="2654"/>
      <c r="GR6" s="2654"/>
      <c r="GS6" s="2654"/>
      <c r="GT6" s="2654"/>
      <c r="GU6" s="2654"/>
      <c r="GV6" s="2654"/>
      <c r="GW6" s="2654"/>
      <c r="GX6" s="2654"/>
      <c r="GY6" s="2654"/>
      <c r="GZ6" s="2654"/>
      <c r="HA6" s="2654"/>
      <c r="HB6" s="2654"/>
      <c r="HC6" s="2654"/>
      <c r="HD6" s="2654"/>
      <c r="HE6" s="2654"/>
      <c r="HF6" s="2654"/>
      <c r="HG6" s="2654"/>
      <c r="HH6" s="2654"/>
      <c r="HI6" s="2654"/>
      <c r="HJ6" s="2654"/>
      <c r="HK6" s="2654"/>
      <c r="HL6" s="2654"/>
      <c r="HM6" s="2654"/>
      <c r="HN6" s="2654"/>
      <c r="HO6" s="2654"/>
      <c r="HP6" s="2654"/>
      <c r="HQ6" s="2654"/>
      <c r="HR6" s="2654"/>
      <c r="HS6" s="2654"/>
      <c r="HT6" s="2654"/>
      <c r="HU6" s="2654"/>
      <c r="HV6" s="2654"/>
      <c r="HW6" s="2654"/>
      <c r="HX6" s="2654"/>
      <c r="HY6" s="2654"/>
      <c r="HZ6" s="2654"/>
      <c r="IA6" s="2654"/>
      <c r="IB6" s="2654"/>
      <c r="IC6" s="2654"/>
      <c r="ID6" s="2654"/>
      <c r="IE6" s="2654"/>
      <c r="IF6" s="2654"/>
      <c r="IG6" s="2654"/>
      <c r="IH6" s="2654"/>
      <c r="II6" s="2654"/>
      <c r="IJ6" s="2654"/>
      <c r="IK6" s="2654"/>
      <c r="IL6" s="2654"/>
      <c r="IM6" s="2654"/>
      <c r="IN6" s="2654"/>
      <c r="IO6" s="2654"/>
      <c r="IP6" s="2654"/>
      <c r="IQ6" s="2654"/>
      <c r="IR6" s="2654"/>
      <c r="IS6" s="2654"/>
      <c r="IT6" s="2654"/>
      <c r="IU6" s="2654"/>
      <c r="IV6" s="2654"/>
    </row>
    <row r="7" spans="1:256" s="2707" customFormat="1" ht="14.25" thickBot="1">
      <c r="A7" s="2654"/>
      <c r="G7" s="2666" t="s">
        <v>2728</v>
      </c>
      <c r="H7" s="2667">
        <v>5</v>
      </c>
      <c r="I7" s="2668">
        <f ca="1">INDIRECT("h"&amp;$H$1)</f>
        <v>4.9000000000000004</v>
      </c>
      <c r="J7" s="2668">
        <f ca="1">INDIRECT("h"&amp;$H$1)</f>
        <v>4.9000000000000004</v>
      </c>
      <c r="K7" s="2654"/>
      <c r="L7" s="2654"/>
      <c r="M7" s="2669">
        <v>5</v>
      </c>
      <c r="N7" s="2670">
        <f ca="1">INDIRECT("t"&amp;$N$1)</f>
        <v>0</v>
      </c>
      <c r="O7" s="2654"/>
      <c r="P7" s="2654"/>
      <c r="Q7" s="2654"/>
      <c r="R7" s="2654"/>
      <c r="S7" s="2654"/>
      <c r="T7" s="2654"/>
      <c r="U7" s="2654"/>
      <c r="V7" s="2654"/>
      <c r="W7" s="2654"/>
      <c r="X7" s="2654"/>
      <c r="Y7" s="2654"/>
      <c r="Z7" s="2654"/>
      <c r="AA7" s="2654"/>
      <c r="AB7" s="2654"/>
      <c r="AC7" s="2654"/>
      <c r="AD7" s="2654"/>
      <c r="AE7" s="2654"/>
      <c r="AF7" s="2654"/>
      <c r="AG7" s="2654"/>
      <c r="AH7" s="2654"/>
      <c r="AI7" s="2654"/>
      <c r="AJ7" s="2654"/>
      <c r="AK7" s="2654"/>
      <c r="AL7" s="2654"/>
      <c r="AM7" s="2654"/>
      <c r="AN7" s="2654"/>
      <c r="AO7" s="2654"/>
      <c r="AP7" s="2654"/>
      <c r="AQ7" s="2654"/>
      <c r="AR7" s="2654"/>
      <c r="AS7" s="2654"/>
      <c r="AT7" s="2654"/>
      <c r="AU7" s="2654"/>
      <c r="AV7" s="2654"/>
      <c r="AW7" s="2654"/>
      <c r="AX7" s="2654"/>
      <c r="AY7" s="2654"/>
      <c r="AZ7" s="2654"/>
      <c r="BA7" s="2654"/>
      <c r="BB7" s="2654"/>
      <c r="BC7" s="2654"/>
      <c r="BD7" s="2654"/>
      <c r="BE7" s="2654"/>
      <c r="BF7" s="2654"/>
      <c r="BG7" s="2654"/>
      <c r="BH7" s="2654"/>
      <c r="BI7" s="2654"/>
      <c r="BJ7" s="2654"/>
      <c r="BK7" s="2654"/>
      <c r="BL7" s="2654"/>
      <c r="BM7" s="2654"/>
      <c r="BN7" s="2654"/>
      <c r="BO7" s="2654"/>
      <c r="BP7" s="2654"/>
      <c r="BQ7" s="2654"/>
      <c r="BR7" s="2654"/>
      <c r="BS7" s="2654"/>
      <c r="BT7" s="2654"/>
      <c r="BU7" s="2654"/>
      <c r="BV7" s="2654"/>
      <c r="BW7" s="2654"/>
      <c r="BX7" s="2654"/>
      <c r="BY7" s="2654"/>
      <c r="BZ7" s="2654"/>
      <c r="CA7" s="2654"/>
      <c r="CB7" s="2654"/>
      <c r="CC7" s="2654"/>
      <c r="CD7" s="2654"/>
      <c r="CE7" s="2654"/>
      <c r="CF7" s="2654"/>
      <c r="CG7" s="2654"/>
      <c r="CH7" s="2654"/>
      <c r="CI7" s="2654"/>
      <c r="CJ7" s="2654"/>
      <c r="CK7" s="2654"/>
      <c r="CL7" s="2654"/>
      <c r="CM7" s="2654"/>
      <c r="CN7" s="2654"/>
      <c r="CO7" s="2654"/>
      <c r="CP7" s="2654"/>
      <c r="CQ7" s="2654"/>
      <c r="CR7" s="2654"/>
      <c r="CS7" s="2654"/>
      <c r="CT7" s="2654"/>
      <c r="CU7" s="2654"/>
      <c r="CV7" s="2654"/>
      <c r="CW7" s="2654"/>
      <c r="CX7" s="2654"/>
      <c r="CY7" s="2654"/>
      <c r="CZ7" s="2654"/>
      <c r="DA7" s="2654"/>
      <c r="DB7" s="2654"/>
      <c r="DC7" s="2654"/>
      <c r="DD7" s="2654"/>
      <c r="DE7" s="2654"/>
      <c r="DF7" s="2654"/>
      <c r="DG7" s="2654"/>
      <c r="DH7" s="2654"/>
      <c r="DI7" s="2654"/>
      <c r="DJ7" s="2654"/>
      <c r="DK7" s="2654"/>
      <c r="DL7" s="2654"/>
      <c r="DM7" s="2654"/>
      <c r="DN7" s="2654"/>
      <c r="DO7" s="2654"/>
      <c r="DP7" s="2654"/>
      <c r="DQ7" s="2654"/>
      <c r="DR7" s="2654"/>
      <c r="DS7" s="2654"/>
      <c r="DT7" s="2654"/>
      <c r="DU7" s="2654"/>
      <c r="DV7" s="2654"/>
      <c r="DW7" s="2654"/>
      <c r="DX7" s="2654"/>
      <c r="DY7" s="2654"/>
      <c r="DZ7" s="2654"/>
      <c r="EA7" s="2654"/>
      <c r="EB7" s="2654"/>
      <c r="EC7" s="2654"/>
      <c r="ED7" s="2654"/>
      <c r="EE7" s="2654"/>
      <c r="EF7" s="2654"/>
      <c r="EG7" s="2654"/>
      <c r="EH7" s="2654"/>
      <c r="EI7" s="2654"/>
      <c r="EJ7" s="2654"/>
      <c r="EK7" s="2654"/>
      <c r="EL7" s="2654"/>
      <c r="EM7" s="2654"/>
      <c r="EN7" s="2654"/>
      <c r="EO7" s="2654"/>
      <c r="EP7" s="2654"/>
      <c r="EQ7" s="2654"/>
      <c r="ER7" s="2654"/>
      <c r="ES7" s="2654"/>
      <c r="ET7" s="2654"/>
      <c r="EU7" s="2654"/>
      <c r="EV7" s="2654"/>
      <c r="EW7" s="2654"/>
      <c r="EX7" s="2654"/>
      <c r="EY7" s="2654"/>
      <c r="EZ7" s="2654"/>
      <c r="FA7" s="2654"/>
      <c r="FB7" s="2654"/>
      <c r="FC7" s="2654"/>
      <c r="FD7" s="2654"/>
      <c r="FE7" s="2654"/>
      <c r="FF7" s="2654"/>
      <c r="FG7" s="2654"/>
      <c r="FH7" s="2654"/>
      <c r="FI7" s="2654"/>
      <c r="FJ7" s="2654"/>
      <c r="FK7" s="2654"/>
      <c r="FL7" s="2654"/>
      <c r="FM7" s="2654"/>
      <c r="FN7" s="2654"/>
      <c r="FO7" s="2654"/>
      <c r="FP7" s="2654"/>
      <c r="FQ7" s="2654"/>
      <c r="FR7" s="2654"/>
      <c r="FS7" s="2654"/>
      <c r="FT7" s="2654"/>
      <c r="FU7" s="2654"/>
      <c r="FV7" s="2654"/>
      <c r="FW7" s="2654"/>
      <c r="FX7" s="2654"/>
      <c r="FY7" s="2654"/>
      <c r="FZ7" s="2654"/>
      <c r="GA7" s="2654"/>
      <c r="GB7" s="2654"/>
      <c r="GC7" s="2654"/>
      <c r="GD7" s="2654"/>
      <c r="GE7" s="2654"/>
      <c r="GF7" s="2654"/>
      <c r="GG7" s="2654"/>
      <c r="GH7" s="2654"/>
      <c r="GI7" s="2654"/>
      <c r="GJ7" s="2654"/>
      <c r="GK7" s="2654"/>
      <c r="GL7" s="2654"/>
      <c r="GM7" s="2654"/>
      <c r="GN7" s="2654"/>
      <c r="GO7" s="2654"/>
      <c r="GP7" s="2654"/>
      <c r="GQ7" s="2654"/>
      <c r="GR7" s="2654"/>
      <c r="GS7" s="2654"/>
      <c r="GT7" s="2654"/>
      <c r="GU7" s="2654"/>
      <c r="GV7" s="2654"/>
      <c r="GW7" s="2654"/>
      <c r="GX7" s="2654"/>
      <c r="GY7" s="2654"/>
      <c r="GZ7" s="2654"/>
      <c r="HA7" s="2654"/>
      <c r="HB7" s="2654"/>
      <c r="HC7" s="2654"/>
      <c r="HD7" s="2654"/>
      <c r="HE7" s="2654"/>
      <c r="HF7" s="2654"/>
      <c r="HG7" s="2654"/>
      <c r="HH7" s="2654"/>
      <c r="HI7" s="2654"/>
      <c r="HJ7" s="2654"/>
      <c r="HK7" s="2654"/>
      <c r="HL7" s="2654"/>
      <c r="HM7" s="2654"/>
      <c r="HN7" s="2654"/>
      <c r="HO7" s="2654"/>
      <c r="HP7" s="2654"/>
      <c r="HQ7" s="2654"/>
      <c r="HR7" s="2654"/>
      <c r="HS7" s="2654"/>
      <c r="HT7" s="2654"/>
      <c r="HU7" s="2654"/>
      <c r="HV7" s="2654"/>
      <c r="HW7" s="2654"/>
      <c r="HX7" s="2654"/>
      <c r="HY7" s="2654"/>
      <c r="HZ7" s="2654"/>
      <c r="IA7" s="2654"/>
      <c r="IB7" s="2654"/>
      <c r="IC7" s="2654"/>
      <c r="ID7" s="2654"/>
      <c r="IE7" s="2654"/>
      <c r="IF7" s="2654"/>
      <c r="IG7" s="2654"/>
      <c r="IH7" s="2654"/>
      <c r="II7" s="2654"/>
      <c r="IJ7" s="2654"/>
      <c r="IK7" s="2654"/>
      <c r="IL7" s="2654"/>
      <c r="IM7" s="2654"/>
      <c r="IN7" s="2654"/>
      <c r="IO7" s="2654"/>
      <c r="IP7" s="2654"/>
      <c r="IQ7" s="2654"/>
      <c r="IR7" s="2654"/>
      <c r="IS7" s="2654"/>
      <c r="IT7" s="2654"/>
      <c r="IU7" s="2654"/>
      <c r="IV7" s="2654"/>
    </row>
    <row r="8" spans="1:256">
      <c r="A8" s="2671"/>
      <c r="B8" s="2672"/>
      <c r="C8" s="2673"/>
      <c r="D8" s="2654"/>
      <c r="E8" s="2654"/>
      <c r="F8" s="2654"/>
      <c r="G8" s="2654"/>
      <c r="H8" s="2654"/>
      <c r="I8" s="2654"/>
      <c r="J8" s="2654"/>
      <c r="L8" s="2654"/>
      <c r="M8" s="2654"/>
      <c r="N8" s="2654"/>
      <c r="O8" s="2654"/>
      <c r="P8" s="2654"/>
      <c r="Q8" s="2654"/>
      <c r="R8" s="2654"/>
      <c r="S8" s="2654"/>
      <c r="T8" s="2654"/>
      <c r="U8" s="2654"/>
      <c r="V8" s="2654"/>
      <c r="W8" s="2654"/>
      <c r="X8" s="2654"/>
      <c r="Y8" s="2654"/>
      <c r="Z8" s="2654"/>
    </row>
    <row r="9" spans="1:256" ht="20.25">
      <c r="A9" s="2674"/>
      <c r="B9" s="2675" t="s">
        <v>2729</v>
      </c>
      <c r="C9" s="2676"/>
      <c r="D9" s="2677"/>
      <c r="E9" s="2677"/>
      <c r="F9" s="2677"/>
      <c r="G9" s="2677"/>
      <c r="H9" s="2677"/>
      <c r="I9" s="2677"/>
      <c r="J9" s="2677"/>
      <c r="K9" s="2677"/>
      <c r="L9" s="2677"/>
      <c r="M9" s="2677"/>
      <c r="N9" s="2677"/>
      <c r="O9" s="2677"/>
      <c r="P9" s="2677"/>
      <c r="Q9" s="2677"/>
      <c r="R9" s="2677"/>
      <c r="S9" s="2677"/>
      <c r="T9" s="2677"/>
      <c r="U9" s="2677"/>
      <c r="V9" s="2677"/>
      <c r="W9" s="2677"/>
      <c r="X9" s="2677"/>
      <c r="Y9" s="2677"/>
      <c r="Z9" s="2677"/>
      <c r="AA9" s="2678"/>
      <c r="AB9" s="2678"/>
      <c r="AC9" s="2678"/>
      <c r="AD9" s="2678"/>
      <c r="AE9" s="2678"/>
      <c r="AF9" s="2678"/>
      <c r="AG9" s="2678"/>
      <c r="AH9" s="2678"/>
      <c r="AI9" s="2678"/>
      <c r="AJ9" s="2678"/>
      <c r="AK9" s="2678"/>
      <c r="AL9" s="2678"/>
      <c r="AM9" s="2678"/>
      <c r="AN9" s="2678"/>
      <c r="AO9" s="2678"/>
      <c r="AP9" s="2678"/>
      <c r="AQ9" s="2678"/>
      <c r="AR9" s="2678"/>
      <c r="AS9" s="2678"/>
      <c r="AT9" s="2678"/>
      <c r="AU9" s="2678"/>
      <c r="AV9" s="2678"/>
      <c r="AW9" s="2678"/>
      <c r="AX9" s="2678"/>
      <c r="AY9" s="2678"/>
      <c r="AZ9" s="2678"/>
      <c r="BA9" s="2678"/>
      <c r="BB9" s="2678"/>
      <c r="BC9" s="2678"/>
      <c r="BD9" s="2678"/>
      <c r="BE9" s="2678"/>
      <c r="BF9" s="2678"/>
      <c r="BG9" s="2678"/>
      <c r="BH9" s="2678"/>
      <c r="BI9" s="2678"/>
      <c r="BJ9" s="2678"/>
      <c r="BK9" s="2678"/>
      <c r="BL9" s="2678"/>
      <c r="BM9" s="2678"/>
      <c r="BN9" s="2678"/>
      <c r="BO9" s="2678"/>
      <c r="BP9" s="2678"/>
      <c r="BQ9" s="2678"/>
      <c r="BR9" s="2678"/>
      <c r="BS9" s="2678"/>
      <c r="BT9" s="2678"/>
      <c r="BU9" s="2678"/>
      <c r="BV9" s="2678"/>
      <c r="BW9" s="2678"/>
      <c r="BX9" s="2678"/>
      <c r="BY9" s="2678"/>
      <c r="BZ9" s="2678"/>
      <c r="CA9" s="2678"/>
      <c r="CB9" s="2678"/>
      <c r="CC9" s="2678"/>
      <c r="CD9" s="2678"/>
      <c r="CE9" s="2678"/>
      <c r="CF9" s="2678"/>
      <c r="CG9" s="2678"/>
      <c r="CH9" s="2678"/>
      <c r="CI9" s="2678"/>
      <c r="CJ9" s="2678"/>
      <c r="CK9" s="2678"/>
      <c r="CL9" s="2678"/>
      <c r="CM9" s="2678"/>
      <c r="CN9" s="2678"/>
      <c r="CO9" s="2678"/>
      <c r="CP9" s="2678"/>
      <c r="CQ9" s="2678"/>
      <c r="CR9" s="2678"/>
      <c r="CS9" s="2678"/>
      <c r="CT9" s="2678"/>
      <c r="CU9" s="2678"/>
      <c r="CV9" s="2678"/>
      <c r="CW9" s="2678"/>
      <c r="CX9" s="2678"/>
      <c r="CY9" s="2678"/>
      <c r="CZ9" s="2678"/>
      <c r="DA9" s="2678"/>
      <c r="DB9" s="2678"/>
      <c r="DC9" s="2678"/>
      <c r="DD9" s="2678"/>
      <c r="DE9" s="2678"/>
      <c r="DF9" s="2678"/>
      <c r="DG9" s="2678"/>
      <c r="DH9" s="2678"/>
      <c r="DI9" s="2678"/>
      <c r="DJ9" s="2678"/>
      <c r="DK9" s="2678"/>
      <c r="DL9" s="2678"/>
      <c r="DM9" s="2678"/>
      <c r="DN9" s="2678"/>
      <c r="DO9" s="2678"/>
      <c r="DP9" s="2678"/>
      <c r="DQ9" s="2678"/>
      <c r="DR9" s="2678"/>
      <c r="DS9" s="2678"/>
      <c r="DT9" s="2678"/>
      <c r="DU9" s="2678"/>
      <c r="DV9" s="2678"/>
      <c r="DW9" s="2678"/>
      <c r="DX9" s="2678"/>
      <c r="DY9" s="2678"/>
      <c r="DZ9" s="2678"/>
      <c r="EA9" s="2678"/>
      <c r="EB9" s="2678"/>
      <c r="EC9" s="2678"/>
      <c r="ED9" s="2678"/>
      <c r="EE9" s="2678"/>
      <c r="EF9" s="2678"/>
      <c r="EG9" s="2678"/>
      <c r="EH9" s="2678"/>
      <c r="EI9" s="2678"/>
      <c r="EJ9" s="2678"/>
      <c r="EK9" s="2678"/>
      <c r="EL9" s="2678"/>
      <c r="EM9" s="2678"/>
      <c r="EN9" s="2678"/>
      <c r="EO9" s="2678"/>
      <c r="EP9" s="2678"/>
      <c r="EQ9" s="2678"/>
      <c r="ER9" s="2678"/>
      <c r="ES9" s="2678"/>
      <c r="ET9" s="2678"/>
      <c r="EU9" s="2678"/>
      <c r="EV9" s="2678"/>
      <c r="EW9" s="2678"/>
      <c r="EX9" s="2678"/>
      <c r="EY9" s="2678"/>
      <c r="EZ9" s="2678"/>
      <c r="FA9" s="2678"/>
      <c r="FB9" s="2678"/>
      <c r="FC9" s="2678"/>
      <c r="FD9" s="2678"/>
      <c r="FE9" s="2678"/>
      <c r="FF9" s="2678"/>
      <c r="FG9" s="2678"/>
      <c r="FH9" s="2678"/>
      <c r="FI9" s="2678"/>
      <c r="FJ9" s="2678"/>
      <c r="FK9" s="2678"/>
      <c r="FL9" s="2678"/>
      <c r="FM9" s="2678"/>
      <c r="FN9" s="2678"/>
      <c r="FO9" s="2678"/>
      <c r="FP9" s="2678"/>
      <c r="FQ9" s="2678"/>
      <c r="FR9" s="2678"/>
      <c r="FS9" s="2678"/>
      <c r="FT9" s="2678"/>
      <c r="FU9" s="2678"/>
      <c r="FV9" s="2678"/>
      <c r="FW9" s="2678"/>
      <c r="FX9" s="2678"/>
      <c r="FY9" s="2678"/>
      <c r="FZ9" s="2678"/>
      <c r="GA9" s="2678"/>
      <c r="GB9" s="2678"/>
      <c r="GC9" s="2678"/>
      <c r="GD9" s="2678"/>
      <c r="GE9" s="2678"/>
      <c r="GF9" s="2678"/>
      <c r="GG9" s="2678"/>
      <c r="GH9" s="2678"/>
      <c r="GI9" s="2678"/>
      <c r="GJ9" s="2678"/>
      <c r="GK9" s="2678"/>
      <c r="GL9" s="2678"/>
      <c r="GM9" s="2678"/>
      <c r="GN9" s="2678"/>
      <c r="GO9" s="2678"/>
      <c r="GP9" s="2678"/>
      <c r="GQ9" s="2678"/>
      <c r="GR9" s="2678"/>
      <c r="GS9" s="2678"/>
      <c r="GT9" s="2678"/>
      <c r="GU9" s="2678"/>
      <c r="GV9" s="2678"/>
      <c r="GW9" s="2678"/>
      <c r="GX9" s="2678"/>
      <c r="GY9" s="2678"/>
      <c r="GZ9" s="2678"/>
      <c r="HA9" s="2678"/>
      <c r="HB9" s="2678"/>
      <c r="HC9" s="2678"/>
      <c r="HD9" s="2678"/>
      <c r="HE9" s="2678"/>
      <c r="HF9" s="2678"/>
      <c r="HG9" s="2678"/>
      <c r="HH9" s="2678"/>
      <c r="HI9" s="2678"/>
      <c r="HJ9" s="2678"/>
      <c r="HK9" s="2678"/>
      <c r="HL9" s="2678"/>
      <c r="HM9" s="2678"/>
      <c r="HN9" s="2678"/>
      <c r="HO9" s="2678"/>
      <c r="HP9" s="2678"/>
      <c r="HQ9" s="2678"/>
      <c r="HR9" s="2678"/>
      <c r="HS9" s="2678"/>
      <c r="HT9" s="2678"/>
      <c r="HU9" s="2678"/>
      <c r="HV9" s="2678"/>
      <c r="HW9" s="2678"/>
      <c r="HX9" s="2678"/>
      <c r="HY9" s="2678"/>
      <c r="HZ9" s="2678"/>
      <c r="IA9" s="2678"/>
      <c r="IB9" s="2678"/>
      <c r="IC9" s="2678"/>
      <c r="ID9" s="2678"/>
      <c r="IE9" s="2678"/>
      <c r="IF9" s="2678"/>
      <c r="IG9" s="2678"/>
      <c r="IH9" s="2678"/>
      <c r="II9" s="2678"/>
      <c r="IJ9" s="2678"/>
      <c r="IK9" s="2678"/>
      <c r="IL9" s="2678"/>
      <c r="IM9" s="2678"/>
      <c r="IN9" s="2678"/>
      <c r="IO9" s="2678"/>
      <c r="IP9" s="2678"/>
      <c r="IQ9" s="2678"/>
      <c r="IR9" s="2678"/>
      <c r="IS9" s="2678"/>
      <c r="IT9" s="2678"/>
      <c r="IU9" s="2678"/>
      <c r="IV9" s="2678"/>
    </row>
    <row r="10" spans="1:256" ht="22.5">
      <c r="A10" s="2679"/>
      <c r="B10" s="2680" t="s">
        <v>2730</v>
      </c>
      <c r="C10" s="2679"/>
      <c r="D10" s="2679"/>
      <c r="E10" s="2679"/>
      <c r="F10" s="2679"/>
      <c r="G10" s="2679"/>
      <c r="H10" s="2679"/>
      <c r="I10" s="2654"/>
      <c r="J10" s="2654"/>
      <c r="K10" s="2679"/>
      <c r="L10" s="2680" t="s">
        <v>2731</v>
      </c>
      <c r="M10" s="2679"/>
      <c r="N10" s="2679"/>
      <c r="O10" s="2679"/>
      <c r="P10" s="2679"/>
      <c r="Q10" s="2679"/>
      <c r="R10" s="2679"/>
      <c r="S10" s="2679"/>
      <c r="T10" s="2679"/>
      <c r="U10" s="2679"/>
      <c r="V10" s="2679"/>
      <c r="W10" s="2679"/>
      <c r="X10" s="2679"/>
      <c r="Y10" s="2679"/>
      <c r="Z10" s="2679"/>
      <c r="AA10" s="2681"/>
      <c r="AB10" s="2681"/>
      <c r="AC10" s="2681"/>
      <c r="AD10" s="2681"/>
      <c r="AE10" s="2681"/>
      <c r="AF10" s="2681"/>
      <c r="AG10" s="2681"/>
      <c r="AH10" s="2681"/>
      <c r="AI10" s="2681"/>
      <c r="AJ10" s="2681"/>
      <c r="AK10" s="2681"/>
      <c r="AL10" s="2681"/>
      <c r="AM10" s="2681"/>
      <c r="AN10" s="2681"/>
      <c r="AO10" s="2681"/>
      <c r="AP10" s="2681"/>
      <c r="AQ10" s="2681"/>
      <c r="AR10" s="2681"/>
      <c r="AS10" s="2681"/>
      <c r="AT10" s="2681"/>
      <c r="AU10" s="2681"/>
      <c r="AV10" s="2681"/>
      <c r="AW10" s="2681"/>
      <c r="AX10" s="2681"/>
      <c r="AY10" s="2681"/>
      <c r="AZ10" s="2681"/>
      <c r="BA10" s="2681"/>
      <c r="BB10" s="2681"/>
      <c r="BC10" s="2681"/>
      <c r="BD10" s="2681"/>
      <c r="BE10" s="2681"/>
      <c r="BF10" s="2681"/>
      <c r="BG10" s="2681"/>
      <c r="BH10" s="2681"/>
      <c r="BI10" s="2681"/>
      <c r="BJ10" s="2681"/>
      <c r="BK10" s="2681"/>
      <c r="BL10" s="2681"/>
      <c r="BM10" s="2681"/>
      <c r="BN10" s="2681"/>
      <c r="BO10" s="2681"/>
      <c r="BP10" s="2681"/>
      <c r="BQ10" s="2681"/>
      <c r="BR10" s="2681"/>
      <c r="BS10" s="2681"/>
      <c r="BT10" s="2681"/>
      <c r="BU10" s="2681"/>
      <c r="BV10" s="2681"/>
      <c r="BW10" s="2681"/>
      <c r="BX10" s="2681"/>
      <c r="BY10" s="2681"/>
      <c r="BZ10" s="2681"/>
      <c r="CA10" s="2681"/>
      <c r="CB10" s="2681"/>
      <c r="CC10" s="2681"/>
      <c r="CD10" s="2681"/>
      <c r="CE10" s="2681"/>
      <c r="CF10" s="2681"/>
      <c r="CG10" s="2681"/>
      <c r="CH10" s="2681"/>
      <c r="CI10" s="2681"/>
      <c r="CJ10" s="2681"/>
      <c r="CK10" s="2681"/>
      <c r="CL10" s="2681"/>
      <c r="CM10" s="2681"/>
      <c r="CN10" s="2681"/>
      <c r="CO10" s="2681"/>
      <c r="CP10" s="2681"/>
      <c r="CQ10" s="2681"/>
      <c r="CR10" s="2681"/>
      <c r="CS10" s="2681"/>
      <c r="CT10" s="2681"/>
      <c r="CU10" s="2681"/>
      <c r="CV10" s="2681"/>
      <c r="CW10" s="2681"/>
      <c r="CX10" s="2681"/>
      <c r="CY10" s="2681"/>
      <c r="CZ10" s="2681"/>
      <c r="DA10" s="2681"/>
      <c r="DB10" s="2681"/>
      <c r="DC10" s="2681"/>
      <c r="DD10" s="2681"/>
      <c r="DE10" s="2681"/>
      <c r="DF10" s="2681"/>
      <c r="DG10" s="2681"/>
      <c r="DH10" s="2681"/>
      <c r="DI10" s="2681"/>
      <c r="DJ10" s="2681"/>
      <c r="DK10" s="2681"/>
      <c r="DL10" s="2681"/>
      <c r="DM10" s="2681"/>
      <c r="DN10" s="2681"/>
      <c r="DO10" s="2681"/>
      <c r="DP10" s="2681"/>
      <c r="DQ10" s="2681"/>
      <c r="DR10" s="2681"/>
      <c r="DS10" s="2681"/>
      <c r="DT10" s="2681"/>
      <c r="DU10" s="2681"/>
      <c r="DV10" s="2681"/>
      <c r="DW10" s="2681"/>
      <c r="DX10" s="2681"/>
      <c r="DY10" s="2681"/>
      <c r="DZ10" s="2681"/>
      <c r="EA10" s="2681"/>
      <c r="EB10" s="2681"/>
      <c r="EC10" s="2681"/>
      <c r="ED10" s="2681"/>
      <c r="EE10" s="2681"/>
      <c r="EF10" s="2681"/>
      <c r="EG10" s="2681"/>
      <c r="EH10" s="2681"/>
      <c r="EI10" s="2681"/>
      <c r="EJ10" s="2681"/>
      <c r="EK10" s="2681"/>
      <c r="EL10" s="2681"/>
      <c r="EM10" s="2681"/>
      <c r="EN10" s="2681"/>
      <c r="EO10" s="2681"/>
      <c r="EP10" s="2681"/>
      <c r="EQ10" s="2681"/>
      <c r="ER10" s="2681"/>
      <c r="ES10" s="2681"/>
      <c r="ET10" s="2681"/>
      <c r="EU10" s="2681"/>
      <c r="EV10" s="2681"/>
      <c r="EW10" s="2681"/>
      <c r="EX10" s="2681"/>
      <c r="EY10" s="2681"/>
      <c r="EZ10" s="2681"/>
      <c r="FA10" s="2681"/>
      <c r="FB10" s="2681"/>
      <c r="FC10" s="2681"/>
      <c r="FD10" s="2681"/>
      <c r="FE10" s="2681"/>
      <c r="FF10" s="2681"/>
      <c r="FG10" s="2681"/>
      <c r="FH10" s="2681"/>
      <c r="FI10" s="2681"/>
      <c r="FJ10" s="2681"/>
      <c r="FK10" s="2681"/>
      <c r="FL10" s="2681"/>
      <c r="FM10" s="2681"/>
      <c r="FN10" s="2681"/>
      <c r="FO10" s="2681"/>
      <c r="FP10" s="2681"/>
      <c r="FQ10" s="2681"/>
      <c r="FR10" s="2681"/>
      <c r="FS10" s="2681"/>
      <c r="FT10" s="2681"/>
      <c r="FU10" s="2681"/>
      <c r="FV10" s="2681"/>
      <c r="FW10" s="2681"/>
      <c r="FX10" s="2681"/>
      <c r="FY10" s="2681"/>
      <c r="FZ10" s="2681"/>
      <c r="GA10" s="2681"/>
      <c r="GB10" s="2681"/>
      <c r="GC10" s="2681"/>
      <c r="GD10" s="2681"/>
      <c r="GE10" s="2681"/>
      <c r="GF10" s="2681"/>
      <c r="GG10" s="2681"/>
      <c r="GH10" s="2681"/>
      <c r="GI10" s="2681"/>
      <c r="GJ10" s="2681"/>
      <c r="GK10" s="2681"/>
      <c r="GL10" s="2681"/>
      <c r="GM10" s="2681"/>
      <c r="GN10" s="2681"/>
      <c r="GO10" s="2681"/>
      <c r="GP10" s="2681"/>
      <c r="GQ10" s="2681"/>
      <c r="GR10" s="2681"/>
      <c r="GS10" s="2681"/>
      <c r="GT10" s="2681"/>
      <c r="GU10" s="2681"/>
      <c r="GV10" s="2681"/>
      <c r="GW10" s="2681"/>
      <c r="GX10" s="2681"/>
      <c r="GY10" s="2681"/>
      <c r="GZ10" s="2681"/>
      <c r="HA10" s="2681"/>
      <c r="HB10" s="2681"/>
      <c r="HC10" s="2681"/>
      <c r="HD10" s="2681"/>
      <c r="HE10" s="2681"/>
      <c r="HF10" s="2681"/>
      <c r="HG10" s="2681"/>
      <c r="HH10" s="2681"/>
      <c r="HI10" s="2681"/>
      <c r="HJ10" s="2681"/>
      <c r="HK10" s="2681"/>
      <c r="HL10" s="2681"/>
      <c r="HM10" s="2681"/>
      <c r="HN10" s="2681"/>
      <c r="HO10" s="2681"/>
      <c r="HP10" s="2681"/>
      <c r="HQ10" s="2681"/>
      <c r="HR10" s="2681"/>
      <c r="HS10" s="2681"/>
      <c r="HT10" s="2681"/>
      <c r="HU10" s="2681"/>
      <c r="HV10" s="2681"/>
      <c r="HW10" s="2681"/>
      <c r="HX10" s="2681"/>
      <c r="HY10" s="2681"/>
      <c r="HZ10" s="2681"/>
      <c r="IA10" s="2681"/>
      <c r="IB10" s="2681"/>
      <c r="IC10" s="2681"/>
      <c r="ID10" s="2681"/>
      <c r="IE10" s="2681"/>
      <c r="IF10" s="2681"/>
      <c r="IG10" s="2681"/>
      <c r="IH10" s="2681"/>
      <c r="II10" s="2681"/>
      <c r="IJ10" s="2681"/>
      <c r="IK10" s="2681"/>
      <c r="IL10" s="2681"/>
      <c r="IM10" s="2681"/>
      <c r="IN10" s="2681"/>
      <c r="IO10" s="2681"/>
      <c r="IP10" s="2681"/>
      <c r="IQ10" s="2681"/>
      <c r="IR10" s="2681"/>
      <c r="IS10" s="2681"/>
      <c r="IT10" s="2681"/>
      <c r="IU10" s="2681"/>
      <c r="IV10" s="2681"/>
    </row>
    <row r="11" spans="1:256">
      <c r="A11" s="2682"/>
      <c r="B11" s="2683" t="s">
        <v>2732</v>
      </c>
      <c r="C11" s="2684" t="s">
        <v>2733</v>
      </c>
      <c r="D11" s="2685" t="s">
        <v>2734</v>
      </c>
      <c r="E11" s="2686"/>
      <c r="F11" s="2685" t="s">
        <v>2735</v>
      </c>
      <c r="G11" s="2687"/>
      <c r="H11" s="2686"/>
      <c r="I11" s="2685" t="s">
        <v>2736</v>
      </c>
      <c r="J11" s="2686"/>
      <c r="K11" s="2682"/>
      <c r="L11" s="2683" t="s">
        <v>2732</v>
      </c>
      <c r="M11" s="2684" t="s">
        <v>2733</v>
      </c>
      <c r="N11" s="2683" t="s">
        <v>2737</v>
      </c>
      <c r="O11" s="2685" t="s">
        <v>2738</v>
      </c>
      <c r="P11" s="2687"/>
      <c r="Q11" s="2687"/>
      <c r="R11" s="2687"/>
      <c r="S11" s="2687"/>
      <c r="T11" s="2686"/>
      <c r="U11" s="2685" t="s">
        <v>2739</v>
      </c>
      <c r="V11" s="2687"/>
      <c r="W11" s="2686"/>
      <c r="X11" s="2683" t="s">
        <v>2740</v>
      </c>
      <c r="Y11" s="2683" t="s">
        <v>2741</v>
      </c>
      <c r="Z11" s="2683" t="s">
        <v>2742</v>
      </c>
      <c r="AA11" s="2688"/>
      <c r="AB11" s="2688"/>
      <c r="AC11" s="2688"/>
      <c r="AD11" s="2688"/>
      <c r="AE11" s="2688"/>
      <c r="AF11" s="2688"/>
      <c r="AG11" s="2688"/>
      <c r="AH11" s="2688"/>
      <c r="AI11" s="2688"/>
      <c r="AJ11" s="2688"/>
      <c r="AK11" s="2688"/>
      <c r="AL11" s="2688"/>
      <c r="AM11" s="2688"/>
      <c r="AN11" s="2688"/>
      <c r="AO11" s="2688"/>
      <c r="AP11" s="2688"/>
      <c r="AQ11" s="2688"/>
      <c r="AR11" s="2688"/>
      <c r="AS11" s="2688"/>
      <c r="AT11" s="2688"/>
      <c r="AU11" s="2688"/>
      <c r="AV11" s="2688"/>
      <c r="AW11" s="2688"/>
      <c r="AX11" s="2688"/>
      <c r="AY11" s="2688"/>
      <c r="AZ11" s="2688"/>
      <c r="BA11" s="2688"/>
      <c r="BB11" s="2688"/>
      <c r="BC11" s="2688"/>
      <c r="BD11" s="2688"/>
      <c r="BE11" s="2688"/>
      <c r="BF11" s="2688"/>
      <c r="BG11" s="2688"/>
      <c r="BH11" s="2688"/>
      <c r="BI11" s="2688"/>
      <c r="BJ11" s="2688"/>
      <c r="BK11" s="2688"/>
      <c r="BL11" s="2688"/>
      <c r="BM11" s="2688"/>
      <c r="BN11" s="2688"/>
      <c r="BO11" s="2688"/>
      <c r="BP11" s="2688"/>
      <c r="BQ11" s="2688"/>
      <c r="BR11" s="2688"/>
      <c r="BS11" s="2688"/>
      <c r="BT11" s="2688"/>
      <c r="BU11" s="2688"/>
      <c r="BV11" s="2688"/>
      <c r="BW11" s="2688"/>
      <c r="BX11" s="2688"/>
      <c r="BY11" s="2688"/>
      <c r="BZ11" s="2688"/>
      <c r="CA11" s="2688"/>
      <c r="CB11" s="2688"/>
      <c r="CC11" s="2688"/>
      <c r="CD11" s="2688"/>
      <c r="CE11" s="2688"/>
      <c r="CF11" s="2688"/>
      <c r="CG11" s="2688"/>
      <c r="CH11" s="2688"/>
      <c r="CI11" s="2688"/>
      <c r="CJ11" s="2688"/>
      <c r="CK11" s="2688"/>
      <c r="CL11" s="2688"/>
      <c r="CM11" s="2688"/>
      <c r="CN11" s="2688"/>
      <c r="CO11" s="2688"/>
      <c r="CP11" s="2688"/>
      <c r="CQ11" s="2688"/>
      <c r="CR11" s="2688"/>
      <c r="CS11" s="2688"/>
      <c r="CT11" s="2688"/>
      <c r="CU11" s="2688"/>
      <c r="CV11" s="2688"/>
      <c r="CW11" s="2688"/>
      <c r="CX11" s="2688"/>
      <c r="CY11" s="2688"/>
      <c r="CZ11" s="2688"/>
      <c r="DA11" s="2688"/>
      <c r="DB11" s="2688"/>
      <c r="DC11" s="2688"/>
      <c r="DD11" s="2688"/>
      <c r="DE11" s="2688"/>
      <c r="DF11" s="2688"/>
      <c r="DG11" s="2688"/>
      <c r="DH11" s="2688"/>
      <c r="DI11" s="2688"/>
      <c r="DJ11" s="2688"/>
      <c r="DK11" s="2688"/>
      <c r="DL11" s="2688"/>
      <c r="DM11" s="2688"/>
      <c r="DN11" s="2688"/>
      <c r="DO11" s="2688"/>
      <c r="DP11" s="2688"/>
      <c r="DQ11" s="2688"/>
      <c r="DR11" s="2688"/>
      <c r="DS11" s="2688"/>
      <c r="DT11" s="2688"/>
      <c r="DU11" s="2688"/>
      <c r="DV11" s="2688"/>
      <c r="DW11" s="2688"/>
      <c r="DX11" s="2688"/>
      <c r="DY11" s="2688"/>
      <c r="DZ11" s="2688"/>
      <c r="EA11" s="2688"/>
      <c r="EB11" s="2688"/>
      <c r="EC11" s="2688"/>
      <c r="ED11" s="2688"/>
      <c r="EE11" s="2688"/>
      <c r="EF11" s="2688"/>
      <c r="EG11" s="2688"/>
      <c r="EH11" s="2688"/>
      <c r="EI11" s="2688"/>
      <c r="EJ11" s="2688"/>
      <c r="EK11" s="2688"/>
      <c r="EL11" s="2688"/>
      <c r="EM11" s="2688"/>
      <c r="EN11" s="2688"/>
      <c r="EO11" s="2688"/>
      <c r="EP11" s="2688"/>
      <c r="EQ11" s="2688"/>
      <c r="ER11" s="2688"/>
      <c r="ES11" s="2688"/>
      <c r="ET11" s="2688"/>
      <c r="EU11" s="2688"/>
      <c r="EV11" s="2688"/>
      <c r="EW11" s="2688"/>
      <c r="EX11" s="2688"/>
      <c r="EY11" s="2688"/>
      <c r="EZ11" s="2688"/>
      <c r="FA11" s="2688"/>
      <c r="FB11" s="2688"/>
      <c r="FC11" s="2688"/>
      <c r="FD11" s="2688"/>
      <c r="FE11" s="2688"/>
      <c r="FF11" s="2688"/>
      <c r="FG11" s="2688"/>
      <c r="FH11" s="2688"/>
      <c r="FI11" s="2688"/>
      <c r="FJ11" s="2688"/>
      <c r="FK11" s="2688"/>
      <c r="FL11" s="2688"/>
      <c r="FM11" s="2688"/>
      <c r="FN11" s="2688"/>
      <c r="FO11" s="2688"/>
      <c r="FP11" s="2688"/>
      <c r="FQ11" s="2688"/>
      <c r="FR11" s="2688"/>
      <c r="FS11" s="2688"/>
      <c r="FT11" s="2688"/>
      <c r="FU11" s="2688"/>
      <c r="FV11" s="2688"/>
      <c r="FW11" s="2688"/>
      <c r="FX11" s="2688"/>
      <c r="FY11" s="2688"/>
      <c r="FZ11" s="2688"/>
      <c r="GA11" s="2688"/>
      <c r="GB11" s="2688"/>
      <c r="GC11" s="2688"/>
      <c r="GD11" s="2688"/>
      <c r="GE11" s="2688"/>
      <c r="GF11" s="2688"/>
      <c r="GG11" s="2688"/>
      <c r="GH11" s="2688"/>
      <c r="GI11" s="2688"/>
      <c r="GJ11" s="2688"/>
      <c r="GK11" s="2688"/>
      <c r="GL11" s="2688"/>
      <c r="GM11" s="2688"/>
      <c r="GN11" s="2688"/>
      <c r="GO11" s="2688"/>
      <c r="GP11" s="2688"/>
      <c r="GQ11" s="2688"/>
      <c r="GR11" s="2688"/>
      <c r="GS11" s="2688"/>
      <c r="GT11" s="2688"/>
      <c r="GU11" s="2688"/>
      <c r="GV11" s="2688"/>
      <c r="GW11" s="2688"/>
      <c r="GX11" s="2688"/>
      <c r="GY11" s="2688"/>
      <c r="GZ11" s="2688"/>
      <c r="HA11" s="2688"/>
      <c r="HB11" s="2688"/>
      <c r="HC11" s="2688"/>
      <c r="HD11" s="2688"/>
      <c r="HE11" s="2688"/>
      <c r="HF11" s="2688"/>
      <c r="HG11" s="2688"/>
      <c r="HH11" s="2688"/>
      <c r="HI11" s="2688"/>
      <c r="HJ11" s="2688"/>
      <c r="HK11" s="2688"/>
      <c r="HL11" s="2688"/>
      <c r="HM11" s="2688"/>
      <c r="HN11" s="2688"/>
      <c r="HO11" s="2688"/>
      <c r="HP11" s="2688"/>
      <c r="HQ11" s="2688"/>
      <c r="HR11" s="2688"/>
      <c r="HS11" s="2688"/>
      <c r="HT11" s="2688"/>
      <c r="HU11" s="2688"/>
      <c r="HV11" s="2688"/>
      <c r="HW11" s="2688"/>
      <c r="HX11" s="2688"/>
      <c r="HY11" s="2688"/>
      <c r="HZ11" s="2688"/>
      <c r="IA11" s="2688"/>
      <c r="IB11" s="2688"/>
      <c r="IC11" s="2688"/>
      <c r="ID11" s="2688"/>
      <c r="IE11" s="2688"/>
      <c r="IF11" s="2688"/>
      <c r="IG11" s="2688"/>
      <c r="IH11" s="2688"/>
      <c r="II11" s="2688"/>
      <c r="IJ11" s="2688"/>
      <c r="IK11" s="2688"/>
      <c r="IL11" s="2688"/>
      <c r="IM11" s="2688"/>
      <c r="IN11" s="2688"/>
      <c r="IO11" s="2688"/>
      <c r="IP11" s="2688"/>
      <c r="IQ11" s="2688"/>
      <c r="IR11" s="2688"/>
      <c r="IS11" s="2688"/>
      <c r="IT11" s="2688"/>
      <c r="IU11" s="2688"/>
      <c r="IV11" s="2688"/>
    </row>
    <row r="12" spans="1:256">
      <c r="A12" s="2689"/>
      <c r="B12" s="2690"/>
      <c r="C12" s="2691"/>
      <c r="D12" s="2692" t="s">
        <v>2743</v>
      </c>
      <c r="E12" s="2692" t="s">
        <v>2744</v>
      </c>
      <c r="F12" s="2692" t="s">
        <v>2745</v>
      </c>
      <c r="G12" s="2692" t="s">
        <v>2746</v>
      </c>
      <c r="H12" s="2692" t="s">
        <v>2728</v>
      </c>
      <c r="I12" s="2693" t="s">
        <v>2747</v>
      </c>
      <c r="J12" s="2693" t="s">
        <v>2747</v>
      </c>
      <c r="K12" s="2689"/>
      <c r="L12" s="2690"/>
      <c r="M12" s="2691"/>
      <c r="N12" s="2690"/>
      <c r="O12" s="2693" t="s">
        <v>2748</v>
      </c>
      <c r="P12" s="2693">
        <v>0.5</v>
      </c>
      <c r="Q12" s="2693">
        <v>1</v>
      </c>
      <c r="R12" s="2693">
        <v>2</v>
      </c>
      <c r="S12" s="2693">
        <v>3</v>
      </c>
      <c r="T12" s="2693">
        <v>5</v>
      </c>
      <c r="U12" s="2693">
        <v>1</v>
      </c>
      <c r="V12" s="2693">
        <v>3</v>
      </c>
      <c r="W12" s="2693">
        <v>5</v>
      </c>
      <c r="X12" s="2690"/>
      <c r="Y12" s="2690"/>
      <c r="Z12" s="2690"/>
      <c r="AA12" s="2694"/>
      <c r="AB12" s="2694"/>
      <c r="AC12" s="2694"/>
      <c r="AD12" s="2694"/>
      <c r="AE12" s="2694"/>
      <c r="AF12" s="2694"/>
      <c r="AG12" s="2694"/>
      <c r="AH12" s="2694"/>
      <c r="AI12" s="2694"/>
      <c r="AJ12" s="2694"/>
      <c r="AK12" s="2694"/>
      <c r="AL12" s="2694"/>
      <c r="AM12" s="2694"/>
      <c r="AN12" s="2694"/>
      <c r="AO12" s="2694"/>
      <c r="AP12" s="2694"/>
      <c r="AQ12" s="2694"/>
      <c r="AR12" s="2694"/>
      <c r="AS12" s="2694"/>
      <c r="AT12" s="2694"/>
      <c r="AU12" s="2694"/>
      <c r="AV12" s="2694"/>
      <c r="AW12" s="2694"/>
      <c r="AX12" s="2694"/>
      <c r="AY12" s="2694"/>
      <c r="AZ12" s="2694"/>
      <c r="BA12" s="2694"/>
      <c r="BB12" s="2694"/>
      <c r="BC12" s="2694"/>
      <c r="BD12" s="2694"/>
      <c r="BE12" s="2694"/>
      <c r="BF12" s="2694"/>
      <c r="BG12" s="2694"/>
      <c r="BH12" s="2694"/>
      <c r="BI12" s="2694"/>
      <c r="BJ12" s="2694"/>
      <c r="BK12" s="2694"/>
      <c r="BL12" s="2694"/>
      <c r="BM12" s="2694"/>
      <c r="BN12" s="2694"/>
      <c r="BO12" s="2694"/>
      <c r="BP12" s="2694"/>
      <c r="BQ12" s="2694"/>
      <c r="BR12" s="2694"/>
      <c r="BS12" s="2694"/>
      <c r="BT12" s="2694"/>
      <c r="BU12" s="2694"/>
      <c r="BV12" s="2694"/>
      <c r="BW12" s="2694"/>
      <c r="BX12" s="2694"/>
      <c r="BY12" s="2694"/>
      <c r="BZ12" s="2694"/>
      <c r="CA12" s="2694"/>
      <c r="CB12" s="2694"/>
      <c r="CC12" s="2694"/>
      <c r="CD12" s="2694"/>
      <c r="CE12" s="2694"/>
      <c r="CF12" s="2694"/>
      <c r="CG12" s="2694"/>
      <c r="CH12" s="2694"/>
      <c r="CI12" s="2694"/>
      <c r="CJ12" s="2694"/>
      <c r="CK12" s="2694"/>
      <c r="CL12" s="2694"/>
      <c r="CM12" s="2694"/>
      <c r="CN12" s="2694"/>
      <c r="CO12" s="2694"/>
      <c r="CP12" s="2694"/>
      <c r="CQ12" s="2694"/>
      <c r="CR12" s="2694"/>
      <c r="CS12" s="2694"/>
      <c r="CT12" s="2694"/>
      <c r="CU12" s="2694"/>
      <c r="CV12" s="2694"/>
      <c r="CW12" s="2694"/>
      <c r="CX12" s="2694"/>
      <c r="CY12" s="2694"/>
      <c r="CZ12" s="2694"/>
      <c r="DA12" s="2694"/>
      <c r="DB12" s="2694"/>
      <c r="DC12" s="2694"/>
      <c r="DD12" s="2694"/>
      <c r="DE12" s="2694"/>
      <c r="DF12" s="2694"/>
      <c r="DG12" s="2694"/>
      <c r="DH12" s="2694"/>
      <c r="DI12" s="2694"/>
      <c r="DJ12" s="2694"/>
      <c r="DK12" s="2694"/>
      <c r="DL12" s="2694"/>
      <c r="DM12" s="2694"/>
      <c r="DN12" s="2694"/>
      <c r="DO12" s="2694"/>
      <c r="DP12" s="2694"/>
      <c r="DQ12" s="2694"/>
      <c r="DR12" s="2694"/>
      <c r="DS12" s="2694"/>
      <c r="DT12" s="2694"/>
      <c r="DU12" s="2694"/>
      <c r="DV12" s="2694"/>
      <c r="DW12" s="2694"/>
      <c r="DX12" s="2694"/>
      <c r="DY12" s="2694"/>
      <c r="DZ12" s="2694"/>
      <c r="EA12" s="2694"/>
      <c r="EB12" s="2694"/>
      <c r="EC12" s="2694"/>
      <c r="ED12" s="2694"/>
      <c r="EE12" s="2694"/>
      <c r="EF12" s="2694"/>
      <c r="EG12" s="2694"/>
      <c r="EH12" s="2694"/>
      <c r="EI12" s="2694"/>
      <c r="EJ12" s="2694"/>
      <c r="EK12" s="2694"/>
      <c r="EL12" s="2694"/>
      <c r="EM12" s="2694"/>
      <c r="EN12" s="2694"/>
      <c r="EO12" s="2694"/>
      <c r="EP12" s="2694"/>
      <c r="EQ12" s="2694"/>
      <c r="ER12" s="2694"/>
      <c r="ES12" s="2694"/>
      <c r="ET12" s="2694"/>
      <c r="EU12" s="2694"/>
      <c r="EV12" s="2694"/>
      <c r="EW12" s="2694"/>
      <c r="EX12" s="2694"/>
      <c r="EY12" s="2694"/>
      <c r="EZ12" s="2694"/>
      <c r="FA12" s="2694"/>
      <c r="FB12" s="2694"/>
      <c r="FC12" s="2694"/>
      <c r="FD12" s="2694"/>
      <c r="FE12" s="2694"/>
      <c r="FF12" s="2694"/>
      <c r="FG12" s="2694"/>
      <c r="FH12" s="2694"/>
      <c r="FI12" s="2694"/>
      <c r="FJ12" s="2694"/>
      <c r="FK12" s="2694"/>
      <c r="FL12" s="2694"/>
      <c r="FM12" s="2694"/>
      <c r="FN12" s="2694"/>
      <c r="FO12" s="2694"/>
      <c r="FP12" s="2694"/>
      <c r="FQ12" s="2694"/>
      <c r="FR12" s="2694"/>
      <c r="FS12" s="2694"/>
      <c r="FT12" s="2694"/>
      <c r="FU12" s="2694"/>
      <c r="FV12" s="2694"/>
      <c r="FW12" s="2694"/>
      <c r="FX12" s="2694"/>
      <c r="FY12" s="2694"/>
      <c r="FZ12" s="2694"/>
      <c r="GA12" s="2694"/>
      <c r="GB12" s="2694"/>
      <c r="GC12" s="2694"/>
      <c r="GD12" s="2694"/>
      <c r="GE12" s="2694"/>
      <c r="GF12" s="2694"/>
      <c r="GG12" s="2694"/>
      <c r="GH12" s="2694"/>
      <c r="GI12" s="2694"/>
      <c r="GJ12" s="2694"/>
      <c r="GK12" s="2694"/>
      <c r="GL12" s="2694"/>
      <c r="GM12" s="2694"/>
      <c r="GN12" s="2694"/>
      <c r="GO12" s="2694"/>
      <c r="GP12" s="2694"/>
      <c r="GQ12" s="2694"/>
      <c r="GR12" s="2694"/>
      <c r="GS12" s="2694"/>
      <c r="GT12" s="2694"/>
      <c r="GU12" s="2694"/>
      <c r="GV12" s="2694"/>
      <c r="GW12" s="2694"/>
      <c r="GX12" s="2694"/>
      <c r="GY12" s="2694"/>
      <c r="GZ12" s="2694"/>
      <c r="HA12" s="2694"/>
      <c r="HB12" s="2694"/>
      <c r="HC12" s="2694"/>
      <c r="HD12" s="2694"/>
      <c r="HE12" s="2694"/>
      <c r="HF12" s="2694"/>
      <c r="HG12" s="2694"/>
      <c r="HH12" s="2694"/>
      <c r="HI12" s="2694"/>
      <c r="HJ12" s="2694"/>
      <c r="HK12" s="2694"/>
      <c r="HL12" s="2694"/>
      <c r="HM12" s="2694"/>
      <c r="HN12" s="2694"/>
      <c r="HO12" s="2694"/>
      <c r="HP12" s="2694"/>
      <c r="HQ12" s="2694"/>
      <c r="HR12" s="2694"/>
      <c r="HS12" s="2694"/>
      <c r="HT12" s="2694"/>
      <c r="HU12" s="2694"/>
      <c r="HV12" s="2694"/>
      <c r="HW12" s="2694"/>
      <c r="HX12" s="2694"/>
      <c r="HY12" s="2694"/>
      <c r="HZ12" s="2694"/>
      <c r="IA12" s="2694"/>
      <c r="IB12" s="2694"/>
      <c r="IC12" s="2694"/>
      <c r="ID12" s="2694"/>
      <c r="IE12" s="2694"/>
      <c r="IF12" s="2694"/>
      <c r="IG12" s="2694"/>
      <c r="IH12" s="2694"/>
      <c r="II12" s="2694"/>
      <c r="IJ12" s="2694"/>
      <c r="IK12" s="2694"/>
      <c r="IL12" s="2694"/>
      <c r="IM12" s="2694"/>
      <c r="IN12" s="2694"/>
      <c r="IO12" s="2694"/>
      <c r="IP12" s="2694"/>
      <c r="IQ12" s="2694"/>
      <c r="IR12" s="2694"/>
      <c r="IS12" s="2694"/>
      <c r="IT12" s="2694"/>
      <c r="IU12" s="2694"/>
      <c r="IV12" s="2694"/>
    </row>
    <row r="13" spans="1:256" ht="14.25">
      <c r="A13" s="2695"/>
      <c r="B13" s="2696" t="s">
        <v>2749</v>
      </c>
      <c r="C13" s="2697">
        <v>42301</v>
      </c>
      <c r="D13" s="2698">
        <v>4.3499999999999996</v>
      </c>
      <c r="E13" s="2698">
        <v>4.3499999999999996</v>
      </c>
      <c r="F13" s="2698">
        <v>4.75</v>
      </c>
      <c r="G13" s="2698">
        <v>4.75</v>
      </c>
      <c r="H13" s="2698">
        <v>4.9000000000000004</v>
      </c>
      <c r="I13" s="2698">
        <v>2.75</v>
      </c>
      <c r="J13" s="2698">
        <v>3.25</v>
      </c>
      <c r="K13" s="2695"/>
      <c r="L13" s="2696" t="s">
        <v>2749</v>
      </c>
      <c r="M13" s="2699">
        <v>42301</v>
      </c>
      <c r="N13" s="2698">
        <v>0.35</v>
      </c>
      <c r="O13" s="2698">
        <v>1.1000000000000001</v>
      </c>
      <c r="P13" s="2698">
        <v>1.3</v>
      </c>
      <c r="Q13" s="2698">
        <v>1.5</v>
      </c>
      <c r="R13" s="2698">
        <v>2.1</v>
      </c>
      <c r="S13" s="2698">
        <v>2.75</v>
      </c>
      <c r="T13" s="2698"/>
      <c r="U13" s="2698"/>
      <c r="V13" s="2698"/>
      <c r="W13" s="2698"/>
      <c r="X13" s="2698"/>
      <c r="Y13" s="2698"/>
      <c r="Z13" s="2698"/>
      <c r="AA13" s="2700"/>
      <c r="AB13" s="2700"/>
      <c r="AC13" s="2700"/>
      <c r="AD13" s="2700"/>
      <c r="AE13" s="2700"/>
      <c r="AF13" s="2700"/>
      <c r="AG13" s="2700"/>
      <c r="AH13" s="2700"/>
      <c r="AI13" s="2700"/>
      <c r="AJ13" s="2700"/>
      <c r="AK13" s="2700"/>
      <c r="AL13" s="2700"/>
      <c r="AM13" s="2700"/>
      <c r="AN13" s="2700"/>
      <c r="AO13" s="2700"/>
      <c r="AP13" s="2700"/>
      <c r="AQ13" s="2700"/>
      <c r="AR13" s="2700"/>
      <c r="AS13" s="2700"/>
      <c r="AT13" s="2700"/>
      <c r="AU13" s="2700"/>
      <c r="AV13" s="2700"/>
      <c r="AW13" s="2700"/>
      <c r="AX13" s="2700"/>
      <c r="AY13" s="2700"/>
      <c r="AZ13" s="2700"/>
      <c r="BA13" s="2700"/>
      <c r="BB13" s="2700"/>
      <c r="BC13" s="2700"/>
      <c r="BD13" s="2700"/>
      <c r="BE13" s="2700"/>
      <c r="BF13" s="2700"/>
      <c r="BG13" s="2700"/>
      <c r="BH13" s="2700"/>
      <c r="BI13" s="2700"/>
      <c r="BJ13" s="2700"/>
      <c r="BK13" s="2700"/>
      <c r="BL13" s="2700"/>
      <c r="BM13" s="2700"/>
      <c r="BN13" s="2700"/>
      <c r="BO13" s="2700"/>
      <c r="BP13" s="2700"/>
      <c r="BQ13" s="2700"/>
      <c r="BR13" s="2700"/>
      <c r="BS13" s="2700"/>
      <c r="BT13" s="2700"/>
      <c r="BU13" s="2700"/>
      <c r="BV13" s="2700"/>
      <c r="BW13" s="2700"/>
      <c r="BX13" s="2700"/>
      <c r="BY13" s="2700"/>
      <c r="BZ13" s="2700"/>
      <c r="CA13" s="2700"/>
      <c r="CB13" s="2700"/>
      <c r="CC13" s="2700"/>
      <c r="CD13" s="2700"/>
      <c r="CE13" s="2700"/>
      <c r="CF13" s="2700"/>
      <c r="CG13" s="2700"/>
      <c r="CH13" s="2700"/>
      <c r="CI13" s="2700"/>
      <c r="CJ13" s="2700"/>
      <c r="CK13" s="2700"/>
      <c r="CL13" s="2700"/>
      <c r="CM13" s="2700"/>
      <c r="CN13" s="2700"/>
      <c r="CO13" s="2700"/>
      <c r="CP13" s="2700"/>
      <c r="CQ13" s="2700"/>
      <c r="CR13" s="2700"/>
      <c r="CS13" s="2700"/>
      <c r="CT13" s="2700"/>
      <c r="CU13" s="2700"/>
      <c r="CV13" s="2700"/>
      <c r="CW13" s="2700"/>
      <c r="CX13" s="2700"/>
      <c r="CY13" s="2700"/>
      <c r="CZ13" s="2700"/>
      <c r="DA13" s="2700"/>
      <c r="DB13" s="2700"/>
      <c r="DC13" s="2700"/>
      <c r="DD13" s="2700"/>
      <c r="DE13" s="2700"/>
      <c r="DF13" s="2700"/>
      <c r="DG13" s="2700"/>
      <c r="DH13" s="2700"/>
      <c r="DI13" s="2700"/>
      <c r="DJ13" s="2700"/>
      <c r="DK13" s="2700"/>
      <c r="DL13" s="2700"/>
      <c r="DM13" s="2700"/>
      <c r="DN13" s="2700"/>
      <c r="DO13" s="2700"/>
      <c r="DP13" s="2700"/>
      <c r="DQ13" s="2700"/>
      <c r="DR13" s="2700"/>
      <c r="DS13" s="2700"/>
      <c r="DT13" s="2700"/>
      <c r="DU13" s="2700"/>
      <c r="DV13" s="2700"/>
      <c r="DW13" s="2700"/>
      <c r="DX13" s="2700"/>
      <c r="DY13" s="2700"/>
      <c r="DZ13" s="2700"/>
      <c r="EA13" s="2700"/>
      <c r="EB13" s="2700"/>
      <c r="EC13" s="2700"/>
      <c r="ED13" s="2700"/>
      <c r="EE13" s="2700"/>
      <c r="EF13" s="2700"/>
      <c r="EG13" s="2700"/>
      <c r="EH13" s="2700"/>
      <c r="EI13" s="2700"/>
      <c r="EJ13" s="2700"/>
      <c r="EK13" s="2700"/>
      <c r="EL13" s="2700"/>
      <c r="EM13" s="2700"/>
      <c r="EN13" s="2700"/>
      <c r="EO13" s="2700"/>
      <c r="EP13" s="2700"/>
      <c r="EQ13" s="2700"/>
      <c r="ER13" s="2700"/>
      <c r="ES13" s="2700"/>
      <c r="ET13" s="2700"/>
      <c r="EU13" s="2700"/>
      <c r="EV13" s="2700"/>
      <c r="EW13" s="2700"/>
      <c r="EX13" s="2700"/>
      <c r="EY13" s="2700"/>
      <c r="EZ13" s="2700"/>
      <c r="FA13" s="2700"/>
      <c r="FB13" s="2700"/>
      <c r="FC13" s="2700"/>
      <c r="FD13" s="2700"/>
      <c r="FE13" s="2700"/>
      <c r="FF13" s="2700"/>
      <c r="FG13" s="2700"/>
      <c r="FH13" s="2700"/>
      <c r="FI13" s="2700"/>
      <c r="FJ13" s="2700"/>
      <c r="FK13" s="2700"/>
      <c r="FL13" s="2700"/>
      <c r="FM13" s="2700"/>
      <c r="FN13" s="2700"/>
      <c r="FO13" s="2700"/>
      <c r="FP13" s="2700"/>
      <c r="FQ13" s="2700"/>
      <c r="FR13" s="2700"/>
      <c r="FS13" s="2700"/>
      <c r="FT13" s="2700"/>
      <c r="FU13" s="2700"/>
      <c r="FV13" s="2700"/>
      <c r="FW13" s="2700"/>
      <c r="FX13" s="2700"/>
      <c r="FY13" s="2700"/>
      <c r="FZ13" s="2700"/>
      <c r="GA13" s="2700"/>
      <c r="GB13" s="2700"/>
      <c r="GC13" s="2700"/>
      <c r="GD13" s="2700"/>
      <c r="GE13" s="2700"/>
      <c r="GF13" s="2700"/>
      <c r="GG13" s="2700"/>
      <c r="GH13" s="2700"/>
      <c r="GI13" s="2700"/>
      <c r="GJ13" s="2700"/>
      <c r="GK13" s="2700"/>
      <c r="GL13" s="2700"/>
      <c r="GM13" s="2700"/>
      <c r="GN13" s="2700"/>
      <c r="GO13" s="2700"/>
      <c r="GP13" s="2700"/>
      <c r="GQ13" s="2700"/>
      <c r="GR13" s="2700"/>
      <c r="GS13" s="2700"/>
      <c r="GT13" s="2700"/>
      <c r="GU13" s="2700"/>
      <c r="GV13" s="2700"/>
      <c r="GW13" s="2700"/>
      <c r="GX13" s="2700"/>
      <c r="GY13" s="2700"/>
      <c r="GZ13" s="2700"/>
      <c r="HA13" s="2700"/>
      <c r="HB13" s="2700"/>
      <c r="HC13" s="2700"/>
      <c r="HD13" s="2700"/>
      <c r="HE13" s="2700"/>
      <c r="HF13" s="2700"/>
      <c r="HG13" s="2700"/>
      <c r="HH13" s="2700"/>
      <c r="HI13" s="2700"/>
      <c r="HJ13" s="2700"/>
      <c r="HK13" s="2700"/>
      <c r="HL13" s="2700"/>
      <c r="HM13" s="2700"/>
      <c r="HN13" s="2700"/>
      <c r="HO13" s="2700"/>
      <c r="HP13" s="2700"/>
      <c r="HQ13" s="2700"/>
      <c r="HR13" s="2700"/>
      <c r="HS13" s="2700"/>
      <c r="HT13" s="2700"/>
      <c r="HU13" s="2700"/>
      <c r="HV13" s="2700"/>
      <c r="HW13" s="2700"/>
      <c r="HX13" s="2700"/>
      <c r="HY13" s="2700"/>
      <c r="HZ13" s="2700"/>
      <c r="IA13" s="2700"/>
      <c r="IB13" s="2700"/>
      <c r="IC13" s="2700"/>
      <c r="ID13" s="2700"/>
      <c r="IE13" s="2700"/>
      <c r="IF13" s="2700"/>
      <c r="IG13" s="2700"/>
      <c r="IH13" s="2700"/>
      <c r="II13" s="2700"/>
      <c r="IJ13" s="2700"/>
      <c r="IK13" s="2700"/>
      <c r="IL13" s="2700"/>
      <c r="IM13" s="2700"/>
      <c r="IN13" s="2700"/>
      <c r="IO13" s="2700"/>
      <c r="IP13" s="2700"/>
      <c r="IQ13" s="2700"/>
      <c r="IR13" s="2700"/>
      <c r="IS13" s="2700"/>
      <c r="IT13" s="2700"/>
      <c r="IU13" s="2700"/>
      <c r="IV13" s="2700"/>
    </row>
    <row r="14" spans="1:256">
      <c r="B14" s="2701"/>
      <c r="C14" s="2702">
        <v>42242</v>
      </c>
      <c r="D14" s="2701">
        <v>4.5999999999999996</v>
      </c>
      <c r="E14" s="2701">
        <v>4.5999999999999996</v>
      </c>
      <c r="F14" s="2701">
        <v>5</v>
      </c>
      <c r="G14" s="2701">
        <v>5</v>
      </c>
      <c r="H14" s="2701">
        <v>5.15</v>
      </c>
      <c r="I14" s="2701">
        <v>2.75</v>
      </c>
      <c r="J14" s="2701">
        <v>3.25</v>
      </c>
      <c r="L14" s="2701"/>
      <c r="M14" s="2702">
        <v>42242</v>
      </c>
      <c r="N14" s="2701">
        <v>0.35</v>
      </c>
      <c r="O14" s="2701">
        <v>1.35</v>
      </c>
      <c r="P14" s="2701">
        <v>1.55</v>
      </c>
      <c r="Q14" s="2701">
        <v>1.75</v>
      </c>
      <c r="R14" s="2701">
        <v>2.35</v>
      </c>
      <c r="S14" s="2701">
        <v>3</v>
      </c>
      <c r="T14" s="2701"/>
      <c r="U14" s="2701"/>
      <c r="V14" s="2701"/>
      <c r="W14" s="2701"/>
      <c r="X14" s="2701"/>
      <c r="Y14" s="2701"/>
      <c r="Z14" s="2701"/>
    </row>
    <row r="15" spans="1:256">
      <c r="B15" s="2701"/>
      <c r="C15" s="2702">
        <v>42183</v>
      </c>
      <c r="D15" s="2701">
        <v>4.8499999999999996</v>
      </c>
      <c r="E15" s="2701">
        <v>4.8499999999999996</v>
      </c>
      <c r="F15" s="2701">
        <v>5.25</v>
      </c>
      <c r="G15" s="2701">
        <v>5.25</v>
      </c>
      <c r="H15" s="2701">
        <v>5.4</v>
      </c>
      <c r="I15" s="2701">
        <v>3</v>
      </c>
      <c r="J15" s="2701">
        <v>3.5</v>
      </c>
      <c r="L15" s="2701"/>
      <c r="M15" s="2702">
        <v>42183</v>
      </c>
      <c r="N15" s="2701">
        <v>0.35</v>
      </c>
      <c r="O15" s="2701">
        <v>1.6</v>
      </c>
      <c r="P15" s="2701">
        <v>1.8</v>
      </c>
      <c r="Q15" s="2701">
        <v>2</v>
      </c>
      <c r="R15" s="2701">
        <v>2.6</v>
      </c>
      <c r="S15" s="2701">
        <v>3.25</v>
      </c>
      <c r="T15" s="2701"/>
      <c r="U15" s="2701"/>
      <c r="V15" s="2701"/>
      <c r="W15" s="2701"/>
      <c r="X15" s="2701"/>
      <c r="Y15" s="2701"/>
      <c r="Z15" s="2701"/>
    </row>
    <row r="16" spans="1:256">
      <c r="B16" s="2701"/>
      <c r="C16" s="2702">
        <v>42135</v>
      </c>
      <c r="D16" s="2701">
        <v>5.0999999999999996</v>
      </c>
      <c r="E16" s="2701">
        <v>5.0999999999999996</v>
      </c>
      <c r="F16" s="2701">
        <v>5.5</v>
      </c>
      <c r="G16" s="2701">
        <v>5.5</v>
      </c>
      <c r="H16" s="2701">
        <v>5.65</v>
      </c>
      <c r="I16" s="2701">
        <v>3.25</v>
      </c>
      <c r="J16" s="2701">
        <v>3.75</v>
      </c>
      <c r="L16" s="2701"/>
      <c r="M16" s="2702">
        <v>42135</v>
      </c>
      <c r="N16" s="2701">
        <v>0.35</v>
      </c>
      <c r="O16" s="2701">
        <v>1.85</v>
      </c>
      <c r="P16" s="2701">
        <v>2.0499999999999998</v>
      </c>
      <c r="Q16" s="2701">
        <v>2.25</v>
      </c>
      <c r="R16" s="2701">
        <v>2.85</v>
      </c>
      <c r="S16" s="2701">
        <v>3.5</v>
      </c>
      <c r="T16" s="2701"/>
      <c r="U16" s="2701"/>
      <c r="V16" s="2701"/>
      <c r="W16" s="2701"/>
      <c r="X16" s="2701"/>
      <c r="Y16" s="2701"/>
      <c r="Z16" s="2701"/>
    </row>
    <row r="17" spans="2:26">
      <c r="B17" s="2701"/>
      <c r="C17" s="2702">
        <v>42064</v>
      </c>
      <c r="D17" s="2701">
        <v>5.35</v>
      </c>
      <c r="E17" s="2701">
        <v>5.35</v>
      </c>
      <c r="F17" s="2701">
        <v>5.75</v>
      </c>
      <c r="G17" s="2701">
        <v>5.75</v>
      </c>
      <c r="H17" s="2701">
        <v>5.9</v>
      </c>
      <c r="I17" s="2701"/>
      <c r="J17" s="2701"/>
      <c r="L17" s="2701"/>
      <c r="M17" s="2702">
        <v>42064</v>
      </c>
      <c r="N17" s="2701">
        <v>0.35</v>
      </c>
      <c r="O17" s="2701">
        <v>2.1</v>
      </c>
      <c r="P17" s="2701">
        <v>2.2999999999999998</v>
      </c>
      <c r="Q17" s="2701">
        <v>2.5</v>
      </c>
      <c r="R17" s="2701">
        <v>3.1</v>
      </c>
      <c r="S17" s="2701">
        <v>3.75</v>
      </c>
      <c r="T17" s="2701">
        <v>4.5</v>
      </c>
      <c r="U17" s="2701">
        <v>2.35</v>
      </c>
      <c r="V17" s="2701">
        <v>2.5499999999999998</v>
      </c>
      <c r="W17" s="2701">
        <v>2.75</v>
      </c>
      <c r="X17" s="2701"/>
      <c r="Y17" s="2701">
        <v>0.8</v>
      </c>
      <c r="Z17" s="2701">
        <v>1.35</v>
      </c>
    </row>
    <row r="18" spans="2:26" ht="15">
      <c r="B18" s="2701"/>
      <c r="C18" s="2702">
        <v>41965</v>
      </c>
      <c r="D18" s="2701">
        <v>5.6</v>
      </c>
      <c r="E18" s="2701">
        <v>5.6</v>
      </c>
      <c r="F18" s="2701">
        <v>6</v>
      </c>
      <c r="G18" s="2701">
        <v>6</v>
      </c>
      <c r="H18" s="2701">
        <v>6.15</v>
      </c>
      <c r="I18" s="2701"/>
      <c r="J18" s="2701"/>
      <c r="L18" s="2701"/>
      <c r="M18" s="2702">
        <v>41965</v>
      </c>
      <c r="N18" s="2701">
        <v>0.35</v>
      </c>
      <c r="O18" s="2701">
        <v>2.35</v>
      </c>
      <c r="P18" s="2701">
        <v>2.5499999999999998</v>
      </c>
      <c r="Q18" s="2701">
        <v>2.75</v>
      </c>
      <c r="R18" s="2701">
        <v>3.35</v>
      </c>
      <c r="S18" s="2701">
        <v>4</v>
      </c>
      <c r="T18" s="2701">
        <v>4.75</v>
      </c>
      <c r="U18" s="2703">
        <v>2.35</v>
      </c>
      <c r="V18" s="2703">
        <v>2.5499999999999998</v>
      </c>
      <c r="W18" s="2703">
        <v>2.75</v>
      </c>
      <c r="X18" s="2701"/>
      <c r="Y18" s="2703">
        <v>0.8</v>
      </c>
      <c r="Z18" s="2703">
        <v>1.35</v>
      </c>
    </row>
    <row r="19" spans="2:26">
      <c r="B19" s="2701"/>
      <c r="C19" s="2702">
        <v>41096</v>
      </c>
      <c r="D19" s="2701">
        <v>5.6</v>
      </c>
      <c r="E19" s="2701">
        <v>6</v>
      </c>
      <c r="F19" s="2701">
        <v>6.15</v>
      </c>
      <c r="G19" s="2701">
        <v>6.4</v>
      </c>
      <c r="H19" s="2701">
        <v>6.55</v>
      </c>
      <c r="I19" s="2701">
        <v>4</v>
      </c>
      <c r="J19" s="2701">
        <v>4.5</v>
      </c>
      <c r="L19" s="2701"/>
      <c r="M19" s="2702">
        <v>41096</v>
      </c>
      <c r="N19" s="2701">
        <v>0.35</v>
      </c>
      <c r="O19" s="2701">
        <v>2.6</v>
      </c>
      <c r="P19" s="2701">
        <v>2.8</v>
      </c>
      <c r="Q19" s="2701">
        <v>3</v>
      </c>
      <c r="R19" s="2701">
        <v>3.75</v>
      </c>
      <c r="S19" s="2701">
        <v>4.25</v>
      </c>
      <c r="T19" s="2701">
        <v>4.75</v>
      </c>
      <c r="U19" s="2701">
        <v>2.85</v>
      </c>
      <c r="V19" s="2701">
        <v>2.9</v>
      </c>
      <c r="W19" s="2701">
        <v>3</v>
      </c>
      <c r="X19" s="2701">
        <v>1.1499999999999999</v>
      </c>
      <c r="Y19" s="2701">
        <v>0.8</v>
      </c>
      <c r="Z19" s="2701">
        <v>1.35</v>
      </c>
    </row>
    <row r="20" spans="2:26">
      <c r="B20" s="2701"/>
      <c r="C20" s="2702">
        <v>41068</v>
      </c>
      <c r="D20" s="2701">
        <v>5.85</v>
      </c>
      <c r="E20" s="2701">
        <v>6.31</v>
      </c>
      <c r="F20" s="2701">
        <v>6.4</v>
      </c>
      <c r="G20" s="2701">
        <v>6.65</v>
      </c>
      <c r="H20" s="2701">
        <v>6.8</v>
      </c>
      <c r="I20" s="2701">
        <v>4.2</v>
      </c>
      <c r="J20" s="2701">
        <v>4.7</v>
      </c>
      <c r="L20" s="2701"/>
      <c r="M20" s="2702">
        <v>41068</v>
      </c>
      <c r="N20" s="2701">
        <v>0.4</v>
      </c>
      <c r="O20" s="2701">
        <v>2.85</v>
      </c>
      <c r="P20" s="2701">
        <v>3.05</v>
      </c>
      <c r="Q20" s="2701">
        <v>3.25</v>
      </c>
      <c r="R20" s="2701">
        <v>4.0999999999999996</v>
      </c>
      <c r="S20" s="2701">
        <v>4.6500000000000004</v>
      </c>
      <c r="T20" s="2701">
        <v>5.0999999999999996</v>
      </c>
      <c r="U20" s="2701">
        <v>3.1</v>
      </c>
      <c r="V20" s="2701">
        <v>3.15</v>
      </c>
      <c r="W20" s="2701">
        <v>3.25</v>
      </c>
      <c r="X20" s="2701">
        <v>1.31</v>
      </c>
      <c r="Y20" s="2701">
        <v>0.94</v>
      </c>
      <c r="Z20" s="2701">
        <v>1.49</v>
      </c>
    </row>
    <row r="21" spans="2:26">
      <c r="B21" s="2701"/>
      <c r="C21" s="2702">
        <v>40731</v>
      </c>
      <c r="D21" s="2701">
        <v>6.1</v>
      </c>
      <c r="E21" s="2701">
        <v>6.56</v>
      </c>
      <c r="F21" s="2701">
        <v>6.65</v>
      </c>
      <c r="G21" s="2701">
        <v>6.9</v>
      </c>
      <c r="H21" s="2701">
        <v>7.05</v>
      </c>
      <c r="I21" s="2701">
        <v>4.45</v>
      </c>
      <c r="J21" s="2701">
        <v>4.9000000000000004</v>
      </c>
      <c r="L21" s="2701"/>
      <c r="M21" s="2702">
        <v>40731</v>
      </c>
      <c r="N21" s="2701">
        <v>0.5</v>
      </c>
      <c r="O21" s="2701">
        <v>3.1</v>
      </c>
      <c r="P21" s="2701">
        <v>3.3</v>
      </c>
      <c r="Q21" s="2701">
        <v>3.5</v>
      </c>
      <c r="R21" s="2701">
        <v>4.4000000000000004</v>
      </c>
      <c r="S21" s="2701">
        <v>5</v>
      </c>
      <c r="T21" s="2701">
        <v>5.5</v>
      </c>
      <c r="U21" s="2701">
        <v>3.1</v>
      </c>
      <c r="V21" s="2701">
        <v>3.3</v>
      </c>
      <c r="W21" s="2701">
        <v>3.5</v>
      </c>
      <c r="X21" s="2701">
        <v>1.31</v>
      </c>
      <c r="Y21" s="2701">
        <v>0.95</v>
      </c>
      <c r="Z21" s="2701">
        <v>1.49</v>
      </c>
    </row>
    <row r="22" spans="2:26">
      <c r="B22" s="2701"/>
      <c r="C22" s="2702">
        <v>40639</v>
      </c>
      <c r="D22" s="2701">
        <v>5.85</v>
      </c>
      <c r="E22" s="2701">
        <v>6.31</v>
      </c>
      <c r="F22" s="2701">
        <v>6.4</v>
      </c>
      <c r="G22" s="2701">
        <v>6.65</v>
      </c>
      <c r="H22" s="2701">
        <v>6.8</v>
      </c>
      <c r="I22" s="2701">
        <v>4.2</v>
      </c>
      <c r="J22" s="2701">
        <v>4.7</v>
      </c>
      <c r="L22" s="2701"/>
      <c r="M22" s="2702">
        <v>40639</v>
      </c>
      <c r="N22" s="2701">
        <v>0.5</v>
      </c>
      <c r="O22" s="2701">
        <v>2.85</v>
      </c>
      <c r="P22" s="2701">
        <v>3.05</v>
      </c>
      <c r="Q22" s="2701">
        <v>3.25</v>
      </c>
      <c r="R22" s="2701">
        <v>4.1500000000000004</v>
      </c>
      <c r="S22" s="2701">
        <v>4.75</v>
      </c>
      <c r="T22" s="2701">
        <v>5.25</v>
      </c>
      <c r="U22" s="2701">
        <v>2.85</v>
      </c>
      <c r="V22" s="2701">
        <v>3.05</v>
      </c>
      <c r="W22" s="2701">
        <v>3.25</v>
      </c>
      <c r="X22" s="2701">
        <v>1.31</v>
      </c>
      <c r="Y22" s="2701">
        <v>0.95</v>
      </c>
      <c r="Z22" s="2701">
        <v>1.49</v>
      </c>
    </row>
    <row r="23" spans="2:26">
      <c r="B23" s="2701"/>
      <c r="C23" s="2702">
        <v>40583</v>
      </c>
      <c r="D23" s="2701">
        <v>5.6</v>
      </c>
      <c r="E23" s="2701">
        <v>6.06</v>
      </c>
      <c r="F23" s="2701">
        <v>6.1</v>
      </c>
      <c r="G23" s="2701">
        <v>6.45</v>
      </c>
      <c r="H23" s="2701">
        <v>6.6</v>
      </c>
      <c r="I23" s="2701">
        <v>4</v>
      </c>
      <c r="J23" s="2701">
        <v>4.5</v>
      </c>
      <c r="L23" s="2701"/>
      <c r="M23" s="2702">
        <v>40583</v>
      </c>
      <c r="N23" s="2701">
        <v>0.4</v>
      </c>
      <c r="O23" s="2701">
        <v>2.6</v>
      </c>
      <c r="P23" s="2701">
        <v>2.8</v>
      </c>
      <c r="Q23" s="2701">
        <v>3</v>
      </c>
      <c r="R23" s="2701">
        <v>3.9</v>
      </c>
      <c r="S23" s="2701">
        <v>4.5</v>
      </c>
      <c r="T23" s="2701">
        <v>5</v>
      </c>
      <c r="U23" s="2701">
        <v>2.6</v>
      </c>
      <c r="V23" s="2701">
        <v>2.8</v>
      </c>
      <c r="W23" s="2701">
        <v>3</v>
      </c>
      <c r="X23" s="2701">
        <v>1.21</v>
      </c>
      <c r="Y23" s="2701">
        <v>0.85</v>
      </c>
      <c r="Z23" s="2701">
        <v>1.39</v>
      </c>
    </row>
    <row r="24" spans="2:26">
      <c r="B24" s="2701"/>
      <c r="C24" s="2702">
        <v>40538</v>
      </c>
      <c r="D24" s="2701">
        <v>5.35</v>
      </c>
      <c r="E24" s="2701">
        <v>5.81</v>
      </c>
      <c r="F24" s="2701">
        <v>5.85</v>
      </c>
      <c r="G24" s="2701">
        <v>6.22</v>
      </c>
      <c r="H24" s="2701">
        <v>6.4</v>
      </c>
      <c r="I24" s="2701">
        <v>3.75</v>
      </c>
      <c r="J24" s="2701">
        <v>4.3</v>
      </c>
      <c r="L24" s="2701"/>
      <c r="M24" s="2702">
        <v>40538</v>
      </c>
      <c r="N24" s="2701">
        <v>0.36</v>
      </c>
      <c r="O24" s="2701">
        <v>2.25</v>
      </c>
      <c r="P24" s="2701">
        <v>2.5</v>
      </c>
      <c r="Q24" s="2701">
        <v>2.75</v>
      </c>
      <c r="R24" s="2701">
        <v>3.55</v>
      </c>
      <c r="S24" s="2701">
        <v>4.1500000000000004</v>
      </c>
      <c r="T24" s="2701">
        <v>4.55</v>
      </c>
      <c r="U24" s="2701">
        <v>2.16</v>
      </c>
      <c r="V24" s="2701">
        <v>2.5</v>
      </c>
      <c r="W24" s="2701">
        <v>2.85</v>
      </c>
      <c r="X24" s="2701">
        <v>1.17</v>
      </c>
      <c r="Y24" s="2701">
        <v>0.81</v>
      </c>
      <c r="Z24" s="2701">
        <v>1.35</v>
      </c>
    </row>
    <row r="25" spans="2:26">
      <c r="B25" s="2701"/>
      <c r="C25" s="2702">
        <v>40471</v>
      </c>
      <c r="D25" s="2701">
        <v>5.0999999999999996</v>
      </c>
      <c r="E25" s="2701">
        <v>5.56</v>
      </c>
      <c r="F25" s="2701">
        <v>5.6</v>
      </c>
      <c r="G25" s="2701">
        <v>5.96</v>
      </c>
      <c r="H25" s="2701">
        <v>6.14</v>
      </c>
      <c r="I25" s="2701">
        <v>3.5</v>
      </c>
      <c r="J25" s="2701">
        <v>4.05</v>
      </c>
      <c r="L25" s="2701"/>
      <c r="M25" s="2702">
        <v>40471</v>
      </c>
      <c r="N25" s="2701">
        <v>0.36</v>
      </c>
      <c r="O25" s="2701">
        <v>1.91</v>
      </c>
      <c r="P25" s="2701">
        <v>2.2000000000000002</v>
      </c>
      <c r="Q25" s="2701">
        <v>2.5</v>
      </c>
      <c r="R25" s="2701">
        <v>3.25</v>
      </c>
      <c r="S25" s="2701">
        <v>3.85</v>
      </c>
      <c r="T25" s="2701">
        <v>4.2</v>
      </c>
      <c r="U25" s="2701">
        <v>1.91</v>
      </c>
      <c r="V25" s="2701">
        <v>2.2000000000000002</v>
      </c>
      <c r="W25" s="2701">
        <v>2.5</v>
      </c>
      <c r="X25" s="2701">
        <v>1.17</v>
      </c>
      <c r="Y25" s="2701">
        <v>0.81</v>
      </c>
      <c r="Z25" s="2701">
        <v>1.35</v>
      </c>
    </row>
    <row r="26" spans="2:26">
      <c r="B26" s="2701"/>
      <c r="C26" s="2702">
        <v>39805</v>
      </c>
      <c r="D26" s="2701">
        <v>4.8600000000000003</v>
      </c>
      <c r="E26" s="2701">
        <v>5.31</v>
      </c>
      <c r="F26" s="2701">
        <v>5.4</v>
      </c>
      <c r="G26" s="2701">
        <v>5.76</v>
      </c>
      <c r="H26" s="2701">
        <v>5.94</v>
      </c>
      <c r="I26" s="2701">
        <v>3.33</v>
      </c>
      <c r="J26" s="2701">
        <v>3.87</v>
      </c>
      <c r="L26" s="2701"/>
      <c r="M26" s="2702">
        <v>39805</v>
      </c>
      <c r="N26" s="2701">
        <v>0.36</v>
      </c>
      <c r="O26" s="2701">
        <v>1.71</v>
      </c>
      <c r="P26" s="2701">
        <v>1.98</v>
      </c>
      <c r="Q26" s="2701">
        <v>2.25</v>
      </c>
      <c r="R26" s="2701">
        <v>2.79</v>
      </c>
      <c r="S26" s="2701">
        <v>3.33</v>
      </c>
      <c r="T26" s="2701">
        <v>3.6</v>
      </c>
      <c r="U26" s="2701">
        <v>1.71</v>
      </c>
      <c r="V26" s="2701">
        <v>1.98</v>
      </c>
      <c r="W26" s="2701">
        <v>2.25</v>
      </c>
      <c r="X26" s="2701">
        <v>1.17</v>
      </c>
      <c r="Y26" s="2701">
        <v>0.81</v>
      </c>
      <c r="Z26" s="2701">
        <v>1.35</v>
      </c>
    </row>
    <row r="27" spans="2:26">
      <c r="B27" s="2701"/>
      <c r="C27" s="2702">
        <v>39779</v>
      </c>
      <c r="D27" s="2701">
        <v>5.04</v>
      </c>
      <c r="E27" s="2701">
        <v>5.58</v>
      </c>
      <c r="F27" s="2701">
        <v>5.67</v>
      </c>
      <c r="G27" s="2701">
        <v>5.94</v>
      </c>
      <c r="H27" s="2701">
        <v>6.12</v>
      </c>
      <c r="I27" s="2701">
        <v>3.51</v>
      </c>
      <c r="J27" s="2701">
        <v>4.05</v>
      </c>
      <c r="L27" s="2701"/>
      <c r="M27" s="2702">
        <v>39779</v>
      </c>
      <c r="N27" s="2701">
        <v>0.36</v>
      </c>
      <c r="O27" s="2701">
        <v>1.98</v>
      </c>
      <c r="P27" s="2701">
        <v>2.25</v>
      </c>
      <c r="Q27" s="2701">
        <v>2.52</v>
      </c>
      <c r="R27" s="2701">
        <v>3.06</v>
      </c>
      <c r="S27" s="2701">
        <v>3.6</v>
      </c>
      <c r="T27" s="2701">
        <v>3.87</v>
      </c>
      <c r="U27" s="2701">
        <v>1.98</v>
      </c>
      <c r="V27" s="2701">
        <v>2.25</v>
      </c>
      <c r="W27" s="2701">
        <v>2.52</v>
      </c>
      <c r="X27" s="2701">
        <v>1.17</v>
      </c>
      <c r="Y27" s="2701">
        <v>0.81</v>
      </c>
      <c r="Z27" s="2701">
        <v>1.35</v>
      </c>
    </row>
    <row r="28" spans="2:26">
      <c r="B28" s="2701"/>
      <c r="C28" s="2702">
        <v>39751</v>
      </c>
      <c r="D28" s="2701">
        <v>6.03</v>
      </c>
      <c r="E28" s="2701">
        <v>6.66</v>
      </c>
      <c r="F28" s="2701">
        <v>6.75</v>
      </c>
      <c r="G28" s="2701">
        <v>7.02</v>
      </c>
      <c r="H28" s="2701">
        <v>7.2</v>
      </c>
      <c r="I28" s="2701">
        <v>4.05</v>
      </c>
      <c r="J28" s="2701">
        <v>4.59</v>
      </c>
      <c r="L28" s="2701"/>
      <c r="M28" s="2702">
        <v>39751</v>
      </c>
      <c r="N28" s="2701">
        <v>0.72</v>
      </c>
      <c r="O28" s="2701">
        <v>2.88</v>
      </c>
      <c r="P28" s="2701">
        <v>3.24</v>
      </c>
      <c r="Q28" s="2701">
        <v>3.6</v>
      </c>
      <c r="R28" s="2701">
        <v>4.1399999999999997</v>
      </c>
      <c r="S28" s="2701">
        <v>4.7699999999999996</v>
      </c>
      <c r="T28" s="2701">
        <v>5.13</v>
      </c>
      <c r="U28" s="2701">
        <v>2.88</v>
      </c>
      <c r="V28" s="2701">
        <v>3.24</v>
      </c>
      <c r="W28" s="2701">
        <v>3.6</v>
      </c>
      <c r="X28" s="2701">
        <v>1.53</v>
      </c>
      <c r="Y28" s="2701">
        <v>1.17</v>
      </c>
      <c r="Z28" s="2701">
        <v>1.71</v>
      </c>
    </row>
    <row r="29" spans="2:26">
      <c r="B29" s="2701"/>
      <c r="C29" s="2704">
        <v>39748</v>
      </c>
      <c r="D29" s="2701">
        <v>6.12</v>
      </c>
      <c r="E29" s="2701">
        <v>6.93</v>
      </c>
      <c r="F29" s="2701">
        <v>7.02</v>
      </c>
      <c r="G29" s="2701">
        <v>7.29</v>
      </c>
      <c r="H29" s="2701">
        <v>7.47</v>
      </c>
      <c r="I29" s="2701">
        <v>4.05</v>
      </c>
      <c r="J29" s="2701">
        <v>4.59</v>
      </c>
      <c r="L29" s="2701"/>
      <c r="M29" s="2704">
        <v>39736</v>
      </c>
      <c r="N29" s="2701">
        <v>0.72</v>
      </c>
      <c r="O29" s="2701">
        <v>3.15</v>
      </c>
      <c r="P29" s="2701">
        <v>3.51</v>
      </c>
      <c r="Q29" s="2701">
        <v>3.87</v>
      </c>
      <c r="R29" s="2701">
        <v>4.41</v>
      </c>
      <c r="S29" s="2701">
        <v>5.13</v>
      </c>
      <c r="T29" s="2701">
        <v>5.58</v>
      </c>
      <c r="U29" s="2701">
        <v>3.15</v>
      </c>
      <c r="V29" s="2701">
        <v>3.51</v>
      </c>
      <c r="W29" s="2701">
        <v>3.87</v>
      </c>
      <c r="X29" s="2701">
        <v>1.53</v>
      </c>
      <c r="Y29" s="2701">
        <v>1.17</v>
      </c>
      <c r="Z29" s="2701">
        <v>1.71</v>
      </c>
    </row>
    <row r="30" spans="2:26">
      <c r="B30" s="2701"/>
      <c r="C30" s="2702">
        <v>39730</v>
      </c>
      <c r="D30" s="2701">
        <v>6.12</v>
      </c>
      <c r="E30" s="2701">
        <v>6.93</v>
      </c>
      <c r="F30" s="2701">
        <v>7.02</v>
      </c>
      <c r="G30" s="2701">
        <v>7.29</v>
      </c>
      <c r="H30" s="2701">
        <v>7.47</v>
      </c>
      <c r="I30" s="2701">
        <v>4.32</v>
      </c>
      <c r="J30" s="2701">
        <v>4.8600000000000003</v>
      </c>
      <c r="L30" s="2701"/>
      <c r="M30" s="2702">
        <v>39730</v>
      </c>
      <c r="N30" s="2701">
        <v>0.72</v>
      </c>
      <c r="O30" s="2701">
        <v>3.15</v>
      </c>
      <c r="P30" s="2701">
        <v>3.51</v>
      </c>
      <c r="Q30" s="2701">
        <v>3.87</v>
      </c>
      <c r="R30" s="2701">
        <v>4.41</v>
      </c>
      <c r="S30" s="2701">
        <v>5.13</v>
      </c>
      <c r="T30" s="2701">
        <v>5.58</v>
      </c>
      <c r="U30" s="2701">
        <v>3.15</v>
      </c>
      <c r="V30" s="2701">
        <v>3.51</v>
      </c>
      <c r="W30" s="2701">
        <v>3.87</v>
      </c>
      <c r="X30" s="2701">
        <v>1.53</v>
      </c>
      <c r="Y30" s="2701">
        <v>1.17</v>
      </c>
      <c r="Z30" s="2701">
        <v>1.71</v>
      </c>
    </row>
    <row r="31" spans="2:26">
      <c r="B31" s="2701"/>
      <c r="C31" s="2702">
        <v>39707</v>
      </c>
      <c r="D31" s="2701">
        <v>6.21</v>
      </c>
      <c r="E31" s="2701">
        <v>7.2</v>
      </c>
      <c r="F31" s="2701">
        <v>7.29</v>
      </c>
      <c r="G31" s="2701">
        <v>7.56</v>
      </c>
      <c r="H31" s="2701">
        <v>7.74</v>
      </c>
      <c r="I31" s="2701">
        <v>4.59</v>
      </c>
      <c r="J31" s="2701">
        <v>5.13</v>
      </c>
      <c r="L31" s="2701"/>
      <c r="M31" s="2702">
        <v>39437</v>
      </c>
      <c r="N31" s="2701">
        <v>0.72</v>
      </c>
      <c r="O31" s="2701">
        <v>3.33</v>
      </c>
      <c r="P31" s="2701">
        <v>3.78</v>
      </c>
      <c r="Q31" s="2701">
        <v>4.1399999999999997</v>
      </c>
      <c r="R31" s="2701">
        <v>4.68</v>
      </c>
      <c r="S31" s="2701">
        <v>5.4</v>
      </c>
      <c r="T31" s="2701">
        <v>5.85</v>
      </c>
      <c r="U31" s="2701">
        <v>3.33</v>
      </c>
      <c r="V31" s="2701">
        <v>3.78</v>
      </c>
      <c r="W31" s="2701">
        <v>4.1399999999999997</v>
      </c>
      <c r="X31" s="2701">
        <v>1.53</v>
      </c>
      <c r="Y31" s="2701">
        <v>1.17</v>
      </c>
      <c r="Z31" s="2701">
        <v>1.71</v>
      </c>
    </row>
    <row r="32" spans="2:26">
      <c r="B32" s="2701"/>
      <c r="C32" s="2702">
        <v>39437</v>
      </c>
      <c r="D32" s="2701">
        <v>6.57</v>
      </c>
      <c r="E32" s="2701">
        <v>7.47</v>
      </c>
      <c r="F32" s="2701">
        <v>7.56</v>
      </c>
      <c r="G32" s="2701">
        <v>7.74</v>
      </c>
      <c r="H32" s="2701">
        <v>7.83</v>
      </c>
      <c r="I32" s="2701">
        <v>4.7699999999999996</v>
      </c>
      <c r="J32" s="2701">
        <v>5.22</v>
      </c>
      <c r="L32" s="2701"/>
      <c r="M32" s="2702">
        <v>39340</v>
      </c>
      <c r="N32" s="2701">
        <v>0.81</v>
      </c>
      <c r="O32" s="2701">
        <v>2.88</v>
      </c>
      <c r="P32" s="2701">
        <v>3.42</v>
      </c>
      <c r="Q32" s="2701">
        <v>3.87</v>
      </c>
      <c r="R32" s="2701">
        <v>4.5</v>
      </c>
      <c r="S32" s="2701">
        <v>5.22</v>
      </c>
      <c r="T32" s="2701">
        <v>5.76</v>
      </c>
      <c r="U32" s="2701">
        <v>2.88</v>
      </c>
      <c r="V32" s="2701">
        <v>3.42</v>
      </c>
      <c r="W32" s="2701">
        <v>3.87</v>
      </c>
      <c r="X32" s="2701">
        <v>1.53</v>
      </c>
      <c r="Y32" s="2701">
        <v>1.17</v>
      </c>
      <c r="Z32" s="2701">
        <v>1.71</v>
      </c>
    </row>
    <row r="33" spans="2:26">
      <c r="B33" s="2701"/>
      <c r="C33" s="2702">
        <v>39340</v>
      </c>
      <c r="D33" s="2701">
        <v>6.48</v>
      </c>
      <c r="E33" s="2701">
        <v>7.29</v>
      </c>
      <c r="F33" s="2701">
        <v>7.47</v>
      </c>
      <c r="G33" s="2701">
        <v>7.65</v>
      </c>
      <c r="H33" s="2701">
        <v>7.83</v>
      </c>
      <c r="I33" s="2701">
        <v>4.7699999999999996</v>
      </c>
      <c r="J33" s="2701">
        <v>5.22</v>
      </c>
      <c r="L33" s="2701"/>
      <c r="M33" s="2702">
        <v>39316</v>
      </c>
      <c r="N33" s="2701">
        <v>0.81</v>
      </c>
      <c r="O33" s="2701">
        <v>2.61</v>
      </c>
      <c r="P33" s="2701">
        <v>3.15</v>
      </c>
      <c r="Q33" s="2701">
        <v>3.6</v>
      </c>
      <c r="R33" s="2701">
        <v>4.2300000000000004</v>
      </c>
      <c r="S33" s="2701">
        <v>4.95</v>
      </c>
      <c r="T33" s="2701">
        <v>5.49</v>
      </c>
      <c r="U33" s="2701">
        <v>2.61</v>
      </c>
      <c r="V33" s="2701">
        <v>3.15</v>
      </c>
      <c r="W33" s="2701">
        <v>3.6</v>
      </c>
      <c r="X33" s="2701">
        <v>1.53</v>
      </c>
      <c r="Y33" s="2701">
        <v>1.17</v>
      </c>
      <c r="Z33" s="2701">
        <v>1.71</v>
      </c>
    </row>
    <row r="34" spans="2:26">
      <c r="B34" s="2701"/>
      <c r="C34" s="2702">
        <v>39316</v>
      </c>
      <c r="D34" s="2701">
        <v>6.21</v>
      </c>
      <c r="E34" s="2701">
        <v>7.02</v>
      </c>
      <c r="F34" s="2701">
        <v>7.2</v>
      </c>
      <c r="G34" s="2701">
        <v>7.38</v>
      </c>
      <c r="H34" s="2701">
        <v>7.56</v>
      </c>
      <c r="I34" s="2701">
        <v>4.59</v>
      </c>
      <c r="J34" s="2701">
        <v>5.04</v>
      </c>
      <c r="L34" s="2701"/>
      <c r="M34" s="2702">
        <v>39284</v>
      </c>
      <c r="N34" s="2701">
        <v>0.81</v>
      </c>
      <c r="O34" s="2701">
        <v>2.34</v>
      </c>
      <c r="P34" s="2701">
        <v>2.88</v>
      </c>
      <c r="Q34" s="2701">
        <v>3.33</v>
      </c>
      <c r="R34" s="2701">
        <v>3.96</v>
      </c>
      <c r="S34" s="2701">
        <v>4.68</v>
      </c>
      <c r="T34" s="2701">
        <v>5.22</v>
      </c>
      <c r="U34" s="2701">
        <v>2.34</v>
      </c>
      <c r="V34" s="2701">
        <v>2.88</v>
      </c>
      <c r="W34" s="2701">
        <v>3.33</v>
      </c>
      <c r="X34" s="2701">
        <v>1.53</v>
      </c>
      <c r="Y34" s="2701">
        <v>1.17</v>
      </c>
      <c r="Z34" s="2701">
        <v>1.71</v>
      </c>
    </row>
    <row r="35" spans="2:26">
      <c r="B35" s="2701"/>
      <c r="C35" s="2702">
        <v>39284</v>
      </c>
      <c r="D35" s="2701">
        <v>6.03</v>
      </c>
      <c r="E35" s="2701">
        <v>6.84</v>
      </c>
      <c r="F35" s="2701">
        <v>7.02</v>
      </c>
      <c r="G35" s="2701">
        <v>7.2</v>
      </c>
      <c r="H35" s="2701">
        <v>7.38</v>
      </c>
      <c r="I35" s="2701">
        <v>4.5</v>
      </c>
      <c r="J35" s="2701">
        <v>4.95</v>
      </c>
      <c r="L35" s="2701"/>
      <c r="M35" s="2702">
        <v>39221</v>
      </c>
      <c r="N35" s="2701">
        <v>0.72</v>
      </c>
      <c r="O35" s="2701">
        <v>2.0699999999999998</v>
      </c>
      <c r="P35" s="2701">
        <v>2.61</v>
      </c>
      <c r="Q35" s="2701">
        <v>3.06</v>
      </c>
      <c r="R35" s="2701">
        <v>3.69</v>
      </c>
      <c r="S35" s="2701">
        <v>4.41</v>
      </c>
      <c r="T35" s="2701">
        <v>4.95</v>
      </c>
      <c r="U35" s="2701">
        <v>2.0699999999999998</v>
      </c>
      <c r="V35" s="2701">
        <v>2.61</v>
      </c>
      <c r="W35" s="2701">
        <v>3.06</v>
      </c>
      <c r="X35" s="2701">
        <v>1.44</v>
      </c>
      <c r="Y35" s="2701">
        <v>1.08</v>
      </c>
      <c r="Z35" s="2701">
        <v>1.62</v>
      </c>
    </row>
    <row r="36" spans="2:26">
      <c r="B36" s="2701"/>
      <c r="C36" s="2702">
        <v>39221</v>
      </c>
      <c r="D36" s="2701">
        <v>5.85</v>
      </c>
      <c r="E36" s="2701">
        <v>6.57</v>
      </c>
      <c r="F36" s="2701">
        <v>6.75</v>
      </c>
      <c r="G36" s="2701">
        <v>6.93</v>
      </c>
      <c r="H36" s="2701">
        <v>7.2</v>
      </c>
      <c r="I36" s="2701">
        <v>4.41</v>
      </c>
      <c r="J36" s="2701">
        <v>4.8600000000000003</v>
      </c>
      <c r="L36" s="2701"/>
      <c r="M36" s="2702">
        <v>39159</v>
      </c>
      <c r="N36" s="2701">
        <v>0.72</v>
      </c>
      <c r="O36" s="2701">
        <v>1.98</v>
      </c>
      <c r="P36" s="2701">
        <v>2.4300000000000002</v>
      </c>
      <c r="Q36" s="2701">
        <v>2.79</v>
      </c>
      <c r="R36" s="2701">
        <v>3.33</v>
      </c>
      <c r="S36" s="2701">
        <v>3.96</v>
      </c>
      <c r="T36" s="2701">
        <v>4.41</v>
      </c>
      <c r="U36" s="2701">
        <v>1.98</v>
      </c>
      <c r="V36" s="2701">
        <v>2.4300000000000002</v>
      </c>
      <c r="W36" s="2701">
        <v>2.79</v>
      </c>
      <c r="X36" s="2701">
        <v>1.44</v>
      </c>
      <c r="Y36" s="2701">
        <v>1.08</v>
      </c>
      <c r="Z36" s="2701">
        <v>1.62</v>
      </c>
    </row>
    <row r="37" spans="2:26">
      <c r="B37" s="2701"/>
      <c r="C37" s="2702">
        <v>39159</v>
      </c>
      <c r="D37" s="2701">
        <v>5.67</v>
      </c>
      <c r="E37" s="2701">
        <v>6.39</v>
      </c>
      <c r="F37" s="2701">
        <v>6.57</v>
      </c>
      <c r="G37" s="2701">
        <v>6.75</v>
      </c>
      <c r="H37" s="2701">
        <v>7.11</v>
      </c>
      <c r="I37" s="2701">
        <v>4.32</v>
      </c>
      <c r="J37" s="2701">
        <v>4.7699999999999996</v>
      </c>
      <c r="L37" s="2701"/>
      <c r="M37" s="2702">
        <v>38948</v>
      </c>
      <c r="N37" s="2701">
        <v>0.72</v>
      </c>
      <c r="O37" s="2701">
        <v>1.8</v>
      </c>
      <c r="P37" s="2701">
        <v>2.25</v>
      </c>
      <c r="Q37" s="2701">
        <v>2.52</v>
      </c>
      <c r="R37" s="2701">
        <v>3.06</v>
      </c>
      <c r="S37" s="2701">
        <v>3.69</v>
      </c>
      <c r="T37" s="2701">
        <v>4.1399999999999997</v>
      </c>
      <c r="U37" s="2701">
        <v>1.8</v>
      </c>
      <c r="V37" s="2701">
        <v>2.25</v>
      </c>
      <c r="W37" s="2701">
        <v>2.52</v>
      </c>
      <c r="X37" s="2701">
        <v>1.44</v>
      </c>
      <c r="Y37" s="2701">
        <v>1.08</v>
      </c>
      <c r="Z37" s="2701">
        <v>1.62</v>
      </c>
    </row>
    <row r="38" spans="2:26">
      <c r="B38" s="2701"/>
      <c r="C38" s="2702">
        <v>38948</v>
      </c>
      <c r="D38" s="2701">
        <v>5.58</v>
      </c>
      <c r="E38" s="2701">
        <v>6.12</v>
      </c>
      <c r="F38" s="2701">
        <v>6.3</v>
      </c>
      <c r="G38" s="2701">
        <v>6.48</v>
      </c>
      <c r="H38" s="2701">
        <v>6.84</v>
      </c>
      <c r="I38" s="2701">
        <v>4.1399999999999997</v>
      </c>
      <c r="J38" s="2701">
        <v>4.59</v>
      </c>
      <c r="L38" s="2701"/>
      <c r="M38" s="2702">
        <v>38289</v>
      </c>
      <c r="N38" s="2701">
        <v>0.72</v>
      </c>
      <c r="O38" s="2701">
        <v>1.71</v>
      </c>
      <c r="P38" s="2701">
        <v>2.0699999999999998</v>
      </c>
      <c r="Q38" s="2701">
        <v>2.25</v>
      </c>
      <c r="R38" s="2701">
        <v>2.7</v>
      </c>
      <c r="S38" s="2701">
        <v>3.24</v>
      </c>
      <c r="T38" s="2701">
        <v>3.6</v>
      </c>
      <c r="U38" s="2701">
        <v>1.71</v>
      </c>
      <c r="V38" s="2701">
        <v>2.0699999999999998</v>
      </c>
      <c r="W38" s="2701">
        <v>2.25</v>
      </c>
      <c r="X38" s="2701">
        <v>1.44</v>
      </c>
      <c r="Y38" s="2701">
        <v>1.08</v>
      </c>
      <c r="Z38" s="2701">
        <v>1.62</v>
      </c>
    </row>
    <row r="39" spans="2:26">
      <c r="B39" s="2701"/>
      <c r="C39" s="2702">
        <v>38835</v>
      </c>
      <c r="D39" s="2701">
        <v>5.4</v>
      </c>
      <c r="E39" s="2701">
        <v>5.85</v>
      </c>
      <c r="F39" s="2701">
        <v>6.03</v>
      </c>
      <c r="G39" s="2701">
        <v>6.12</v>
      </c>
      <c r="H39" s="2701">
        <v>6.39</v>
      </c>
      <c r="I39" s="2701">
        <v>4.1399999999999997</v>
      </c>
      <c r="J39" s="2701">
        <v>4.59</v>
      </c>
      <c r="L39" s="2701"/>
      <c r="M39" s="2702">
        <v>37308</v>
      </c>
      <c r="N39" s="2701">
        <v>0.72</v>
      </c>
      <c r="O39" s="2701">
        <v>1.71</v>
      </c>
      <c r="P39" s="2701">
        <v>1.89</v>
      </c>
      <c r="Q39" s="2701">
        <v>1.98</v>
      </c>
      <c r="R39" s="2701">
        <v>2.25</v>
      </c>
      <c r="S39" s="2701">
        <v>2.52</v>
      </c>
      <c r="T39" s="2701">
        <v>2.79</v>
      </c>
      <c r="U39" s="2701">
        <v>1.71</v>
      </c>
      <c r="V39" s="2701">
        <v>1.89</v>
      </c>
      <c r="W39" s="2701">
        <v>1.98</v>
      </c>
      <c r="X39" s="2701">
        <v>1.44</v>
      </c>
      <c r="Y39" s="2701">
        <v>1.08</v>
      </c>
      <c r="Z39" s="2701">
        <v>1.62</v>
      </c>
    </row>
    <row r="40" spans="2:26">
      <c r="B40" s="2701"/>
      <c r="C40" s="2702">
        <v>38428</v>
      </c>
      <c r="D40" s="2701">
        <v>5.22</v>
      </c>
      <c r="E40" s="2701">
        <v>5.58</v>
      </c>
      <c r="F40" s="2701">
        <v>5.76</v>
      </c>
      <c r="G40" s="2701">
        <v>5.85</v>
      </c>
      <c r="H40" s="2701">
        <v>6.12</v>
      </c>
      <c r="I40" s="2701">
        <v>3.96</v>
      </c>
      <c r="J40" s="2701">
        <v>4.41</v>
      </c>
      <c r="L40" s="2701"/>
      <c r="M40" s="2702">
        <v>36321</v>
      </c>
      <c r="N40" s="2701">
        <v>0.99</v>
      </c>
      <c r="O40" s="2701">
        <v>1.98</v>
      </c>
      <c r="P40" s="2701">
        <v>2.16</v>
      </c>
      <c r="Q40" s="2701">
        <v>2.25</v>
      </c>
      <c r="R40" s="2701">
        <v>2.4300000000000002</v>
      </c>
      <c r="S40" s="2701">
        <v>2.7</v>
      </c>
      <c r="T40" s="2701">
        <v>2.88</v>
      </c>
      <c r="U40" s="2701">
        <v>1.98</v>
      </c>
      <c r="V40" s="2701">
        <v>2.16</v>
      </c>
      <c r="W40" s="2701">
        <v>2.25</v>
      </c>
      <c r="X40" s="2701">
        <v>1.71</v>
      </c>
      <c r="Y40" s="2701">
        <v>1.35</v>
      </c>
      <c r="Z40" s="2701">
        <v>1.89</v>
      </c>
    </row>
    <row r="41" spans="2:26">
      <c r="B41" s="2701"/>
      <c r="C41" s="2702">
        <v>38289</v>
      </c>
      <c r="D41" s="2701">
        <v>5.22</v>
      </c>
      <c r="E41" s="2701">
        <v>5.58</v>
      </c>
      <c r="F41" s="2701">
        <v>5.76</v>
      </c>
      <c r="G41" s="2701">
        <v>5.85</v>
      </c>
      <c r="H41" s="2701">
        <v>6.12</v>
      </c>
      <c r="I41" s="2701">
        <v>3.78</v>
      </c>
      <c r="J41" s="2701">
        <v>4.2300000000000004</v>
      </c>
      <c r="L41" s="2701"/>
      <c r="M41" s="2702">
        <v>36136</v>
      </c>
      <c r="N41" s="2701">
        <v>1.44</v>
      </c>
      <c r="O41" s="2701">
        <v>2.79</v>
      </c>
      <c r="P41" s="2701">
        <v>3.33</v>
      </c>
      <c r="Q41" s="2701">
        <v>3.78</v>
      </c>
      <c r="R41" s="2701">
        <v>3.96</v>
      </c>
      <c r="S41" s="2701">
        <v>4.1399999999999997</v>
      </c>
      <c r="T41" s="2701">
        <v>4.5</v>
      </c>
      <c r="U41" s="2701">
        <v>3.33</v>
      </c>
      <c r="V41" s="2701">
        <v>3.78</v>
      </c>
      <c r="W41" s="2701">
        <v>4.1399999999999997</v>
      </c>
      <c r="X41" s="2701">
        <v>2.16</v>
      </c>
      <c r="Y41" s="2701">
        <v>1.8</v>
      </c>
      <c r="Z41" s="2701">
        <v>2.34</v>
      </c>
    </row>
    <row r="42" spans="2:26">
      <c r="B42" s="2701"/>
      <c r="C42" s="2702">
        <v>37308</v>
      </c>
      <c r="D42" s="2701">
        <v>5.04</v>
      </c>
      <c r="E42" s="2701">
        <v>5.31</v>
      </c>
      <c r="F42" s="2701">
        <v>5.49</v>
      </c>
      <c r="G42" s="2701">
        <v>5.58</v>
      </c>
      <c r="H42" s="2701">
        <v>5.76</v>
      </c>
      <c r="I42" s="2701">
        <v>3.6</v>
      </c>
      <c r="J42" s="2701">
        <v>4.05</v>
      </c>
      <c r="L42" s="2701"/>
      <c r="M42" s="2702">
        <v>35977</v>
      </c>
      <c r="N42" s="2701">
        <v>1.44</v>
      </c>
      <c r="O42" s="2701">
        <v>2.79</v>
      </c>
      <c r="P42" s="2701">
        <v>3.96</v>
      </c>
      <c r="Q42" s="2701">
        <v>4.7699999999999996</v>
      </c>
      <c r="R42" s="2701">
        <v>4.8600000000000003</v>
      </c>
      <c r="S42" s="2701">
        <v>4.95</v>
      </c>
      <c r="T42" s="2701">
        <v>5.22</v>
      </c>
      <c r="U42" s="2701">
        <v>3.96</v>
      </c>
      <c r="V42" s="2701">
        <v>4.7699999999999996</v>
      </c>
      <c r="W42" s="2701">
        <v>4.95</v>
      </c>
      <c r="X42" s="2701" t="s">
        <v>2750</v>
      </c>
      <c r="Y42" s="2701" t="s">
        <v>2750</v>
      </c>
      <c r="Z42" s="2701" t="s">
        <v>2750</v>
      </c>
    </row>
    <row r="43" spans="2:26">
      <c r="B43" s="2701"/>
      <c r="C43" s="2702">
        <v>36321</v>
      </c>
      <c r="D43" s="2701">
        <v>5.58</v>
      </c>
      <c r="E43" s="2701">
        <v>5.85</v>
      </c>
      <c r="F43" s="2701">
        <v>5.94</v>
      </c>
      <c r="G43" s="2701">
        <v>6.03</v>
      </c>
      <c r="H43" s="2701">
        <v>6.21</v>
      </c>
      <c r="I43" s="2701">
        <v>4.1399999999999997</v>
      </c>
      <c r="J43" s="2701">
        <v>4.59</v>
      </c>
      <c r="L43" s="2701"/>
      <c r="M43" s="2702">
        <v>35879</v>
      </c>
      <c r="N43" s="2701">
        <v>1.71</v>
      </c>
      <c r="O43" s="2701">
        <v>2.88</v>
      </c>
      <c r="P43" s="2701">
        <v>4.1399999999999997</v>
      </c>
      <c r="Q43" s="2701">
        <v>5.22</v>
      </c>
      <c r="R43" s="2701">
        <v>5.58</v>
      </c>
      <c r="S43" s="2701">
        <v>6.21</v>
      </c>
      <c r="T43" s="2701">
        <v>6.66</v>
      </c>
      <c r="U43" s="2701">
        <v>4.1399999999999997</v>
      </c>
      <c r="V43" s="2701">
        <v>5.22</v>
      </c>
      <c r="W43" s="2701">
        <v>6.21</v>
      </c>
      <c r="X43" s="2701" t="s">
        <v>2750</v>
      </c>
      <c r="Y43" s="2701" t="s">
        <v>2750</v>
      </c>
      <c r="Z43" s="2701" t="s">
        <v>2750</v>
      </c>
    </row>
    <row r="44" spans="2:26">
      <c r="B44" s="2701"/>
      <c r="C44" s="2702">
        <v>36136</v>
      </c>
      <c r="D44" s="2701">
        <v>6.12</v>
      </c>
      <c r="E44" s="2701">
        <v>6.39</v>
      </c>
      <c r="F44" s="2701">
        <v>6.66</v>
      </c>
      <c r="G44" s="2701">
        <v>7.2</v>
      </c>
      <c r="H44" s="2701">
        <v>7.56</v>
      </c>
      <c r="I44" s="2701">
        <v>0</v>
      </c>
      <c r="J44" s="2701">
        <v>0</v>
      </c>
      <c r="L44" s="2701"/>
      <c r="M44" s="2702">
        <v>35726</v>
      </c>
      <c r="N44" s="2701">
        <v>1.71</v>
      </c>
      <c r="O44" s="2701">
        <v>2.88</v>
      </c>
      <c r="P44" s="2701">
        <v>4.1399999999999997</v>
      </c>
      <c r="Q44" s="2701">
        <v>5.67</v>
      </c>
      <c r="R44" s="2701">
        <v>5.94</v>
      </c>
      <c r="S44" s="2701">
        <v>6.21</v>
      </c>
      <c r="T44" s="2701">
        <v>6.66</v>
      </c>
      <c r="U44" s="2701">
        <v>4.1399999999999997</v>
      </c>
      <c r="V44" s="2701">
        <v>5.67</v>
      </c>
      <c r="W44" s="2701">
        <v>6.21</v>
      </c>
      <c r="X44" s="2701" t="s">
        <v>2750</v>
      </c>
      <c r="Y44" s="2701" t="s">
        <v>2750</v>
      </c>
      <c r="Z44" s="2701" t="s">
        <v>2750</v>
      </c>
    </row>
    <row r="45" spans="2:26">
      <c r="B45" s="2701"/>
      <c r="C45" s="2702">
        <v>35977</v>
      </c>
      <c r="D45" s="2701">
        <v>6.57</v>
      </c>
      <c r="E45" s="2701">
        <v>6.93</v>
      </c>
      <c r="F45" s="2701">
        <v>7.11</v>
      </c>
      <c r="G45" s="2701">
        <v>7.65</v>
      </c>
      <c r="H45" s="2701">
        <v>8.01</v>
      </c>
      <c r="I45" s="2701">
        <v>0</v>
      </c>
      <c r="J45" s="2701">
        <v>0</v>
      </c>
      <c r="L45" s="2701"/>
      <c r="M45" s="2702">
        <v>35300</v>
      </c>
      <c r="N45" s="2701">
        <v>1.98</v>
      </c>
      <c r="O45" s="2701">
        <v>3.33</v>
      </c>
      <c r="P45" s="2701">
        <v>5.4</v>
      </c>
      <c r="Q45" s="2701">
        <v>7.47</v>
      </c>
      <c r="R45" s="2701">
        <v>7.92</v>
      </c>
      <c r="S45" s="2701">
        <v>8.2799999999999994</v>
      </c>
      <c r="T45" s="2701">
        <v>9</v>
      </c>
      <c r="U45" s="2701">
        <v>5.4</v>
      </c>
      <c r="V45" s="2701">
        <v>7.47</v>
      </c>
      <c r="W45" s="2701">
        <v>8.2799999999999994</v>
      </c>
      <c r="X45" s="2701" t="s">
        <v>2750</v>
      </c>
      <c r="Y45" s="2701" t="s">
        <v>2750</v>
      </c>
      <c r="Z45" s="2701" t="s">
        <v>2750</v>
      </c>
    </row>
    <row r="46" spans="2:26">
      <c r="B46" s="2701"/>
      <c r="C46" s="2702">
        <v>35879</v>
      </c>
      <c r="D46" s="2701">
        <v>7.02</v>
      </c>
      <c r="E46" s="2701">
        <v>7.92</v>
      </c>
      <c r="F46" s="2701">
        <v>9</v>
      </c>
      <c r="G46" s="2701">
        <v>9.7200000000000006</v>
      </c>
      <c r="H46" s="2701">
        <v>10.35</v>
      </c>
      <c r="I46" s="2701">
        <v>0</v>
      </c>
      <c r="J46" s="2701">
        <v>0</v>
      </c>
      <c r="L46" s="2701"/>
      <c r="M46" s="2702">
        <v>35186</v>
      </c>
      <c r="N46" s="2701">
        <v>2.97</v>
      </c>
      <c r="O46" s="2701">
        <v>4.8600000000000003</v>
      </c>
      <c r="P46" s="2701">
        <v>7.2</v>
      </c>
      <c r="Q46" s="2701">
        <v>9.18</v>
      </c>
      <c r="R46" s="2701">
        <v>9.9</v>
      </c>
      <c r="S46" s="2701">
        <v>10.8</v>
      </c>
      <c r="T46" s="2701">
        <v>12.06</v>
      </c>
      <c r="U46" s="2701">
        <v>7.2</v>
      </c>
      <c r="V46" s="2701">
        <v>9.18</v>
      </c>
      <c r="W46" s="2701">
        <v>10.8</v>
      </c>
      <c r="X46" s="2701" t="s">
        <v>2750</v>
      </c>
      <c r="Y46" s="2701" t="s">
        <v>2750</v>
      </c>
      <c r="Z46" s="2701" t="s">
        <v>2750</v>
      </c>
    </row>
    <row r="47" spans="2:26">
      <c r="B47" s="2701"/>
      <c r="C47" s="2702">
        <v>35726</v>
      </c>
      <c r="D47" s="2701">
        <v>7.65</v>
      </c>
      <c r="E47" s="2701">
        <v>8.64</v>
      </c>
      <c r="F47" s="2701">
        <v>9.36</v>
      </c>
      <c r="G47" s="2701">
        <v>9.9</v>
      </c>
      <c r="H47" s="2701">
        <v>10.53</v>
      </c>
      <c r="I47" s="2701">
        <v>0</v>
      </c>
      <c r="J47" s="2701">
        <v>0</v>
      </c>
      <c r="L47" s="2701"/>
      <c r="M47" s="2702">
        <v>34161</v>
      </c>
      <c r="N47" s="2701">
        <v>3.15</v>
      </c>
      <c r="O47" s="2701">
        <v>6.66</v>
      </c>
      <c r="P47" s="2701">
        <v>9</v>
      </c>
      <c r="Q47" s="2701">
        <v>10.98</v>
      </c>
      <c r="R47" s="2701">
        <v>11.7</v>
      </c>
      <c r="S47" s="2701">
        <v>12.24</v>
      </c>
      <c r="T47" s="2701">
        <v>13.86</v>
      </c>
      <c r="U47" s="2701">
        <v>9</v>
      </c>
      <c r="V47" s="2701">
        <v>10.98</v>
      </c>
      <c r="W47" s="2701">
        <v>12.24</v>
      </c>
      <c r="X47" s="2701" t="s">
        <v>2750</v>
      </c>
      <c r="Y47" s="2701" t="s">
        <v>2750</v>
      </c>
      <c r="Z47" s="2701" t="s">
        <v>2750</v>
      </c>
    </row>
    <row r="48" spans="2:26">
      <c r="B48" s="2701"/>
      <c r="C48" s="2702">
        <v>35300</v>
      </c>
      <c r="D48" s="2701">
        <v>9.18</v>
      </c>
      <c r="E48" s="2701">
        <v>10.08</v>
      </c>
      <c r="F48" s="2701">
        <v>10.98</v>
      </c>
      <c r="G48" s="2701">
        <v>11.7</v>
      </c>
      <c r="H48" s="2701">
        <v>12.42</v>
      </c>
      <c r="I48" s="2701">
        <v>0</v>
      </c>
      <c r="J48" s="2701">
        <v>0</v>
      </c>
      <c r="L48" s="2701"/>
      <c r="M48" s="2702">
        <v>34104</v>
      </c>
      <c r="N48" s="2701">
        <v>2.16</v>
      </c>
      <c r="O48" s="2701">
        <v>4.8600000000000003</v>
      </c>
      <c r="P48" s="2701">
        <v>7.2</v>
      </c>
      <c r="Q48" s="2701">
        <v>9.18</v>
      </c>
      <c r="R48" s="2701">
        <v>9.9</v>
      </c>
      <c r="S48" s="2701">
        <v>10.8</v>
      </c>
      <c r="T48" s="2701">
        <v>12.06</v>
      </c>
      <c r="U48" s="2701">
        <v>7.2</v>
      </c>
      <c r="V48" s="2701">
        <v>9.18</v>
      </c>
      <c r="W48" s="2701">
        <v>10.8</v>
      </c>
      <c r="X48" s="2701" t="s">
        <v>2750</v>
      </c>
      <c r="Y48" s="2701" t="s">
        <v>2750</v>
      </c>
      <c r="Z48" s="2701" t="s">
        <v>2750</v>
      </c>
    </row>
    <row r="49" spans="2:26">
      <c r="B49" s="2701"/>
      <c r="C49" s="2702">
        <v>35186</v>
      </c>
      <c r="D49" s="2701">
        <v>9.7200000000000006</v>
      </c>
      <c r="E49" s="2701">
        <v>10.98</v>
      </c>
      <c r="F49" s="2701">
        <v>13.14</v>
      </c>
      <c r="G49" s="2701">
        <v>14.94</v>
      </c>
      <c r="H49" s="2701">
        <v>15.12</v>
      </c>
      <c r="I49" s="2701">
        <v>0</v>
      </c>
      <c r="J49" s="2701">
        <v>0</v>
      </c>
      <c r="L49" s="2701"/>
      <c r="M49" s="2702">
        <v>33349</v>
      </c>
      <c r="N49" s="2701">
        <v>1.8</v>
      </c>
      <c r="O49" s="2701">
        <v>3.24</v>
      </c>
      <c r="P49" s="2701">
        <v>5.4</v>
      </c>
      <c r="Q49" s="2701">
        <v>7.56</v>
      </c>
      <c r="R49" s="2701">
        <v>7.92</v>
      </c>
      <c r="S49" s="2701">
        <v>8.2799999999999994</v>
      </c>
      <c r="T49" s="2701">
        <v>9</v>
      </c>
      <c r="U49" s="2701">
        <v>6.12</v>
      </c>
      <c r="V49" s="2701">
        <v>6.84</v>
      </c>
      <c r="W49" s="2701">
        <v>7.56</v>
      </c>
      <c r="X49" s="2701" t="s">
        <v>2750</v>
      </c>
      <c r="Y49" s="2701" t="s">
        <v>2750</v>
      </c>
      <c r="Z49" s="2701" t="s">
        <v>2750</v>
      </c>
    </row>
    <row r="50" spans="2:26">
      <c r="B50" s="2701"/>
      <c r="C50" s="2702">
        <v>34881</v>
      </c>
      <c r="D50" s="2701">
        <v>10.08</v>
      </c>
      <c r="E50" s="2701">
        <v>12.06</v>
      </c>
      <c r="F50" s="2701">
        <v>13.5</v>
      </c>
      <c r="G50" s="2701">
        <v>15.12</v>
      </c>
      <c r="H50" s="2701">
        <v>15.3</v>
      </c>
      <c r="I50" s="2701">
        <v>0</v>
      </c>
      <c r="J50" s="2701">
        <v>0</v>
      </c>
      <c r="L50" s="2701"/>
      <c r="M50" s="2702">
        <v>33106</v>
      </c>
      <c r="N50" s="2701">
        <v>2.16</v>
      </c>
      <c r="O50" s="2701">
        <v>4.32</v>
      </c>
      <c r="P50" s="2701">
        <v>6.48</v>
      </c>
      <c r="Q50" s="2701">
        <v>8.64</v>
      </c>
      <c r="R50" s="2701">
        <v>9.36</v>
      </c>
      <c r="S50" s="2701">
        <v>10.08</v>
      </c>
      <c r="T50" s="2701">
        <v>11.52</v>
      </c>
      <c r="U50" s="2701">
        <v>7.2</v>
      </c>
      <c r="V50" s="2701">
        <v>8.64</v>
      </c>
      <c r="W50" s="2701">
        <v>10.08</v>
      </c>
      <c r="X50" s="2701" t="s">
        <v>2750</v>
      </c>
      <c r="Y50" s="2701" t="s">
        <v>2750</v>
      </c>
      <c r="Z50" s="2701" t="s">
        <v>2750</v>
      </c>
    </row>
    <row r="51" spans="2:26">
      <c r="B51" s="2701"/>
      <c r="C51" s="2702">
        <v>34700</v>
      </c>
      <c r="D51" s="2701">
        <v>9</v>
      </c>
      <c r="E51" s="2701">
        <v>10.98</v>
      </c>
      <c r="F51" s="2701">
        <v>12.96</v>
      </c>
      <c r="G51" s="2701">
        <v>14.58</v>
      </c>
      <c r="H51" s="2701">
        <v>14.76</v>
      </c>
      <c r="I51" s="2701">
        <v>0</v>
      </c>
      <c r="J51" s="2701">
        <v>0</v>
      </c>
      <c r="L51" s="2701"/>
      <c r="M51" s="2702">
        <v>32978</v>
      </c>
      <c r="N51" s="2701">
        <v>2.88</v>
      </c>
      <c r="O51" s="2701">
        <v>6.3</v>
      </c>
      <c r="P51" s="2701">
        <v>7.74</v>
      </c>
      <c r="Q51" s="2701">
        <v>10.08</v>
      </c>
      <c r="R51" s="2701">
        <v>10.98</v>
      </c>
      <c r="S51" s="2701">
        <v>11.88</v>
      </c>
      <c r="T51" s="2701">
        <v>13.68</v>
      </c>
      <c r="U51" s="2701" t="s">
        <v>2750</v>
      </c>
      <c r="V51" s="2701" t="s">
        <v>2750</v>
      </c>
      <c r="W51" s="2701" t="s">
        <v>2750</v>
      </c>
      <c r="X51" s="2701" t="s">
        <v>2750</v>
      </c>
      <c r="Y51" s="2701" t="s">
        <v>2750</v>
      </c>
      <c r="Z51" s="2701" t="s">
        <v>2750</v>
      </c>
    </row>
    <row r="52" spans="2:26">
      <c r="B52" s="2701"/>
      <c r="C52" s="2702">
        <v>34161</v>
      </c>
      <c r="D52" s="2701">
        <v>9</v>
      </c>
      <c r="E52" s="2701">
        <v>10.98</v>
      </c>
      <c r="F52" s="2701">
        <v>12.24</v>
      </c>
      <c r="G52" s="2701">
        <v>13.86</v>
      </c>
      <c r="H52" s="2701">
        <v>14.04</v>
      </c>
      <c r="I52" s="2701">
        <v>0</v>
      </c>
      <c r="J52" s="2701">
        <v>0</v>
      </c>
      <c r="L52" s="2701"/>
      <c r="M52" s="2702"/>
      <c r="N52" s="2701"/>
      <c r="O52" s="2701"/>
      <c r="P52" s="2701"/>
      <c r="Q52" s="2701"/>
      <c r="R52" s="2701"/>
      <c r="S52" s="2701"/>
      <c r="T52" s="2701"/>
      <c r="U52" s="2701"/>
      <c r="V52" s="2701"/>
      <c r="W52" s="2701"/>
      <c r="X52" s="2701"/>
      <c r="Y52" s="2701"/>
      <c r="Z52" s="2701"/>
    </row>
    <row r="53" spans="2:26">
      <c r="B53" s="2701"/>
      <c r="C53" s="2702">
        <v>34104</v>
      </c>
      <c r="D53" s="2701">
        <v>8.82</v>
      </c>
      <c r="E53" s="2701">
        <v>9.36</v>
      </c>
      <c r="F53" s="2701">
        <v>10.8</v>
      </c>
      <c r="G53" s="2701">
        <v>12.06</v>
      </c>
      <c r="H53" s="2701">
        <v>12.24</v>
      </c>
      <c r="I53" s="2701">
        <v>0</v>
      </c>
      <c r="J53" s="2701">
        <v>0</v>
      </c>
      <c r="L53" s="2701"/>
      <c r="M53" s="2702"/>
      <c r="N53" s="2701"/>
      <c r="O53" s="2701"/>
      <c r="P53" s="2701"/>
      <c r="Q53" s="2701"/>
      <c r="R53" s="2701"/>
      <c r="S53" s="2701"/>
      <c r="T53" s="2701"/>
      <c r="U53" s="2701"/>
      <c r="V53" s="2701"/>
      <c r="W53" s="2701"/>
      <c r="X53" s="2701"/>
      <c r="Y53" s="2701"/>
      <c r="Z53" s="2701"/>
    </row>
    <row r="54" spans="2:26">
      <c r="B54" s="2701"/>
      <c r="C54" s="2702">
        <v>33349</v>
      </c>
      <c r="D54" s="2701">
        <v>8.1</v>
      </c>
      <c r="E54" s="2701">
        <v>8.64</v>
      </c>
      <c r="F54" s="2701">
        <v>9</v>
      </c>
      <c r="G54" s="2701">
        <v>9.5399999999999991</v>
      </c>
      <c r="H54" s="2701">
        <v>9.7200000000000006</v>
      </c>
      <c r="I54" s="2701">
        <v>0</v>
      </c>
      <c r="J54" s="2701">
        <v>0</v>
      </c>
      <c r="L54" s="2701"/>
      <c r="M54" s="2702"/>
      <c r="N54" s="2701"/>
      <c r="O54" s="2701"/>
      <c r="P54" s="2701"/>
      <c r="Q54" s="2701"/>
      <c r="R54" s="2701"/>
      <c r="S54" s="2701"/>
      <c r="T54" s="2701"/>
      <c r="U54" s="2701"/>
      <c r="V54" s="2701"/>
      <c r="W54" s="2701"/>
      <c r="X54" s="2701"/>
      <c r="Y54" s="2701"/>
      <c r="Z54" s="2701"/>
    </row>
    <row r="55" spans="2:26">
      <c r="B55" s="2701"/>
      <c r="C55" s="2702">
        <v>33318</v>
      </c>
      <c r="D55" s="2701">
        <v>9</v>
      </c>
      <c r="E55" s="2701">
        <v>10.08</v>
      </c>
      <c r="F55" s="2701">
        <v>10.8</v>
      </c>
      <c r="G55" s="2701">
        <v>11.52</v>
      </c>
      <c r="H55" s="2701">
        <v>11.88</v>
      </c>
      <c r="I55" s="2701" t="s">
        <v>2750</v>
      </c>
      <c r="J55" s="2701" t="s">
        <v>2750</v>
      </c>
      <c r="L55" s="2701"/>
      <c r="M55" s="2702"/>
      <c r="N55" s="2701"/>
      <c r="O55" s="2701"/>
      <c r="P55" s="2701"/>
      <c r="Q55" s="2701"/>
      <c r="R55" s="2701"/>
      <c r="S55" s="2701"/>
      <c r="T55" s="2701"/>
      <c r="U55" s="2701"/>
      <c r="V55" s="2701"/>
      <c r="W55" s="2701"/>
      <c r="X55" s="2701"/>
      <c r="Y55" s="2701"/>
      <c r="Z55" s="2701"/>
    </row>
    <row r="56" spans="2:26">
      <c r="B56" s="2701"/>
      <c r="C56" s="2702">
        <v>33106</v>
      </c>
      <c r="D56" s="2701">
        <v>8.64</v>
      </c>
      <c r="E56" s="2701">
        <v>9.36</v>
      </c>
      <c r="F56" s="2701">
        <v>10.08</v>
      </c>
      <c r="G56" s="2701">
        <v>10.8</v>
      </c>
      <c r="H56" s="2701">
        <v>11.16</v>
      </c>
      <c r="I56" s="2701">
        <v>0</v>
      </c>
      <c r="J56" s="2701">
        <v>0</v>
      </c>
      <c r="L56" s="2701"/>
      <c r="M56" s="2702"/>
      <c r="N56" s="2701"/>
      <c r="O56" s="2701"/>
      <c r="P56" s="2701"/>
      <c r="Q56" s="2701"/>
      <c r="R56" s="2701"/>
      <c r="S56" s="2701"/>
      <c r="T56" s="2701"/>
      <c r="U56" s="2701"/>
      <c r="V56" s="2701"/>
      <c r="W56" s="2701"/>
      <c r="X56" s="2701"/>
      <c r="Y56" s="2701"/>
      <c r="Z56" s="2701"/>
    </row>
    <row r="57" spans="2:26">
      <c r="B57" s="2701"/>
      <c r="C57" s="2702">
        <v>32540</v>
      </c>
      <c r="D57" s="2701">
        <v>11.34</v>
      </c>
      <c r="E57" s="2701">
        <v>11.34</v>
      </c>
      <c r="F57" s="2701">
        <v>12.78</v>
      </c>
      <c r="G57" s="2701">
        <v>14.4</v>
      </c>
      <c r="H57" s="2701">
        <v>19.260000000000002</v>
      </c>
      <c r="I57" s="2701">
        <v>0</v>
      </c>
      <c r="J57" s="2701">
        <v>0</v>
      </c>
      <c r="L57" s="2701"/>
      <c r="M57" s="2702"/>
      <c r="N57" s="2701"/>
      <c r="O57" s="2701"/>
      <c r="P57" s="2701"/>
      <c r="Q57" s="2701"/>
      <c r="R57" s="2701"/>
      <c r="S57" s="2701"/>
      <c r="T57" s="2701"/>
      <c r="U57" s="2701"/>
      <c r="V57" s="2701"/>
      <c r="W57" s="2701"/>
      <c r="X57" s="2701"/>
      <c r="Y57" s="2701"/>
      <c r="Z57" s="2701"/>
    </row>
    <row r="58" spans="2:26">
      <c r="B58" s="2701"/>
      <c r="C58" s="2702"/>
      <c r="D58" s="2701"/>
      <c r="E58" s="2701"/>
      <c r="F58" s="2701"/>
      <c r="G58" s="2701"/>
      <c r="H58" s="2701"/>
      <c r="I58" s="2701"/>
      <c r="J58" s="2701"/>
    </row>
    <row r="59" spans="2:26">
      <c r="B59" s="2705"/>
      <c r="C59" s="2706"/>
      <c r="D59" s="2705"/>
      <c r="E59" s="2705"/>
      <c r="F59" s="2705"/>
      <c r="G59" s="2705"/>
      <c r="H59" s="2705"/>
      <c r="I59" s="2705"/>
      <c r="J59" s="2705"/>
    </row>
    <row r="60" spans="2:26">
      <c r="B60" s="2705"/>
      <c r="C60" s="2706"/>
      <c r="D60" s="2705"/>
      <c r="E60" s="2705"/>
      <c r="F60" s="2705"/>
      <c r="G60" s="2705"/>
      <c r="H60" s="2705"/>
      <c r="I60" s="2705"/>
      <c r="J60" s="2705"/>
    </row>
    <row r="61" spans="2:26">
      <c r="B61" s="2705"/>
      <c r="C61" s="2706"/>
      <c r="D61" s="2705"/>
      <c r="E61" s="2705"/>
      <c r="F61" s="2705"/>
      <c r="G61" s="2705"/>
      <c r="H61" s="2705"/>
      <c r="I61" s="2705"/>
      <c r="J61" s="2705"/>
    </row>
    <row r="62" spans="2:26">
      <c r="B62" s="2654"/>
      <c r="C62" s="2654"/>
      <c r="D62" s="2654"/>
      <c r="E62" s="2654"/>
      <c r="F62" s="2654"/>
      <c r="G62" s="2654"/>
      <c r="H62" s="2654"/>
      <c r="I62" s="2654"/>
      <c r="J62" s="2654"/>
    </row>
    <row r="63" spans="2:26">
      <c r="B63" s="2654"/>
      <c r="C63" s="2654"/>
      <c r="D63" s="2654"/>
      <c r="E63" s="2654"/>
      <c r="F63" s="2654"/>
      <c r="G63" s="2654"/>
      <c r="H63" s="2654"/>
      <c r="I63" s="2654"/>
      <c r="J63" s="2654"/>
    </row>
  </sheetData>
  <sheetProtection sheet="1" objects="1" scenarios="1"/>
  <phoneticPr fontId="161"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tabSelected="1" topLeftCell="A16" workbookViewId="0">
      <selection activeCell="D16" sqref="D16"/>
    </sheetView>
  </sheetViews>
  <sheetFormatPr defaultColWidth="8.875" defaultRowHeight="13.5"/>
  <cols>
    <col min="2" max="2" width="9.5" bestFit="1" customWidth="1"/>
    <col min="3" max="3" width="34.125" customWidth="1"/>
    <col min="4" max="4" width="14.875" customWidth="1"/>
    <col min="5" max="5" width="9.5" bestFit="1" customWidth="1"/>
    <col min="7" max="7" width="38.875" customWidth="1"/>
  </cols>
  <sheetData>
    <row r="1" spans="1:7">
      <c r="A1" s="3270" t="s">
        <v>2967</v>
      </c>
      <c r="B1" s="3272" t="s">
        <v>2968</v>
      </c>
      <c r="C1" s="3343" t="s">
        <v>3169</v>
      </c>
      <c r="D1" s="3270" t="s">
        <v>2969</v>
      </c>
      <c r="E1" s="3271"/>
      <c r="F1" s="3271"/>
    </row>
    <row r="2" spans="1:7">
      <c r="A2" s="3271">
        <f ca="1">基准地价!C29</f>
        <v>1509</v>
      </c>
      <c r="B2" s="3273">
        <f ca="1">'剩余法-现房'!B3</f>
        <v>2574</v>
      </c>
      <c r="C2" s="3271">
        <f ca="1">ROUND(A5*(1-C5),0)</f>
        <v>1285</v>
      </c>
      <c r="D2" s="3271">
        <v>0.3</v>
      </c>
      <c r="E2" s="3270" t="s">
        <v>2970</v>
      </c>
      <c r="F2" s="3270" t="s">
        <v>2971</v>
      </c>
    </row>
    <row r="3" spans="1:7">
      <c r="A3" s="3271">
        <v>0.3</v>
      </c>
      <c r="B3" s="3273">
        <f>1-A3</f>
        <v>0.7</v>
      </c>
      <c r="C3" s="3270" t="s">
        <v>2972</v>
      </c>
      <c r="D3" s="3271"/>
      <c r="E3" s="3271">
        <f ca="1">ROUND(C2*D2+C4*D4,0)</f>
        <v>4014</v>
      </c>
      <c r="F3" s="3274">
        <f ca="1">E3/15</f>
        <v>267.60000000000002</v>
      </c>
    </row>
    <row r="4" spans="1:7">
      <c r="A4" s="3271"/>
      <c r="B4" s="3273"/>
      <c r="C4" s="3271">
        <f ca="1">成本逼近法!B4</f>
        <v>5183</v>
      </c>
      <c r="D4" s="3271">
        <f>1-D2</f>
        <v>0.7</v>
      </c>
      <c r="E4" s="3271"/>
      <c r="F4" s="3271"/>
    </row>
    <row r="5" spans="1:7">
      <c r="A5">
        <f ca="1">ROUND(A2*A3+B2*B3,0)</f>
        <v>2255</v>
      </c>
      <c r="B5">
        <f ca="1">A5*'数据-汇总表'!D3</f>
        <v>49884659</v>
      </c>
      <c r="C5" s="3342">
        <v>0.43</v>
      </c>
      <c r="E5">
        <f ca="1">E3*'数据-汇总表'!D3/10000</f>
        <v>8879.6905200000001</v>
      </c>
    </row>
    <row r="7" spans="1:7">
      <c r="B7" s="3653" t="s">
        <v>3155</v>
      </c>
      <c r="C7" s="3653"/>
      <c r="D7" s="3653"/>
    </row>
    <row r="8" spans="1:7">
      <c r="B8" s="3338" t="s">
        <v>3156</v>
      </c>
      <c r="C8" s="3338" t="s">
        <v>3157</v>
      </c>
      <c r="D8" s="3338" t="s">
        <v>3158</v>
      </c>
    </row>
    <row r="9" spans="1:7">
      <c r="B9" s="3339">
        <v>1</v>
      </c>
      <c r="C9" s="3338" t="s">
        <v>3159</v>
      </c>
      <c r="D9" s="3826">
        <f ca="1">ROUND(E3*'数据-基础表'!A3/10000,4)</f>
        <v>8879.6905000000006</v>
      </c>
    </row>
    <row r="10" spans="1:7">
      <c r="B10" s="3339">
        <v>2</v>
      </c>
      <c r="C10" s="3338" t="s">
        <v>3160</v>
      </c>
      <c r="D10" s="3826">
        <f>[1]南法信!$B$30/10000</f>
        <v>580.98389999999995</v>
      </c>
    </row>
    <row r="11" spans="1:7">
      <c r="B11" s="3339">
        <v>3</v>
      </c>
      <c r="C11" s="3338" t="s">
        <v>3161</v>
      </c>
      <c r="D11" s="3826">
        <f>[1]南法信!$B$68/10000+[4]Sheet1!$J$26/10000</f>
        <v>67.015599999999992</v>
      </c>
    </row>
    <row r="12" spans="1:7">
      <c r="B12" s="3339">
        <v>4</v>
      </c>
      <c r="C12" s="3340" t="s">
        <v>3168</v>
      </c>
      <c r="D12" s="3825">
        <v>0</v>
      </c>
    </row>
    <row r="13" spans="1:7" ht="67.5">
      <c r="B13" s="3339">
        <v>5</v>
      </c>
      <c r="C13" s="3339" t="s">
        <v>3162</v>
      </c>
      <c r="D13" s="3825">
        <f>[2]停产停业损失补偿!G14</f>
        <v>0</v>
      </c>
      <c r="G13" s="2" t="s">
        <v>3167</v>
      </c>
    </row>
    <row r="14" spans="1:7">
      <c r="B14" s="3339">
        <v>6</v>
      </c>
      <c r="C14" s="3339" t="s">
        <v>3166</v>
      </c>
      <c r="D14" s="3825">
        <v>0</v>
      </c>
    </row>
    <row r="15" spans="1:7" ht="77.099999999999994" customHeight="1">
      <c r="B15" s="3339">
        <v>7</v>
      </c>
      <c r="C15" s="3339" t="s">
        <v>3163</v>
      </c>
      <c r="D15" s="3826">
        <f>ROUND('数据-基础表'!B3*50/10000,4)</f>
        <v>32.730499999999999</v>
      </c>
      <c r="G15" s="2" t="s">
        <v>3165</v>
      </c>
    </row>
    <row r="16" spans="1:7">
      <c r="B16" s="3654" t="s">
        <v>3164</v>
      </c>
      <c r="C16" s="3654"/>
      <c r="D16" s="3339">
        <f ca="1">SUM(D9:D15)</f>
        <v>9560.4205000000002</v>
      </c>
    </row>
    <row r="17" spans="2:4">
      <c r="B17" s="3655" t="s">
        <v>2991</v>
      </c>
      <c r="C17" s="3654"/>
      <c r="D17" s="3339">
        <f ca="1">ROUND(D16*10000/'数据-基础表'!A3,0)</f>
        <v>4322</v>
      </c>
    </row>
    <row r="18" spans="2:4">
      <c r="B18" s="3655" t="s">
        <v>2971</v>
      </c>
      <c r="C18" s="3654"/>
      <c r="D18" s="3339">
        <f ca="1">ROUND(D17/15,0)</f>
        <v>288</v>
      </c>
    </row>
  </sheetData>
  <mergeCells count="4">
    <mergeCell ref="B7:D7"/>
    <mergeCell ref="B16:C16"/>
    <mergeCell ref="B17:C17"/>
    <mergeCell ref="B18:C18"/>
  </mergeCells>
  <phoneticPr fontId="28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8"/>
  <sheetViews>
    <sheetView zoomScale="89" workbookViewId="0">
      <pane xSplit="1" ySplit="3" topLeftCell="B10" activePane="bottomRight" state="frozen"/>
      <selection pane="topRight" activeCell="B1" sqref="B1"/>
      <selection pane="bottomLeft" activeCell="A4" sqref="A4"/>
      <selection pane="bottomRight" activeCell="B89" activeCellId="1" sqref="B87:L87 B89:L89"/>
    </sheetView>
  </sheetViews>
  <sheetFormatPr defaultColWidth="9" defaultRowHeight="13.5"/>
  <cols>
    <col min="1" max="2" width="9" style="2"/>
    <col min="3" max="3" width="0" style="2" hidden="1" customWidth="1"/>
    <col min="4" max="6" width="9" style="2"/>
    <col min="7" max="7" width="15.125" style="2" customWidth="1"/>
    <col min="8" max="9" width="9" style="2"/>
    <col min="10" max="10" width="19.375" style="2" customWidth="1"/>
    <col min="11" max="11" width="9" style="2"/>
    <col min="12" max="12" width="12.875" style="2" customWidth="1"/>
    <col min="13" max="13" width="13" style="2" customWidth="1"/>
    <col min="14" max="14" width="9" style="2"/>
    <col min="15" max="15" width="13" style="2" bestFit="1" customWidth="1"/>
    <col min="16" max="16" width="12.625" style="2" bestFit="1" customWidth="1"/>
    <col min="17" max="17" width="9" style="2"/>
    <col min="18" max="18" width="12.75" style="2" bestFit="1" customWidth="1"/>
    <col min="19" max="16384" width="9" style="2"/>
  </cols>
  <sheetData>
    <row r="1" spans="1:15" ht="17.25">
      <c r="A1" s="3656" t="s">
        <v>2974</v>
      </c>
      <c r="B1" s="3657"/>
      <c r="C1" s="3657"/>
      <c r="D1" s="3657"/>
      <c r="E1" s="3657"/>
      <c r="F1" s="3657"/>
      <c r="G1" s="3657"/>
      <c r="H1" s="3657"/>
      <c r="I1" s="3657"/>
      <c r="J1" s="3657"/>
      <c r="K1" s="3657"/>
      <c r="L1" s="3657"/>
      <c r="M1" s="3657"/>
      <c r="N1" s="3310" t="s">
        <v>2975</v>
      </c>
      <c r="O1" s="3310"/>
    </row>
    <row r="2" spans="1:15">
      <c r="A2" s="3658" t="s">
        <v>2976</v>
      </c>
      <c r="B2" s="3658" t="s">
        <v>2977</v>
      </c>
      <c r="C2" s="3658" t="s">
        <v>2978</v>
      </c>
      <c r="D2" s="3659" t="s">
        <v>2979</v>
      </c>
      <c r="E2" s="3659" t="s">
        <v>2980</v>
      </c>
      <c r="F2" s="3658" t="s">
        <v>2981</v>
      </c>
      <c r="G2" s="3658" t="s">
        <v>2982</v>
      </c>
      <c r="H2" s="3658" t="s">
        <v>2983</v>
      </c>
      <c r="I2" s="3658" t="s">
        <v>2984</v>
      </c>
      <c r="J2" s="3658" t="s">
        <v>2985</v>
      </c>
      <c r="K2" s="3664" t="s">
        <v>2986</v>
      </c>
      <c r="L2" s="3664" t="s">
        <v>2987</v>
      </c>
      <c r="M2" s="3664"/>
      <c r="N2" s="3310"/>
      <c r="O2" s="3310"/>
    </row>
    <row r="3" spans="1:15" ht="22.5">
      <c r="A3" s="3658"/>
      <c r="B3" s="3658"/>
      <c r="C3" s="3658"/>
      <c r="D3" s="3659"/>
      <c r="E3" s="3659"/>
      <c r="F3" s="3658"/>
      <c r="G3" s="3658"/>
      <c r="H3" s="3658"/>
      <c r="I3" s="3658"/>
      <c r="J3" s="3658"/>
      <c r="K3" s="3664"/>
      <c r="L3" s="3311" t="s">
        <v>2988</v>
      </c>
      <c r="M3" s="3311" t="s">
        <v>2989</v>
      </c>
      <c r="N3" s="3310" t="s">
        <v>2990</v>
      </c>
      <c r="O3" s="3310" t="s">
        <v>2991</v>
      </c>
    </row>
    <row r="4" spans="1:15" ht="96">
      <c r="A4" s="3291">
        <v>2016</v>
      </c>
      <c r="B4" s="3275" t="s">
        <v>2992</v>
      </c>
      <c r="C4" s="3275" t="s">
        <v>2993</v>
      </c>
      <c r="D4" s="3276" t="s">
        <v>2994</v>
      </c>
      <c r="E4" s="3276" t="s">
        <v>2995</v>
      </c>
      <c r="F4" s="3277" t="s">
        <v>2996</v>
      </c>
      <c r="G4" s="3276" t="s">
        <v>2997</v>
      </c>
      <c r="H4" s="3276" t="s">
        <v>2998</v>
      </c>
      <c r="I4" s="3276" t="s">
        <v>2999</v>
      </c>
      <c r="J4" s="3276" t="s">
        <v>3000</v>
      </c>
      <c r="K4" s="3312">
        <v>16.73</v>
      </c>
      <c r="L4" s="3276">
        <v>15586.51</v>
      </c>
      <c r="M4" s="3276">
        <v>24154.36</v>
      </c>
      <c r="N4" s="3313"/>
      <c r="O4" s="3313">
        <f>ROUND((M4+L4)/K4,2)</f>
        <v>2375.4299999999998</v>
      </c>
    </row>
    <row r="5" spans="1:15" ht="96">
      <c r="A5" s="3291">
        <v>2016</v>
      </c>
      <c r="B5" s="3275" t="s">
        <v>2992</v>
      </c>
      <c r="C5" s="3275" t="s">
        <v>2993</v>
      </c>
      <c r="D5" s="3276" t="s">
        <v>2994</v>
      </c>
      <c r="E5" s="3276" t="s">
        <v>2995</v>
      </c>
      <c r="F5" s="3277" t="s">
        <v>3001</v>
      </c>
      <c r="G5" s="3276" t="s">
        <v>2997</v>
      </c>
      <c r="H5" s="3276" t="s">
        <v>2998</v>
      </c>
      <c r="I5" s="3276" t="s">
        <v>3002</v>
      </c>
      <c r="J5" s="3276" t="s">
        <v>3000</v>
      </c>
      <c r="K5" s="3314">
        <v>39.770000000000003</v>
      </c>
      <c r="L5" s="3276">
        <v>17716.41</v>
      </c>
      <c r="M5" s="3276">
        <v>2390.64</v>
      </c>
      <c r="N5" s="3313"/>
      <c r="O5" s="3313">
        <f t="shared" ref="O5:O32" si="0">ROUND((M5+L5)/K5,2)</f>
        <v>505.58</v>
      </c>
    </row>
    <row r="6" spans="1:15" ht="144">
      <c r="A6" s="3291">
        <v>2016</v>
      </c>
      <c r="B6" s="3275" t="s">
        <v>2992</v>
      </c>
      <c r="C6" s="3275" t="s">
        <v>2993</v>
      </c>
      <c r="D6" s="3276" t="s">
        <v>2994</v>
      </c>
      <c r="E6" s="3278" t="s">
        <v>3003</v>
      </c>
      <c r="F6" s="3277" t="s">
        <v>3004</v>
      </c>
      <c r="G6" s="3278" t="s">
        <v>3005</v>
      </c>
      <c r="H6" s="3278" t="s">
        <v>2998</v>
      </c>
      <c r="I6" s="3278" t="s">
        <v>3006</v>
      </c>
      <c r="J6" s="3276" t="s">
        <v>3007</v>
      </c>
      <c r="K6" s="3314">
        <v>663.6</v>
      </c>
      <c r="L6" s="3276">
        <v>191909.86</v>
      </c>
      <c r="M6" s="3276">
        <v>204137.8</v>
      </c>
      <c r="N6" s="3313"/>
      <c r="O6" s="3313">
        <f t="shared" si="0"/>
        <v>596.82000000000005</v>
      </c>
    </row>
    <row r="7" spans="1:15" ht="120">
      <c r="A7" s="3291">
        <v>2016</v>
      </c>
      <c r="B7" s="3275" t="s">
        <v>3008</v>
      </c>
      <c r="C7" s="3275" t="s">
        <v>3009</v>
      </c>
      <c r="D7" s="3279" t="s">
        <v>2994</v>
      </c>
      <c r="E7" s="3279" t="s">
        <v>3003</v>
      </c>
      <c r="F7" s="3277" t="s">
        <v>3010</v>
      </c>
      <c r="G7" s="3280" t="s">
        <v>3011</v>
      </c>
      <c r="H7" s="3279" t="s">
        <v>3012</v>
      </c>
      <c r="I7" s="3279" t="s">
        <v>3013</v>
      </c>
      <c r="J7" s="3279" t="s">
        <v>3014</v>
      </c>
      <c r="K7" s="3314">
        <v>129.57</v>
      </c>
      <c r="L7" s="3276">
        <v>122822.85</v>
      </c>
      <c r="M7" s="3276">
        <v>403475</v>
      </c>
      <c r="N7" s="3313"/>
      <c r="O7" s="3313">
        <f t="shared" si="0"/>
        <v>4061.88</v>
      </c>
    </row>
    <row r="8" spans="1:15" ht="120">
      <c r="A8" s="3291">
        <v>2017</v>
      </c>
      <c r="B8" s="3281" t="s">
        <v>3015</v>
      </c>
      <c r="C8" s="3281" t="s">
        <v>3016</v>
      </c>
      <c r="D8" s="3279" t="s">
        <v>2994</v>
      </c>
      <c r="E8" s="3282" t="s">
        <v>3003</v>
      </c>
      <c r="F8" s="3277" t="s">
        <v>3017</v>
      </c>
      <c r="G8" s="3280" t="s">
        <v>3011</v>
      </c>
      <c r="H8" s="3282" t="s">
        <v>3012</v>
      </c>
      <c r="I8" s="3282" t="s">
        <v>3018</v>
      </c>
      <c r="J8" s="3283" t="s">
        <v>3019</v>
      </c>
      <c r="K8" s="3314">
        <v>34.26</v>
      </c>
      <c r="L8" s="3276">
        <v>38931.19</v>
      </c>
      <c r="M8" s="3276">
        <v>64775.53</v>
      </c>
      <c r="N8" s="3315"/>
      <c r="O8" s="3313">
        <f t="shared" si="0"/>
        <v>3027.05</v>
      </c>
    </row>
    <row r="9" spans="1:15" ht="120">
      <c r="A9" s="3291">
        <v>2017</v>
      </c>
      <c r="B9" s="3281" t="s">
        <v>3015</v>
      </c>
      <c r="C9" s="3281" t="s">
        <v>3016</v>
      </c>
      <c r="D9" s="3279" t="s">
        <v>2994</v>
      </c>
      <c r="E9" s="3279" t="s">
        <v>3003</v>
      </c>
      <c r="F9" s="3277" t="s">
        <v>3020</v>
      </c>
      <c r="G9" s="3279" t="s">
        <v>3011</v>
      </c>
      <c r="H9" s="3279" t="s">
        <v>3012</v>
      </c>
      <c r="I9" s="3279" t="s">
        <v>2999</v>
      </c>
      <c r="J9" s="3279" t="s">
        <v>3021</v>
      </c>
      <c r="K9" s="3314">
        <v>51.07</v>
      </c>
      <c r="L9" s="3276">
        <v>33012.44</v>
      </c>
      <c r="M9" s="3276">
        <v>46402.36</v>
      </c>
      <c r="N9" s="3315"/>
      <c r="O9" s="3313">
        <f t="shared" si="0"/>
        <v>1555.02</v>
      </c>
    </row>
    <row r="10" spans="1:15" ht="96">
      <c r="A10" s="3316">
        <v>2017</v>
      </c>
      <c r="B10" s="3284" t="s">
        <v>3015</v>
      </c>
      <c r="C10" s="3284" t="s">
        <v>3016</v>
      </c>
      <c r="D10" s="3285" t="s">
        <v>3022</v>
      </c>
      <c r="E10" s="3285" t="s">
        <v>3003</v>
      </c>
      <c r="F10" s="3286" t="s">
        <v>3023</v>
      </c>
      <c r="G10" s="3285" t="s">
        <v>3024</v>
      </c>
      <c r="H10" s="3285" t="s">
        <v>2998</v>
      </c>
      <c r="I10" s="3285" t="s">
        <v>3025</v>
      </c>
      <c r="J10" s="3285" t="s">
        <v>3026</v>
      </c>
      <c r="K10" s="3287">
        <v>96.99</v>
      </c>
      <c r="L10" s="3287">
        <v>51676.39</v>
      </c>
      <c r="M10" s="3287">
        <v>172115.08</v>
      </c>
      <c r="N10" s="3317">
        <f>ROUND((L10+M10)/(K10*15),0)</f>
        <v>154</v>
      </c>
      <c r="O10" s="3313">
        <f t="shared" si="0"/>
        <v>2307.37</v>
      </c>
    </row>
    <row r="11" spans="1:15" ht="108">
      <c r="A11" s="3316">
        <v>2017</v>
      </c>
      <c r="B11" s="3284" t="s">
        <v>3015</v>
      </c>
      <c r="C11" s="3284" t="s">
        <v>3016</v>
      </c>
      <c r="D11" s="3285" t="s">
        <v>3022</v>
      </c>
      <c r="E11" s="3285" t="s">
        <v>3003</v>
      </c>
      <c r="F11" s="3286" t="s">
        <v>3027</v>
      </c>
      <c r="G11" s="3285" t="s">
        <v>3028</v>
      </c>
      <c r="H11" s="3285" t="s">
        <v>2998</v>
      </c>
      <c r="I11" s="3285" t="s">
        <v>3029</v>
      </c>
      <c r="J11" s="3287" t="s">
        <v>3030</v>
      </c>
      <c r="K11" s="3318">
        <v>49.52</v>
      </c>
      <c r="L11" s="3287">
        <v>25737.439999999999</v>
      </c>
      <c r="M11" s="3287">
        <v>180122.23999999999</v>
      </c>
      <c r="N11" s="3317">
        <f>ROUND((L11+M11)/(K11*15),0)</f>
        <v>277</v>
      </c>
      <c r="O11" s="3313">
        <f t="shared" si="0"/>
        <v>4157.1000000000004</v>
      </c>
    </row>
    <row r="12" spans="1:15" ht="120">
      <c r="A12" s="3291">
        <v>2017</v>
      </c>
      <c r="B12" s="3281" t="s">
        <v>3015</v>
      </c>
      <c r="C12" s="3281" t="s">
        <v>3016</v>
      </c>
      <c r="D12" s="3280" t="s">
        <v>3031</v>
      </c>
      <c r="E12" s="3280" t="s">
        <v>3003</v>
      </c>
      <c r="F12" s="3277" t="s">
        <v>3032</v>
      </c>
      <c r="G12" s="3280" t="s">
        <v>3033</v>
      </c>
      <c r="H12" s="3282" t="s">
        <v>3012</v>
      </c>
      <c r="I12" s="3288" t="s">
        <v>3034</v>
      </c>
      <c r="J12" s="3276" t="s">
        <v>3035</v>
      </c>
      <c r="K12" s="3314">
        <v>116.6</v>
      </c>
      <c r="L12" s="3276">
        <v>138739.75</v>
      </c>
      <c r="M12" s="3276">
        <v>441601.69</v>
      </c>
      <c r="N12" s="3315"/>
      <c r="O12" s="3313">
        <f t="shared" si="0"/>
        <v>4977.2</v>
      </c>
    </row>
    <row r="13" spans="1:15" ht="156">
      <c r="A13" s="3291">
        <v>2017</v>
      </c>
      <c r="B13" s="3282" t="s">
        <v>3036</v>
      </c>
      <c r="C13" s="3282" t="s">
        <v>3037</v>
      </c>
      <c r="D13" s="3282" t="s">
        <v>3038</v>
      </c>
      <c r="E13" s="3282" t="s">
        <v>2995</v>
      </c>
      <c r="F13" s="3280" t="s">
        <v>3039</v>
      </c>
      <c r="G13" s="3280" t="s">
        <v>3040</v>
      </c>
      <c r="H13" s="3280" t="s">
        <v>2998</v>
      </c>
      <c r="I13" s="3288" t="s">
        <v>3041</v>
      </c>
      <c r="J13" s="3289" t="s">
        <v>3042</v>
      </c>
      <c r="K13" s="3312">
        <v>33.36</v>
      </c>
      <c r="L13" s="3276">
        <v>16588.11</v>
      </c>
      <c r="M13" s="3276">
        <v>13953.2</v>
      </c>
      <c r="N13" s="3319"/>
      <c r="O13" s="3313">
        <f t="shared" si="0"/>
        <v>915.51</v>
      </c>
    </row>
    <row r="14" spans="1:15" ht="96">
      <c r="A14" s="3291">
        <v>2017</v>
      </c>
      <c r="B14" s="3290" t="s">
        <v>3043</v>
      </c>
      <c r="C14" s="3290" t="s">
        <v>3044</v>
      </c>
      <c r="D14" s="3280" t="s">
        <v>3022</v>
      </c>
      <c r="E14" s="3280" t="s">
        <v>3003</v>
      </c>
      <c r="F14" s="3282" t="s">
        <v>3045</v>
      </c>
      <c r="G14" s="3280" t="s">
        <v>3046</v>
      </c>
      <c r="H14" s="3280" t="s">
        <v>2998</v>
      </c>
      <c r="I14" s="3288" t="s">
        <v>3047</v>
      </c>
      <c r="J14" s="3288" t="s">
        <v>3048</v>
      </c>
      <c r="K14" s="3276">
        <v>19.994820000000001</v>
      </c>
      <c r="L14" s="3276">
        <v>4110.28</v>
      </c>
      <c r="M14" s="3276">
        <v>1634.87</v>
      </c>
      <c r="N14" s="3317">
        <f>ROUND((L14+M14)/(K14*15),0)</f>
        <v>19</v>
      </c>
      <c r="O14" s="3313">
        <f t="shared" si="0"/>
        <v>287.33</v>
      </c>
    </row>
    <row r="15" spans="1:15" ht="120">
      <c r="A15" s="3291">
        <v>2017</v>
      </c>
      <c r="B15" s="3281" t="s">
        <v>3049</v>
      </c>
      <c r="C15" s="3281" t="s">
        <v>3050</v>
      </c>
      <c r="D15" s="3280" t="s">
        <v>3051</v>
      </c>
      <c r="E15" s="3280" t="s">
        <v>3003</v>
      </c>
      <c r="F15" s="3280" t="s">
        <v>3052</v>
      </c>
      <c r="G15" s="3280" t="s">
        <v>3053</v>
      </c>
      <c r="H15" s="3280" t="s">
        <v>3012</v>
      </c>
      <c r="I15" s="3288" t="s">
        <v>3054</v>
      </c>
      <c r="J15" s="3289" t="s">
        <v>3055</v>
      </c>
      <c r="K15" s="3291">
        <v>72.180000000000007</v>
      </c>
      <c r="L15" s="3276">
        <v>20148.59</v>
      </c>
      <c r="M15" s="3276">
        <v>195592.13</v>
      </c>
      <c r="N15" s="3319"/>
      <c r="O15" s="3313">
        <f t="shared" si="0"/>
        <v>2988.93</v>
      </c>
    </row>
    <row r="16" spans="1:15" ht="168">
      <c r="A16" s="3291">
        <v>2017</v>
      </c>
      <c r="B16" s="3281" t="s">
        <v>3049</v>
      </c>
      <c r="C16" s="3281" t="s">
        <v>3050</v>
      </c>
      <c r="D16" s="3280" t="s">
        <v>3051</v>
      </c>
      <c r="E16" s="3280" t="s">
        <v>3003</v>
      </c>
      <c r="F16" s="3280" t="s">
        <v>3056</v>
      </c>
      <c r="G16" s="3280" t="s">
        <v>3057</v>
      </c>
      <c r="H16" s="3280" t="s">
        <v>3012</v>
      </c>
      <c r="I16" s="3288" t="s">
        <v>3058</v>
      </c>
      <c r="J16" s="3292" t="s">
        <v>3059</v>
      </c>
      <c r="K16" s="3314">
        <v>148.19999999999999</v>
      </c>
      <c r="L16" s="3276">
        <v>46469.07</v>
      </c>
      <c r="M16" s="3276">
        <v>462882.97</v>
      </c>
      <c r="N16" s="3319"/>
      <c r="O16" s="3313">
        <f t="shared" si="0"/>
        <v>3436.92</v>
      </c>
    </row>
    <row r="17" spans="1:15" ht="96">
      <c r="A17" s="3291">
        <v>2017</v>
      </c>
      <c r="B17" s="3290" t="s">
        <v>3060</v>
      </c>
      <c r="C17" s="3290" t="s">
        <v>3009</v>
      </c>
      <c r="D17" s="3280" t="s">
        <v>3061</v>
      </c>
      <c r="E17" s="3280" t="s">
        <v>3003</v>
      </c>
      <c r="F17" s="3280" t="s">
        <v>3062</v>
      </c>
      <c r="G17" s="3280" t="s">
        <v>3063</v>
      </c>
      <c r="H17" s="3280" t="s">
        <v>3012</v>
      </c>
      <c r="I17" s="3288" t="s">
        <v>3064</v>
      </c>
      <c r="J17" s="3288" t="s">
        <v>3065</v>
      </c>
      <c r="K17" s="3314">
        <v>89.78</v>
      </c>
      <c r="L17" s="3276">
        <v>52725.51</v>
      </c>
      <c r="M17" s="3276">
        <v>150160.9</v>
      </c>
      <c r="N17" s="3320"/>
      <c r="O17" s="3313">
        <f t="shared" si="0"/>
        <v>2259.8200000000002</v>
      </c>
    </row>
    <row r="18" spans="1:15" ht="168">
      <c r="A18" s="3291">
        <v>2017</v>
      </c>
      <c r="B18" s="3290" t="s">
        <v>3060</v>
      </c>
      <c r="C18" s="3290" t="s">
        <v>3009</v>
      </c>
      <c r="D18" s="3280" t="s">
        <v>3061</v>
      </c>
      <c r="E18" s="3280" t="s">
        <v>3003</v>
      </c>
      <c r="F18" s="3280" t="s">
        <v>3066</v>
      </c>
      <c r="G18" s="3280" t="s">
        <v>3067</v>
      </c>
      <c r="H18" s="3280" t="s">
        <v>3012</v>
      </c>
      <c r="I18" s="3288" t="s">
        <v>3068</v>
      </c>
      <c r="J18" s="3293" t="s">
        <v>3069</v>
      </c>
      <c r="K18" s="3314">
        <v>146.24</v>
      </c>
      <c r="L18" s="3276">
        <v>73331.179999999993</v>
      </c>
      <c r="M18" s="3276">
        <v>459399.64</v>
      </c>
      <c r="N18" s="3319"/>
      <c r="O18" s="3313">
        <f t="shared" si="0"/>
        <v>3642.85</v>
      </c>
    </row>
    <row r="19" spans="1:15" ht="96">
      <c r="A19" s="3291">
        <v>2017</v>
      </c>
      <c r="B19" s="3290" t="s">
        <v>3070</v>
      </c>
      <c r="C19" s="3290" t="s">
        <v>3009</v>
      </c>
      <c r="D19" s="3280" t="s">
        <v>3022</v>
      </c>
      <c r="E19" s="3280" t="s">
        <v>3003</v>
      </c>
      <c r="F19" s="3280" t="s">
        <v>3071</v>
      </c>
      <c r="G19" s="3280" t="s">
        <v>3072</v>
      </c>
      <c r="H19" s="3280" t="s">
        <v>2998</v>
      </c>
      <c r="I19" s="3288" t="s">
        <v>3073</v>
      </c>
      <c r="J19" s="3288" t="s">
        <v>3074</v>
      </c>
      <c r="K19" s="3276">
        <v>132.25</v>
      </c>
      <c r="L19" s="3276">
        <v>24298.5</v>
      </c>
      <c r="M19" s="3276">
        <v>107594.55</v>
      </c>
      <c r="N19" s="3317">
        <f>ROUND((L19+M19)/(K19*15),0)</f>
        <v>66</v>
      </c>
      <c r="O19" s="3341">
        <f t="shared" si="0"/>
        <v>997.3</v>
      </c>
    </row>
    <row r="20" spans="1:15" ht="132">
      <c r="A20" s="3291">
        <v>2017</v>
      </c>
      <c r="B20" s="3290" t="s">
        <v>3070</v>
      </c>
      <c r="C20" s="3294" t="s">
        <v>3009</v>
      </c>
      <c r="D20" s="3295" t="s">
        <v>3075</v>
      </c>
      <c r="E20" s="3280" t="s">
        <v>2995</v>
      </c>
      <c r="F20" s="3296" t="s">
        <v>3076</v>
      </c>
      <c r="G20" s="3280" t="s">
        <v>3053</v>
      </c>
      <c r="H20" s="3280" t="s">
        <v>3012</v>
      </c>
      <c r="I20" s="3297" t="s">
        <v>3077</v>
      </c>
      <c r="J20" s="3297" t="s">
        <v>3078</v>
      </c>
      <c r="K20" s="3314">
        <v>217.58</v>
      </c>
      <c r="L20" s="3276">
        <v>106922.18</v>
      </c>
      <c r="M20" s="3276">
        <v>1002860.16</v>
      </c>
      <c r="N20" s="3321"/>
      <c r="O20" s="3313">
        <f t="shared" si="0"/>
        <v>5100.57</v>
      </c>
    </row>
    <row r="21" spans="1:15" ht="144">
      <c r="A21" s="3322">
        <v>2018</v>
      </c>
      <c r="B21" s="3290" t="s">
        <v>3079</v>
      </c>
      <c r="C21" s="3290" t="s">
        <v>3044</v>
      </c>
      <c r="D21" s="3298" t="s">
        <v>3038</v>
      </c>
      <c r="E21" s="3298" t="s">
        <v>2995</v>
      </c>
      <c r="F21" s="3298" t="s">
        <v>3172</v>
      </c>
      <c r="G21" s="3298" t="s">
        <v>3080</v>
      </c>
      <c r="H21" s="3298" t="s">
        <v>2998</v>
      </c>
      <c r="I21" s="3299" t="s">
        <v>3081</v>
      </c>
      <c r="J21" s="3300" t="s">
        <v>3082</v>
      </c>
      <c r="K21" s="3298">
        <v>726.3</v>
      </c>
      <c r="L21" s="3276">
        <v>281939.06</v>
      </c>
      <c r="M21" s="3276">
        <v>704305.38</v>
      </c>
      <c r="N21" s="3313"/>
      <c r="O21" s="3341">
        <f t="shared" si="0"/>
        <v>1357.9</v>
      </c>
    </row>
    <row r="22" spans="1:15" ht="120">
      <c r="A22" s="3298">
        <v>2018</v>
      </c>
      <c r="B22" s="3290" t="s">
        <v>3083</v>
      </c>
      <c r="C22" s="3323" t="s">
        <v>2993</v>
      </c>
      <c r="D22" s="3282" t="s">
        <v>3075</v>
      </c>
      <c r="E22" s="3282" t="s">
        <v>3003</v>
      </c>
      <c r="F22" s="3282" t="s">
        <v>3084</v>
      </c>
      <c r="G22" s="3282" t="s">
        <v>3053</v>
      </c>
      <c r="H22" s="3282" t="s">
        <v>3012</v>
      </c>
      <c r="I22" s="3299" t="s">
        <v>3085</v>
      </c>
      <c r="J22" s="3300" t="s">
        <v>3086</v>
      </c>
      <c r="K22" s="3314">
        <v>193.55</v>
      </c>
      <c r="L22" s="3276">
        <v>230654.05</v>
      </c>
      <c r="M22" s="3276">
        <v>598903.21</v>
      </c>
      <c r="N22" s="3324"/>
      <c r="O22" s="3313">
        <f t="shared" si="0"/>
        <v>4286.01</v>
      </c>
    </row>
    <row r="23" spans="1:15" ht="132">
      <c r="A23" s="3298">
        <v>2018</v>
      </c>
      <c r="B23" s="3290" t="s">
        <v>3083</v>
      </c>
      <c r="C23" s="3323" t="s">
        <v>2993</v>
      </c>
      <c r="D23" s="3282" t="s">
        <v>3075</v>
      </c>
      <c r="E23" s="3282" t="s">
        <v>3003</v>
      </c>
      <c r="F23" s="3282" t="s">
        <v>3087</v>
      </c>
      <c r="G23" s="3282" t="s">
        <v>3088</v>
      </c>
      <c r="H23" s="3282" t="s">
        <v>3012</v>
      </c>
      <c r="I23" s="3299" t="s">
        <v>3089</v>
      </c>
      <c r="J23" s="3300" t="s">
        <v>3090</v>
      </c>
      <c r="K23" s="3301">
        <v>210.43</v>
      </c>
      <c r="L23" s="3276">
        <v>23862.83</v>
      </c>
      <c r="M23" s="3276">
        <v>602931.53</v>
      </c>
      <c r="N23" s="3324"/>
      <c r="O23" s="3313">
        <f t="shared" si="0"/>
        <v>2978.64</v>
      </c>
    </row>
    <row r="24" spans="1:15" ht="108">
      <c r="A24" s="3298">
        <v>2018</v>
      </c>
      <c r="B24" s="3290" t="s">
        <v>3083</v>
      </c>
      <c r="C24" s="3323" t="s">
        <v>2993</v>
      </c>
      <c r="D24" s="3282" t="s">
        <v>3075</v>
      </c>
      <c r="E24" s="3282" t="s">
        <v>3003</v>
      </c>
      <c r="F24" s="3282" t="s">
        <v>3091</v>
      </c>
      <c r="G24" s="3282" t="s">
        <v>3053</v>
      </c>
      <c r="H24" s="3282" t="s">
        <v>3012</v>
      </c>
      <c r="I24" s="3299" t="s">
        <v>3092</v>
      </c>
      <c r="J24" s="3300" t="s">
        <v>3093</v>
      </c>
      <c r="K24" s="3301">
        <v>74.25</v>
      </c>
      <c r="L24" s="3276">
        <v>13520.67</v>
      </c>
      <c r="M24" s="3276">
        <v>291651.92</v>
      </c>
      <c r="N24" s="3324"/>
      <c r="O24" s="3313">
        <f t="shared" si="0"/>
        <v>4110.07</v>
      </c>
    </row>
    <row r="25" spans="1:15" ht="96">
      <c r="A25" s="3302">
        <v>2018</v>
      </c>
      <c r="B25" s="3303" t="s">
        <v>3083</v>
      </c>
      <c r="C25" s="3325" t="s">
        <v>2993</v>
      </c>
      <c r="D25" s="3304" t="s">
        <v>3094</v>
      </c>
      <c r="E25" s="3304" t="s">
        <v>3003</v>
      </c>
      <c r="F25" s="3304" t="s">
        <v>3176</v>
      </c>
      <c r="G25" s="3304" t="s">
        <v>3095</v>
      </c>
      <c r="H25" s="3304" t="s">
        <v>3012</v>
      </c>
      <c r="I25" s="3304" t="s">
        <v>3096</v>
      </c>
      <c r="J25" s="3286" t="s">
        <v>3097</v>
      </c>
      <c r="K25" s="3305">
        <v>29.09</v>
      </c>
      <c r="L25" s="3287">
        <v>12773.36</v>
      </c>
      <c r="M25" s="3287">
        <v>231746.85</v>
      </c>
      <c r="N25" s="3317">
        <f>ROUND((L25+M25)/(K25*15),0)</f>
        <v>560</v>
      </c>
      <c r="O25" s="3332">
        <f>ROUND((M25+L25)/K25,2)</f>
        <v>8405.64</v>
      </c>
    </row>
    <row r="26" spans="1:15" ht="108">
      <c r="A26" s="3298">
        <v>2018</v>
      </c>
      <c r="B26" s="3290" t="s">
        <v>3098</v>
      </c>
      <c r="C26" s="3306" t="s">
        <v>3099</v>
      </c>
      <c r="D26" s="3301" t="s">
        <v>3075</v>
      </c>
      <c r="E26" s="3301" t="s">
        <v>3003</v>
      </c>
      <c r="F26" s="3301" t="s">
        <v>3174</v>
      </c>
      <c r="G26" s="3301" t="s">
        <v>3053</v>
      </c>
      <c r="H26" s="3301" t="s">
        <v>3012</v>
      </c>
      <c r="I26" s="3301" t="s">
        <v>3100</v>
      </c>
      <c r="J26" s="3301" t="s">
        <v>3101</v>
      </c>
      <c r="K26" s="3301">
        <v>165.53</v>
      </c>
      <c r="L26" s="3276">
        <v>55495.91</v>
      </c>
      <c r="M26" s="3276">
        <v>418159.92</v>
      </c>
      <c r="N26" s="3324"/>
      <c r="O26" s="3341">
        <f t="shared" si="0"/>
        <v>2861.45</v>
      </c>
    </row>
    <row r="27" spans="1:15" ht="156">
      <c r="A27" s="3298">
        <v>2018</v>
      </c>
      <c r="B27" s="3290" t="s">
        <v>3102</v>
      </c>
      <c r="C27" s="3306" t="s">
        <v>3099</v>
      </c>
      <c r="D27" s="3301" t="s">
        <v>3075</v>
      </c>
      <c r="E27" s="3301" t="s">
        <v>3003</v>
      </c>
      <c r="F27" s="3301" t="s">
        <v>3175</v>
      </c>
      <c r="G27" s="3301" t="s">
        <v>3103</v>
      </c>
      <c r="H27" s="3301" t="s">
        <v>3012</v>
      </c>
      <c r="I27" s="3301" t="s">
        <v>3104</v>
      </c>
      <c r="J27" s="3301" t="s">
        <v>3105</v>
      </c>
      <c r="K27" s="3307">
        <v>175.57</v>
      </c>
      <c r="L27" s="3276">
        <v>157294.39999999999</v>
      </c>
      <c r="M27" s="3276">
        <v>394653.43</v>
      </c>
      <c r="N27" s="3324"/>
      <c r="O27" s="3313">
        <f t="shared" si="0"/>
        <v>3143.75</v>
      </c>
    </row>
    <row r="28" spans="1:15" ht="120">
      <c r="A28" s="3298">
        <v>2018</v>
      </c>
      <c r="B28" s="3290" t="s">
        <v>3106</v>
      </c>
      <c r="C28" s="3326" t="s">
        <v>3107</v>
      </c>
      <c r="D28" s="3308" t="s">
        <v>3031</v>
      </c>
      <c r="E28" s="3308" t="s">
        <v>3003</v>
      </c>
      <c r="F28" s="3308" t="s">
        <v>3108</v>
      </c>
      <c r="G28" s="3308" t="s">
        <v>3109</v>
      </c>
      <c r="H28" s="3308" t="s">
        <v>3012</v>
      </c>
      <c r="I28" s="3308" t="s">
        <v>3110</v>
      </c>
      <c r="J28" s="3308" t="s">
        <v>3111</v>
      </c>
      <c r="K28" s="3301">
        <v>49.58</v>
      </c>
      <c r="L28" s="3276">
        <v>61873.95</v>
      </c>
      <c r="M28" s="3276">
        <v>240341.82</v>
      </c>
      <c r="N28" s="3313"/>
      <c r="O28" s="3313">
        <f t="shared" si="0"/>
        <v>6095.52</v>
      </c>
    </row>
    <row r="29" spans="1:15" ht="132">
      <c r="A29" s="3298">
        <v>2018</v>
      </c>
      <c r="B29" s="3290" t="s">
        <v>3106</v>
      </c>
      <c r="C29" s="3326" t="s">
        <v>3107</v>
      </c>
      <c r="D29" s="3308" t="s">
        <v>3112</v>
      </c>
      <c r="E29" s="3308" t="s">
        <v>3003</v>
      </c>
      <c r="F29" s="3308" t="s">
        <v>3113</v>
      </c>
      <c r="G29" s="3308" t="s">
        <v>3114</v>
      </c>
      <c r="H29" s="3308" t="s">
        <v>3012</v>
      </c>
      <c r="I29" s="3308" t="s">
        <v>3115</v>
      </c>
      <c r="J29" s="3308" t="s">
        <v>3116</v>
      </c>
      <c r="K29" s="3309">
        <v>113.32</v>
      </c>
      <c r="L29" s="3276">
        <v>84598.35</v>
      </c>
      <c r="M29" s="3276">
        <v>378467.53</v>
      </c>
      <c r="N29" s="3313"/>
      <c r="O29" s="3313">
        <f t="shared" si="0"/>
        <v>4086.36</v>
      </c>
    </row>
    <row r="30" spans="1:15" ht="120">
      <c r="A30" s="3298">
        <v>2018</v>
      </c>
      <c r="B30" s="3290" t="s">
        <v>3106</v>
      </c>
      <c r="C30" s="3314">
        <v>12</v>
      </c>
      <c r="D30" s="3308" t="s">
        <v>3075</v>
      </c>
      <c r="E30" s="3308" t="s">
        <v>3003</v>
      </c>
      <c r="F30" s="3308" t="s">
        <v>3117</v>
      </c>
      <c r="G30" s="3308" t="s">
        <v>3053</v>
      </c>
      <c r="H30" s="3308" t="s">
        <v>3012</v>
      </c>
      <c r="I30" s="3308" t="s">
        <v>3118</v>
      </c>
      <c r="J30" s="3308" t="s">
        <v>3119</v>
      </c>
      <c r="K30" s="3301">
        <v>239.14</v>
      </c>
      <c r="L30" s="3276">
        <v>61695.44</v>
      </c>
      <c r="M30" s="3276">
        <v>859650.5</v>
      </c>
      <c r="N30" s="3313"/>
      <c r="O30" s="3313">
        <f t="shared" si="0"/>
        <v>3852.75</v>
      </c>
    </row>
    <row r="31" spans="1:15" ht="132">
      <c r="A31" s="3298">
        <v>2018</v>
      </c>
      <c r="B31" s="3290" t="s">
        <v>3106</v>
      </c>
      <c r="C31" s="3314" t="s">
        <v>3107</v>
      </c>
      <c r="D31" s="3308" t="s">
        <v>3061</v>
      </c>
      <c r="E31" s="3308" t="s">
        <v>3003</v>
      </c>
      <c r="F31" s="3308" t="s">
        <v>3120</v>
      </c>
      <c r="G31" s="3308" t="s">
        <v>3121</v>
      </c>
      <c r="H31" s="3308" t="s">
        <v>3012</v>
      </c>
      <c r="I31" s="3308" t="s">
        <v>3122</v>
      </c>
      <c r="J31" s="3308" t="s">
        <v>3123</v>
      </c>
      <c r="K31" s="3301">
        <v>129.57</v>
      </c>
      <c r="L31" s="3276">
        <v>164075.88</v>
      </c>
      <c r="M31" s="3276">
        <v>363152.48</v>
      </c>
      <c r="N31" s="3313"/>
      <c r="O31" s="3313">
        <f t="shared" si="0"/>
        <v>4069.06</v>
      </c>
    </row>
    <row r="32" spans="1:15" ht="132">
      <c r="A32" s="3298">
        <v>2018</v>
      </c>
      <c r="B32" s="3290" t="s">
        <v>3102</v>
      </c>
      <c r="C32" s="3314" t="s">
        <v>3107</v>
      </c>
      <c r="D32" s="3308" t="s">
        <v>3075</v>
      </c>
      <c r="E32" s="3308" t="s">
        <v>3003</v>
      </c>
      <c r="F32" s="3308" t="s">
        <v>3124</v>
      </c>
      <c r="G32" s="3308" t="s">
        <v>3053</v>
      </c>
      <c r="H32" s="3308" t="s">
        <v>3012</v>
      </c>
      <c r="I32" s="3308" t="s">
        <v>3125</v>
      </c>
      <c r="J32" s="3308" t="s">
        <v>3126</v>
      </c>
      <c r="K32" s="3301">
        <v>55.01</v>
      </c>
      <c r="L32" s="3276">
        <v>61454.45</v>
      </c>
      <c r="M32" s="3276">
        <v>558371.41</v>
      </c>
      <c r="N32" s="3313"/>
      <c r="O32" s="3313">
        <f t="shared" si="0"/>
        <v>11267.51</v>
      </c>
    </row>
    <row r="33" spans="1:15">
      <c r="A33" s="3327"/>
      <c r="B33" s="3327"/>
      <c r="C33" s="3327"/>
      <c r="D33" s="3310"/>
      <c r="E33" s="3310"/>
      <c r="F33" s="3310"/>
      <c r="G33" s="3310"/>
      <c r="H33" s="3310"/>
      <c r="I33" s="3310"/>
      <c r="J33" s="3310"/>
      <c r="K33" s="3328">
        <f>K10+K11+K25</f>
        <v>175.6</v>
      </c>
      <c r="L33" s="3328">
        <f>L10+L11+L25</f>
        <v>90187.19</v>
      </c>
      <c r="M33" s="3328">
        <f>M10+M11+M25</f>
        <v>583984.16999999993</v>
      </c>
      <c r="N33" s="3310"/>
      <c r="O33" s="3310">
        <f>(M33+L33)/K33</f>
        <v>3839.2446469248284</v>
      </c>
    </row>
    <row r="34" spans="1:15">
      <c r="A34" s="3327"/>
      <c r="B34" s="3327"/>
      <c r="C34" s="3327"/>
      <c r="D34" s="3310"/>
      <c r="E34" s="3310"/>
      <c r="F34" s="3310"/>
      <c r="G34" s="3310"/>
      <c r="H34" s="3310"/>
      <c r="I34" s="3310"/>
      <c r="J34" s="3310"/>
      <c r="K34" s="3329"/>
      <c r="L34" s="3327"/>
      <c r="M34" s="3327"/>
      <c r="N34" s="3310">
        <f>ROUND((N10+N11+N25)/3,0)</f>
        <v>330</v>
      </c>
      <c r="O34" s="3310"/>
    </row>
    <row r="35" spans="1:15">
      <c r="A35" s="3330"/>
      <c r="B35" s="3327"/>
      <c r="C35" s="3327"/>
      <c r="D35" s="3310"/>
      <c r="E35" s="3310"/>
      <c r="F35" s="3310"/>
      <c r="G35" s="3310"/>
      <c r="H35" s="3310"/>
      <c r="I35" s="3310"/>
      <c r="J35" s="3310"/>
      <c r="K35" s="3329"/>
      <c r="L35" s="3327"/>
      <c r="M35" s="3327"/>
      <c r="N35" s="3310"/>
      <c r="O35" s="3310"/>
    </row>
    <row r="36" spans="1:15">
      <c r="A36" s="3327"/>
      <c r="B36" s="3327"/>
      <c r="C36" s="3327"/>
      <c r="D36" s="3310"/>
      <c r="E36" s="3310"/>
      <c r="F36" s="3310"/>
      <c r="G36" s="3310"/>
      <c r="H36" s="3310"/>
      <c r="I36" s="3310"/>
      <c r="J36" s="3310"/>
      <c r="K36" s="3329"/>
      <c r="L36" s="3327"/>
      <c r="M36" s="3327"/>
      <c r="N36" s="3310"/>
      <c r="O36" s="3310">
        <f>(O10+O11+O25)/3</f>
        <v>4956.7033333333338</v>
      </c>
    </row>
    <row r="37" spans="1:15">
      <c r="A37" s="3327"/>
      <c r="B37" s="3327"/>
      <c r="C37" s="3327"/>
      <c r="D37" s="3310"/>
      <c r="E37" s="3310"/>
      <c r="F37" s="3310"/>
      <c r="G37" s="3310"/>
      <c r="H37" s="3310"/>
      <c r="I37" s="3310"/>
      <c r="J37" s="3310"/>
      <c r="K37" s="3329"/>
      <c r="L37" s="3327"/>
      <c r="M37" s="3327"/>
      <c r="N37" s="3310">
        <f>ROUND(N34*'[3]数据-汇总表'!D3,0)</f>
        <v>7300194</v>
      </c>
      <c r="O37" s="3310"/>
    </row>
    <row r="41" spans="1:15">
      <c r="O41" s="3331">
        <f>ROUND(78411.77/7.65,2)</f>
        <v>10249.9</v>
      </c>
    </row>
    <row r="56" spans="15:15">
      <c r="O56" s="3331">
        <f>ROUND(60201.96/14.67,2)</f>
        <v>4103.75</v>
      </c>
    </row>
    <row r="60" spans="15:15">
      <c r="O60" s="2">
        <f>ROUND((O27+O21+O25)/3,1)</f>
        <v>4302.3999999999996</v>
      </c>
    </row>
    <row r="84" spans="1:18" ht="14.25" thickBot="1"/>
    <row r="85" spans="1:18" ht="21.75" thickTop="1">
      <c r="A85" s="3669" t="s">
        <v>2314</v>
      </c>
      <c r="B85" s="3665" t="s">
        <v>1977</v>
      </c>
      <c r="C85" s="3333" t="s">
        <v>2862</v>
      </c>
      <c r="D85" s="3333" t="s">
        <v>3136</v>
      </c>
      <c r="E85" s="3665" t="s">
        <v>2984</v>
      </c>
      <c r="F85" s="3665" t="s">
        <v>1979</v>
      </c>
      <c r="G85" s="3665" t="s">
        <v>3137</v>
      </c>
      <c r="H85" s="3333" t="s">
        <v>3138</v>
      </c>
      <c r="I85" s="3665" t="s">
        <v>3140</v>
      </c>
      <c r="J85" s="3665" t="s">
        <v>3141</v>
      </c>
      <c r="K85" s="3667" t="s">
        <v>3142</v>
      </c>
      <c r="L85" s="3667" t="s">
        <v>3143</v>
      </c>
      <c r="M85" s="3660" t="s">
        <v>3144</v>
      </c>
      <c r="N85" s="3660" t="s">
        <v>3145</v>
      </c>
      <c r="O85" s="3662" t="s">
        <v>3146</v>
      </c>
    </row>
    <row r="86" spans="1:18" ht="21.75" customHeight="1" thickBot="1">
      <c r="A86" s="3670"/>
      <c r="B86" s="3666"/>
      <c r="C86" s="3334" t="s">
        <v>3135</v>
      </c>
      <c r="D86" s="3334" t="s">
        <v>3135</v>
      </c>
      <c r="E86" s="3666"/>
      <c r="F86" s="3666"/>
      <c r="G86" s="3666"/>
      <c r="H86" s="3335" t="s">
        <v>3139</v>
      </c>
      <c r="I86" s="3666"/>
      <c r="J86" s="3666"/>
      <c r="K86" s="3668"/>
      <c r="L86" s="3668"/>
      <c r="M86" s="3661"/>
      <c r="N86" s="3661"/>
      <c r="O86" s="3663"/>
    </row>
    <row r="87" spans="1:18" ht="84.75" thickTop="1">
      <c r="A87" s="3800">
        <v>1</v>
      </c>
      <c r="B87" s="3801" t="s">
        <v>3129</v>
      </c>
      <c r="C87" s="3802">
        <v>34812</v>
      </c>
      <c r="D87" s="3802">
        <v>19340</v>
      </c>
      <c r="E87" s="3802" t="s">
        <v>3130</v>
      </c>
      <c r="F87" s="3802">
        <v>1.8</v>
      </c>
      <c r="G87" s="3803">
        <v>43873</v>
      </c>
      <c r="H87" s="3802">
        <v>5764.87</v>
      </c>
      <c r="I87" s="3802">
        <v>2352.65</v>
      </c>
      <c r="J87" s="3802">
        <v>3412.22</v>
      </c>
      <c r="K87" s="3802">
        <v>1656</v>
      </c>
      <c r="L87" s="3802">
        <v>2980</v>
      </c>
      <c r="M87" s="3804" t="s">
        <v>943</v>
      </c>
      <c r="N87" s="3804" t="s">
        <v>943</v>
      </c>
      <c r="O87" s="3805">
        <v>0.59</v>
      </c>
      <c r="P87" s="2">
        <f>I87*10000/D87</f>
        <v>1216.4684591520165</v>
      </c>
      <c r="R87" s="2">
        <f>P87/L87</f>
        <v>0.40821089233289143</v>
      </c>
    </row>
    <row r="88" spans="1:18" ht="72">
      <c r="A88" s="3806">
        <v>2</v>
      </c>
      <c r="B88" s="3807" t="s">
        <v>3131</v>
      </c>
      <c r="C88" s="3808">
        <v>93237</v>
      </c>
      <c r="D88" s="3808">
        <v>46618.33</v>
      </c>
      <c r="E88" s="3808" t="s">
        <v>3130</v>
      </c>
      <c r="F88" s="3808">
        <v>2</v>
      </c>
      <c r="G88" s="3809">
        <v>43577</v>
      </c>
      <c r="H88" s="3808">
        <v>16204.59</v>
      </c>
      <c r="I88" s="3808">
        <v>5047.03</v>
      </c>
      <c r="J88" s="3808">
        <v>11157.56</v>
      </c>
      <c r="K88" s="3808">
        <v>1738</v>
      </c>
      <c r="L88" s="3808">
        <v>3476</v>
      </c>
      <c r="M88" s="3810">
        <v>3522</v>
      </c>
      <c r="N88" s="3810">
        <v>7044</v>
      </c>
      <c r="O88" s="3811">
        <v>0.69</v>
      </c>
      <c r="P88" s="2">
        <f>I88*10000/D88</f>
        <v>1082.6277989795001</v>
      </c>
    </row>
    <row r="89" spans="1:18" ht="84">
      <c r="A89" s="3812">
        <v>3</v>
      </c>
      <c r="B89" s="3813" t="s">
        <v>3132</v>
      </c>
      <c r="C89" s="3814">
        <v>15660</v>
      </c>
      <c r="D89" s="3814">
        <v>8700</v>
      </c>
      <c r="E89" s="3814" t="s">
        <v>3130</v>
      </c>
      <c r="F89" s="3814">
        <v>1.8</v>
      </c>
      <c r="G89" s="3815">
        <v>43577</v>
      </c>
      <c r="H89" s="3814">
        <v>2593.3000000000002</v>
      </c>
      <c r="I89" s="3814">
        <v>1058.33</v>
      </c>
      <c r="J89" s="3814">
        <v>1534.97</v>
      </c>
      <c r="K89" s="3814">
        <v>1656</v>
      </c>
      <c r="L89" s="3814">
        <v>2980</v>
      </c>
      <c r="M89" s="3816">
        <v>3126</v>
      </c>
      <c r="N89" s="3816">
        <v>6252</v>
      </c>
      <c r="O89" s="3817">
        <v>0.59</v>
      </c>
      <c r="P89" s="2">
        <f t="shared" ref="P88:P96" si="1">I89*10000/D89</f>
        <v>1216.471264367816</v>
      </c>
    </row>
    <row r="90" spans="1:18" ht="84">
      <c r="A90" s="3806">
        <v>4</v>
      </c>
      <c r="B90" s="3807" t="s">
        <v>3133</v>
      </c>
      <c r="C90" s="3808">
        <v>30055</v>
      </c>
      <c r="D90" s="3808">
        <v>16697.47</v>
      </c>
      <c r="E90" s="3808" t="s">
        <v>3130</v>
      </c>
      <c r="F90" s="3808">
        <v>1.8</v>
      </c>
      <c r="G90" s="3809">
        <v>43662</v>
      </c>
      <c r="H90" s="3808">
        <v>4977.1099999999997</v>
      </c>
      <c r="I90" s="3808">
        <v>2031.17</v>
      </c>
      <c r="J90" s="3808">
        <v>2945.94</v>
      </c>
      <c r="K90" s="3808">
        <v>1656</v>
      </c>
      <c r="L90" s="3808">
        <v>2980</v>
      </c>
      <c r="M90" s="3810">
        <v>3126</v>
      </c>
      <c r="N90" s="3810">
        <v>6252</v>
      </c>
      <c r="O90" s="3811">
        <v>0.59</v>
      </c>
      <c r="P90" s="2">
        <f t="shared" si="1"/>
        <v>1216.4537501789193</v>
      </c>
    </row>
    <row r="91" spans="1:18">
      <c r="A91" s="3818"/>
      <c r="B91" s="3819"/>
      <c r="C91" s="3819"/>
      <c r="D91" s="3819"/>
      <c r="E91" s="3819"/>
      <c r="F91" s="3819"/>
      <c r="G91" s="3819"/>
      <c r="H91" s="3819"/>
      <c r="I91" s="3819"/>
      <c r="J91" s="3820" t="s">
        <v>3134</v>
      </c>
      <c r="K91" s="3820">
        <v>1677</v>
      </c>
      <c r="L91" s="3820">
        <v>3104</v>
      </c>
      <c r="M91" s="3819"/>
      <c r="N91" s="3819"/>
      <c r="O91" s="3821"/>
    </row>
    <row r="94" spans="1:18" ht="18" customHeight="1">
      <c r="A94" s="3671" t="s">
        <v>2314</v>
      </c>
      <c r="B94" s="3673" t="s">
        <v>1977</v>
      </c>
      <c r="C94" s="3673" t="s">
        <v>3147</v>
      </c>
      <c r="D94" s="3673" t="s">
        <v>3148</v>
      </c>
      <c r="E94" s="3673" t="s">
        <v>2984</v>
      </c>
      <c r="F94" s="3673" t="s">
        <v>1979</v>
      </c>
      <c r="G94" s="3673" t="s">
        <v>3137</v>
      </c>
      <c r="H94" s="3336" t="s">
        <v>3138</v>
      </c>
      <c r="I94" s="3673" t="s">
        <v>3140</v>
      </c>
      <c r="J94" s="3673" t="s">
        <v>3141</v>
      </c>
      <c r="K94" s="3673" t="s">
        <v>3149</v>
      </c>
      <c r="L94" s="3675" t="s">
        <v>3150</v>
      </c>
      <c r="M94" s="3676"/>
      <c r="N94" s="3675" t="s">
        <v>3146</v>
      </c>
      <c r="O94" s="3679"/>
    </row>
    <row r="95" spans="1:18">
      <c r="A95" s="3672"/>
      <c r="B95" s="3674"/>
      <c r="C95" s="3674"/>
      <c r="D95" s="3674"/>
      <c r="E95" s="3674"/>
      <c r="F95" s="3674"/>
      <c r="G95" s="3674"/>
      <c r="H95" s="3337" t="s">
        <v>3139</v>
      </c>
      <c r="I95" s="3674"/>
      <c r="J95" s="3674"/>
      <c r="K95" s="3674"/>
      <c r="L95" s="3677"/>
      <c r="M95" s="3678"/>
      <c r="N95" s="3677"/>
      <c r="O95" s="3680"/>
    </row>
    <row r="96" spans="1:18" ht="120">
      <c r="A96" s="3812">
        <v>1</v>
      </c>
      <c r="B96" s="3813" t="s">
        <v>3151</v>
      </c>
      <c r="C96" s="3814">
        <v>93400</v>
      </c>
      <c r="D96" s="3814">
        <v>46700</v>
      </c>
      <c r="E96" s="3814" t="s">
        <v>3152</v>
      </c>
      <c r="F96" s="3814">
        <v>2</v>
      </c>
      <c r="G96" s="3813" t="s">
        <v>3153</v>
      </c>
      <c r="H96" s="3813" t="s">
        <v>3154</v>
      </c>
      <c r="I96" s="3814">
        <v>5055.8599999999997</v>
      </c>
      <c r="J96" s="3814" t="s">
        <v>943</v>
      </c>
      <c r="K96" s="3814">
        <v>650</v>
      </c>
      <c r="L96" s="3822">
        <v>1299</v>
      </c>
      <c r="M96" s="3823"/>
      <c r="N96" s="3822" t="s">
        <v>943</v>
      </c>
      <c r="O96" s="3824"/>
      <c r="P96" s="2">
        <f t="shared" si="1"/>
        <v>1082.6252676659528</v>
      </c>
    </row>
    <row r="104" spans="1:15">
      <c r="A104" s="3686" t="s">
        <v>2976</v>
      </c>
      <c r="B104" s="3686" t="s">
        <v>2977</v>
      </c>
      <c r="C104" s="3686" t="s">
        <v>2978</v>
      </c>
      <c r="D104" s="3686" t="s">
        <v>2979</v>
      </c>
      <c r="E104" s="3686" t="s">
        <v>2980</v>
      </c>
      <c r="F104" s="3686" t="s">
        <v>2981</v>
      </c>
      <c r="G104" s="3686" t="s">
        <v>2982</v>
      </c>
      <c r="H104" s="3686" t="s">
        <v>2983</v>
      </c>
      <c r="I104" s="3686" t="s">
        <v>2984</v>
      </c>
      <c r="J104" s="3686" t="s">
        <v>2985</v>
      </c>
      <c r="K104" s="3687" t="s">
        <v>2986</v>
      </c>
      <c r="L104" s="3687" t="s">
        <v>2987</v>
      </c>
      <c r="M104" s="3687"/>
    </row>
    <row r="105" spans="1:15" ht="22.5">
      <c r="A105" s="3686"/>
      <c r="B105" s="3686"/>
      <c r="C105" s="3686"/>
      <c r="D105" s="3686"/>
      <c r="E105" s="3686"/>
      <c r="F105" s="3686"/>
      <c r="G105" s="3686"/>
      <c r="H105" s="3686"/>
      <c r="I105" s="3686"/>
      <c r="J105" s="3686"/>
      <c r="K105" s="3687"/>
      <c r="L105" s="3688" t="s">
        <v>2988</v>
      </c>
      <c r="M105" s="3688" t="s">
        <v>2989</v>
      </c>
    </row>
    <row r="106" spans="1:15" s="3683" customFormat="1" ht="144">
      <c r="A106" s="3689">
        <v>2018</v>
      </c>
      <c r="B106" s="3690" t="s">
        <v>3079</v>
      </c>
      <c r="C106" s="3690" t="s">
        <v>3044</v>
      </c>
      <c r="D106" s="3691" t="s">
        <v>3038</v>
      </c>
      <c r="E106" s="3691" t="s">
        <v>2995</v>
      </c>
      <c r="F106" s="3691" t="s">
        <v>3172</v>
      </c>
      <c r="G106" s="3691" t="s">
        <v>3080</v>
      </c>
      <c r="H106" s="3691" t="s">
        <v>2998</v>
      </c>
      <c r="I106" s="3692" t="s">
        <v>3081</v>
      </c>
      <c r="J106" s="3693" t="s">
        <v>3082</v>
      </c>
      <c r="K106" s="3691">
        <v>726.3</v>
      </c>
      <c r="L106" s="3694">
        <v>281939.06</v>
      </c>
      <c r="M106" s="3694">
        <v>704305.38</v>
      </c>
      <c r="N106" s="3681"/>
      <c r="O106" s="3682">
        <f>ROUND((M106+L106)/K106,1)</f>
        <v>1357.9</v>
      </c>
    </row>
    <row r="107" spans="1:15" s="3683" customFormat="1" ht="96">
      <c r="A107" s="3691">
        <v>2018</v>
      </c>
      <c r="B107" s="3690" t="s">
        <v>3083</v>
      </c>
      <c r="C107" s="3695" t="s">
        <v>2993</v>
      </c>
      <c r="D107" s="3692" t="s">
        <v>3094</v>
      </c>
      <c r="E107" s="3692" t="s">
        <v>3003</v>
      </c>
      <c r="F107" s="3692" t="s">
        <v>3173</v>
      </c>
      <c r="G107" s="3692" t="s">
        <v>3095</v>
      </c>
      <c r="H107" s="3692" t="s">
        <v>3012</v>
      </c>
      <c r="I107" s="3692" t="s">
        <v>3096</v>
      </c>
      <c r="J107" s="3693" t="s">
        <v>3097</v>
      </c>
      <c r="K107" s="3696">
        <v>29.09</v>
      </c>
      <c r="L107" s="3694">
        <v>12773.36</v>
      </c>
      <c r="M107" s="3694">
        <v>231746.85</v>
      </c>
      <c r="N107" s="3684">
        <v>560</v>
      </c>
      <c r="O107" s="3682">
        <f t="shared" ref="O107:O108" si="2">ROUND((M107+L107)/K107,1)</f>
        <v>8405.6</v>
      </c>
    </row>
    <row r="108" spans="1:15" s="3683" customFormat="1" ht="156">
      <c r="A108" s="3691">
        <v>2018</v>
      </c>
      <c r="B108" s="3690" t="s">
        <v>3102</v>
      </c>
      <c r="C108" s="3691" t="s">
        <v>3099</v>
      </c>
      <c r="D108" s="3696" t="s">
        <v>3075</v>
      </c>
      <c r="E108" s="3696" t="s">
        <v>3003</v>
      </c>
      <c r="F108" s="3696" t="s">
        <v>3175</v>
      </c>
      <c r="G108" s="3696" t="s">
        <v>3103</v>
      </c>
      <c r="H108" s="3696" t="s">
        <v>3012</v>
      </c>
      <c r="I108" s="3696" t="s">
        <v>3104</v>
      </c>
      <c r="J108" s="3696" t="s">
        <v>3105</v>
      </c>
      <c r="K108" s="3696">
        <v>175.57</v>
      </c>
      <c r="L108" s="3694">
        <v>157294.39999999999</v>
      </c>
      <c r="M108" s="3694">
        <v>394653.43</v>
      </c>
      <c r="N108" s="3685"/>
      <c r="O108" s="3682">
        <f t="shared" si="2"/>
        <v>3143.7</v>
      </c>
    </row>
  </sheetData>
  <mergeCells count="51">
    <mergeCell ref="K104:K105"/>
    <mergeCell ref="L104:M104"/>
    <mergeCell ref="F104:F105"/>
    <mergeCell ref="G104:G105"/>
    <mergeCell ref="H104:H105"/>
    <mergeCell ref="I104:I105"/>
    <mergeCell ref="J104:J105"/>
    <mergeCell ref="A104:A105"/>
    <mergeCell ref="B104:B105"/>
    <mergeCell ref="C104:C105"/>
    <mergeCell ref="D104:D105"/>
    <mergeCell ref="E104:E105"/>
    <mergeCell ref="L94:M95"/>
    <mergeCell ref="N94:O95"/>
    <mergeCell ref="L96:M96"/>
    <mergeCell ref="N96:O96"/>
    <mergeCell ref="F94:F95"/>
    <mergeCell ref="G94:G95"/>
    <mergeCell ref="I94:I95"/>
    <mergeCell ref="J94:J95"/>
    <mergeCell ref="K94:K95"/>
    <mergeCell ref="A94:A95"/>
    <mergeCell ref="B94:B95"/>
    <mergeCell ref="C94:C95"/>
    <mergeCell ref="D94:D95"/>
    <mergeCell ref="E94:E95"/>
    <mergeCell ref="A85:A86"/>
    <mergeCell ref="B85:B86"/>
    <mergeCell ref="E85:E86"/>
    <mergeCell ref="F85:F86"/>
    <mergeCell ref="G85:G86"/>
    <mergeCell ref="I85:I86"/>
    <mergeCell ref="J85:J86"/>
    <mergeCell ref="K85:K86"/>
    <mergeCell ref="L85:L86"/>
    <mergeCell ref="M85:M86"/>
    <mergeCell ref="N85:N86"/>
    <mergeCell ref="O85:O86"/>
    <mergeCell ref="J2:J3"/>
    <mergeCell ref="K2:K3"/>
    <mergeCell ref="L2:M2"/>
    <mergeCell ref="A1:M1"/>
    <mergeCell ref="A2:A3"/>
    <mergeCell ref="B2:B3"/>
    <mergeCell ref="C2:C3"/>
    <mergeCell ref="D2:D3"/>
    <mergeCell ref="E2:E3"/>
    <mergeCell ref="F2:F3"/>
    <mergeCell ref="G2:G3"/>
    <mergeCell ref="H2:H3"/>
    <mergeCell ref="I2:I3"/>
  </mergeCells>
  <phoneticPr fontId="280" type="noConversion"/>
  <conditionalFormatting sqref="B26">
    <cfRule type="dataBar" priority="8">
      <dataBar>
        <cfvo type="min"/>
        <cfvo type="max"/>
        <color rgb="FF638EC6"/>
      </dataBar>
      <extLst>
        <ext xmlns:x14="http://schemas.microsoft.com/office/spreadsheetml/2009/9/main" uri="{B025F937-C7B1-47D3-B67F-A62EFF666E3E}">
          <x14:id>{8513FF1E-007A-4CE2-9AFE-05E300D3B6B0}</x14:id>
        </ext>
      </extLst>
    </cfRule>
  </conditionalFormatting>
  <conditionalFormatting sqref="B27">
    <cfRule type="dataBar" priority="7">
      <dataBar>
        <cfvo type="min"/>
        <cfvo type="max"/>
        <color rgb="FF638EC6"/>
      </dataBar>
      <extLst>
        <ext xmlns:x14="http://schemas.microsoft.com/office/spreadsheetml/2009/9/main" uri="{B025F937-C7B1-47D3-B67F-A62EFF666E3E}">
          <x14:id>{53544B9A-8E84-470C-A645-E2541E1DBBAA}</x14:id>
        </ext>
      </extLst>
    </cfRule>
  </conditionalFormatting>
  <conditionalFormatting sqref="B28">
    <cfRule type="dataBar" priority="6">
      <dataBar>
        <cfvo type="min"/>
        <cfvo type="max"/>
        <color rgb="FF638EC6"/>
      </dataBar>
      <extLst>
        <ext xmlns:x14="http://schemas.microsoft.com/office/spreadsheetml/2009/9/main" uri="{B025F937-C7B1-47D3-B67F-A62EFF666E3E}">
          <x14:id>{CFFA46E4-76F5-4FD4-AE3A-AEE1A6031F1E}</x14:id>
        </ext>
      </extLst>
    </cfRule>
  </conditionalFormatting>
  <conditionalFormatting sqref="B29">
    <cfRule type="dataBar" priority="5">
      <dataBar>
        <cfvo type="min"/>
        <cfvo type="max"/>
        <color rgb="FF638EC6"/>
      </dataBar>
      <extLst>
        <ext xmlns:x14="http://schemas.microsoft.com/office/spreadsheetml/2009/9/main" uri="{B025F937-C7B1-47D3-B67F-A62EFF666E3E}">
          <x14:id>{CB0B69DC-CDF8-4EAE-9538-39D0F4A0FE47}</x14:id>
        </ext>
      </extLst>
    </cfRule>
  </conditionalFormatting>
  <conditionalFormatting sqref="B30">
    <cfRule type="dataBar" priority="4">
      <dataBar>
        <cfvo type="min"/>
        <cfvo type="max"/>
        <color rgb="FF638EC6"/>
      </dataBar>
      <extLst>
        <ext xmlns:x14="http://schemas.microsoft.com/office/spreadsheetml/2009/9/main" uri="{B025F937-C7B1-47D3-B67F-A62EFF666E3E}">
          <x14:id>{6A8E26EE-1269-424B-8C12-6D88A05C0099}</x14:id>
        </ext>
      </extLst>
    </cfRule>
  </conditionalFormatting>
  <conditionalFormatting sqref="B31">
    <cfRule type="dataBar" priority="3">
      <dataBar>
        <cfvo type="min"/>
        <cfvo type="max"/>
        <color rgb="FF638EC6"/>
      </dataBar>
      <extLst>
        <ext xmlns:x14="http://schemas.microsoft.com/office/spreadsheetml/2009/9/main" uri="{B025F937-C7B1-47D3-B67F-A62EFF666E3E}">
          <x14:id>{06E48080-21C7-4E47-9DE4-3D54AC8E6F2B}</x14:id>
        </ext>
      </extLst>
    </cfRule>
  </conditionalFormatting>
  <conditionalFormatting sqref="B32">
    <cfRule type="dataBar" priority="2">
      <dataBar>
        <cfvo type="min"/>
        <cfvo type="max"/>
        <color rgb="FF638EC6"/>
      </dataBar>
      <extLst>
        <ext xmlns:x14="http://schemas.microsoft.com/office/spreadsheetml/2009/9/main" uri="{B025F937-C7B1-47D3-B67F-A62EFF666E3E}">
          <x14:id>{C4FC8008-6604-48BC-AD53-CA8955099920}</x14:id>
        </ext>
      </extLst>
    </cfRule>
  </conditionalFormatting>
  <conditionalFormatting sqref="B108">
    <cfRule type="dataBar" priority="1">
      <dataBar>
        <cfvo type="min"/>
        <cfvo type="max"/>
        <color rgb="FF638EC6"/>
      </dataBar>
      <extLst>
        <ext xmlns:x14="http://schemas.microsoft.com/office/spreadsheetml/2009/9/main" uri="{B025F937-C7B1-47D3-B67F-A62EFF666E3E}">
          <x14:id>{BAB5DC0D-EABC-4E4B-A2B2-D30613047108}</x14:id>
        </ext>
      </extLst>
    </cfRule>
  </conditionalFormatting>
  <dataValidations count="1">
    <dataValidation type="list" allowBlank="1" showInputMessage="1" showErrorMessage="1" sqref="E6 E10:E32 E106:E108">
      <formula1>"公开出让,协议出让,划拨"</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8513FF1E-007A-4CE2-9AFE-05E300D3B6B0}">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53544B9A-8E84-470C-A645-E2541E1DBBAA}">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CFFA46E4-76F5-4FD4-AE3A-AEE1A6031F1E}">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CB0B69DC-CDF8-4EAE-9538-39D0F4A0FE47}">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6A8E26EE-1269-424B-8C12-6D88A05C0099}">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06E48080-21C7-4E47-9DE4-3D54AC8E6F2B}">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C4FC8008-6604-48BC-AD53-CA8955099920}">
            <x14:dataBar minLength="0" maxLength="100" gradient="0">
              <x14:cfvo type="autoMin"/>
              <x14:cfvo type="autoMax"/>
              <x14:negativeFillColor rgb="FFFF0000"/>
              <x14:axisColor rgb="FF000000"/>
            </x14:dataBar>
          </x14:cfRule>
          <xm:sqref>B32</xm:sqref>
        </x14:conditionalFormatting>
        <x14:conditionalFormatting xmlns:xm="http://schemas.microsoft.com/office/excel/2006/main">
          <x14:cfRule type="dataBar" id="{BAB5DC0D-EABC-4E4B-A2B2-D30613047108}">
            <x14:dataBar minLength="0" maxLength="100" gradient="0">
              <x14:cfvo type="autoMin"/>
              <x14:cfvo type="autoMax"/>
              <x14:negativeFillColor rgb="FFFF0000"/>
              <x14:axisColor rgb="FF000000"/>
            </x14:dataBar>
          </x14:cfRule>
          <xm:sqref>B108</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353" t="s">
        <v>1985</v>
      </c>
      <c r="B1" s="3353"/>
      <c r="C1" s="3353"/>
      <c r="D1" s="3353"/>
      <c r="E1" s="3353"/>
      <c r="F1" s="3353"/>
      <c r="G1" s="3353"/>
      <c r="H1" s="3353"/>
      <c r="I1" s="3353"/>
      <c r="J1" s="3353"/>
      <c r="K1" s="3353"/>
      <c r="L1" s="3353"/>
      <c r="M1" s="3353"/>
      <c r="N1" s="3353"/>
      <c r="O1" s="3353"/>
      <c r="P1" s="3353"/>
      <c r="Q1" s="3353"/>
      <c r="R1" s="3353"/>
    </row>
    <row r="2" spans="1:18">
      <c r="A2" s="1722" t="s">
        <v>1987</v>
      </c>
      <c r="B2" s="1722"/>
      <c r="C2" s="1722"/>
      <c r="D2" s="1722"/>
      <c r="E2" s="1722"/>
      <c r="F2" s="1722"/>
      <c r="G2" s="1722"/>
      <c r="H2" s="1722"/>
      <c r="I2" s="1723"/>
      <c r="J2" s="1723"/>
      <c r="K2" s="1724" t="str">
        <f>"估价期日："&amp;TEXT(项目基本情况!D3,"yyyy年m月d日;;")</f>
        <v>估价期日：2020年9月23日</v>
      </c>
      <c r="L2" s="1722"/>
      <c r="M2" s="1722"/>
      <c r="N2" s="1722"/>
      <c r="O2" s="1722"/>
      <c r="P2" s="1722"/>
      <c r="Q2" s="1722"/>
      <c r="R2" s="1724" t="str">
        <f>"估价期日的国有建设用地使用权性质："&amp;项目基本情况!B16</f>
        <v>估价期日的国有建设用地使用权性质：划拨</v>
      </c>
    </row>
    <row r="3" spans="1:18" ht="23.25" customHeight="1">
      <c r="A3" s="3349" t="s">
        <v>1976</v>
      </c>
      <c r="B3" s="3349" t="s">
        <v>2664</v>
      </c>
      <c r="C3" s="3354" t="s">
        <v>1977</v>
      </c>
      <c r="D3" s="3349" t="s">
        <v>2668</v>
      </c>
      <c r="E3" s="3355" t="s">
        <v>1978</v>
      </c>
      <c r="F3" s="3355"/>
      <c r="G3" s="3355"/>
      <c r="H3" s="3355" t="s">
        <v>1979</v>
      </c>
      <c r="I3" s="3355"/>
      <c r="J3" s="3355"/>
      <c r="K3" s="3354" t="s">
        <v>1980</v>
      </c>
      <c r="L3" s="3354" t="s">
        <v>1981</v>
      </c>
      <c r="M3" s="3349" t="s">
        <v>2665</v>
      </c>
      <c r="N3" s="3348" t="str">
        <f>"（分摊）"&amp;项目基本情况!B16&amp;"国有建设用地使用权面积/㎡"</f>
        <v>（分摊）划拨国有建设用地使用权面积/㎡</v>
      </c>
      <c r="O3" s="3349" t="s">
        <v>2010</v>
      </c>
      <c r="P3" s="3354" t="s">
        <v>1990</v>
      </c>
      <c r="Q3" s="3354" t="s">
        <v>2011</v>
      </c>
      <c r="R3" s="3354" t="s">
        <v>1982</v>
      </c>
    </row>
    <row r="4" spans="1:18" ht="36.75" customHeight="1">
      <c r="A4" s="3349"/>
      <c r="B4" s="3349"/>
      <c r="C4" s="3354"/>
      <c r="D4" s="3349"/>
      <c r="E4" s="2488" t="s">
        <v>1989</v>
      </c>
      <c r="F4" s="2488" t="s">
        <v>2677</v>
      </c>
      <c r="G4" s="2488" t="s">
        <v>1983</v>
      </c>
      <c r="H4" s="2488" t="s">
        <v>1984</v>
      </c>
      <c r="I4" s="2488" t="s">
        <v>2678</v>
      </c>
      <c r="J4" s="2488" t="s">
        <v>1983</v>
      </c>
      <c r="K4" s="3354"/>
      <c r="L4" s="3354"/>
      <c r="M4" s="3349"/>
      <c r="N4" s="3348"/>
      <c r="O4" s="3349"/>
      <c r="P4" s="3354"/>
      <c r="Q4" s="3354"/>
      <c r="R4" s="3354"/>
    </row>
    <row r="5" spans="1:18" ht="135" customHeight="1">
      <c r="A5" s="1857" t="s">
        <v>2588</v>
      </c>
      <c r="B5" s="2581" t="s">
        <v>2586</v>
      </c>
      <c r="C5" s="2487">
        <v>22</v>
      </c>
      <c r="D5" s="2486" t="s">
        <v>2587</v>
      </c>
      <c r="E5" s="1725">
        <f>项目基本情况!B12</f>
        <v>0</v>
      </c>
      <c r="F5" s="2486">
        <v>258</v>
      </c>
      <c r="G5" s="1725">
        <f>项目基本情况!B13</f>
        <v>0</v>
      </c>
      <c r="H5" s="2486">
        <v>1.5</v>
      </c>
      <c r="I5" s="2486">
        <v>1.5</v>
      </c>
      <c r="J5" s="2486">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t="str">
        <f>IF(项目基本情况!B16="出让",项目基本情况!D20,"——")</f>
        <v>——</v>
      </c>
      <c r="N5" s="1725">
        <f>项目基本情况!C22</f>
        <v>22121.8</v>
      </c>
      <c r="O5" s="1725">
        <f>项目基本情况!C21</f>
        <v>6546.1</v>
      </c>
      <c r="P5" s="1725">
        <f ca="1">结果表!E42</f>
        <v>2815</v>
      </c>
      <c r="Q5" s="1725">
        <f ca="1">结果表!D42</f>
        <v>9513</v>
      </c>
      <c r="R5" s="1726">
        <f ca="1">结果表!C42</f>
        <v>6227</v>
      </c>
    </row>
    <row r="6" spans="1:18">
      <c r="A6" s="3350" t="str">
        <f>IF(项目基本情况!B9="市场价格","——","抵押价格")</f>
        <v>——</v>
      </c>
      <c r="B6" s="3351"/>
      <c r="C6" s="3351"/>
      <c r="D6" s="3351"/>
      <c r="E6" s="3351"/>
      <c r="F6" s="3351"/>
      <c r="G6" s="3351"/>
      <c r="H6" s="3351"/>
      <c r="I6" s="3351"/>
      <c r="J6" s="3351"/>
      <c r="K6" s="3351"/>
      <c r="L6" s="3351"/>
      <c r="M6" s="3351"/>
      <c r="N6" s="3351"/>
      <c r="O6" s="3351"/>
      <c r="P6" s="3351"/>
      <c r="Q6" s="3352"/>
      <c r="R6" s="1727" t="str">
        <f>结果表!O39</f>
        <v>——</v>
      </c>
    </row>
    <row r="7" spans="1:18">
      <c r="A7" s="3350" t="str">
        <f>IF(项目基本情况!B9="市场价格","——",IF(项目基本情况!E8="已注销及未注销","抵押担保权已注销时的抵押价格","——"))</f>
        <v>——</v>
      </c>
      <c r="B7" s="3351"/>
      <c r="C7" s="3351"/>
      <c r="D7" s="3351"/>
      <c r="E7" s="3351"/>
      <c r="F7" s="3351"/>
      <c r="G7" s="3351"/>
      <c r="H7" s="3351"/>
      <c r="I7" s="3351"/>
      <c r="J7" s="3351"/>
      <c r="K7" s="3351"/>
      <c r="L7" s="3351"/>
      <c r="M7" s="3351"/>
      <c r="N7" s="3351"/>
      <c r="O7" s="3351"/>
      <c r="P7" s="3351"/>
      <c r="Q7" s="3352"/>
      <c r="R7" s="1727">
        <f ca="1">结果表!O40</f>
        <v>6227</v>
      </c>
    </row>
    <row r="8" spans="1:18">
      <c r="A8" s="3350" t="str">
        <f>IF(项目基本情况!B9="市场价格","——",项目基本情况!E9)</f>
        <v>——</v>
      </c>
      <c r="B8" s="3351"/>
      <c r="C8" s="3351"/>
      <c r="D8" s="3351"/>
      <c r="E8" s="3351"/>
      <c r="F8" s="3351"/>
      <c r="G8" s="3351"/>
      <c r="H8" s="3351"/>
      <c r="I8" s="3351"/>
      <c r="J8" s="3351"/>
      <c r="K8" s="3351"/>
      <c r="L8" s="3351"/>
      <c r="M8" s="3351"/>
      <c r="N8" s="3351"/>
      <c r="O8" s="3351"/>
      <c r="P8" s="3351"/>
      <c r="Q8" s="3352"/>
      <c r="R8" s="1727" t="str">
        <f>结果表!O41</f>
        <v>——</v>
      </c>
    </row>
    <row r="9" spans="1:18">
      <c r="A9" s="1728" t="s">
        <v>1988</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1975</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1:R1"/>
    <mergeCell ref="A3:A4"/>
    <mergeCell ref="B3:B4"/>
    <mergeCell ref="C3:C4"/>
    <mergeCell ref="D3:D4"/>
    <mergeCell ref="K3:K4"/>
    <mergeCell ref="L3:L4"/>
    <mergeCell ref="Q3:Q4"/>
    <mergeCell ref="R3:R4"/>
    <mergeCell ref="P3:P4"/>
    <mergeCell ref="E3:G3"/>
    <mergeCell ref="H3:J3"/>
    <mergeCell ref="M3:M4"/>
    <mergeCell ref="N3:N4"/>
    <mergeCell ref="O3:O4"/>
    <mergeCell ref="A8:Q8"/>
    <mergeCell ref="A7:Q7"/>
    <mergeCell ref="A6:Q6"/>
  </mergeCells>
  <phoneticPr fontId="135"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625" style="1717" customWidth="1"/>
    <col min="2" max="3" width="21.375" style="1717" customWidth="1"/>
    <col min="4" max="4" width="19.875" style="1717" customWidth="1"/>
    <col min="5" max="16384" width="9" style="1717"/>
  </cols>
  <sheetData>
    <row r="1" spans="1:4">
      <c r="A1" s="3356" t="s">
        <v>2012</v>
      </c>
      <c r="B1" s="3356"/>
      <c r="C1" s="3356"/>
      <c r="D1" s="3356"/>
    </row>
    <row r="2" spans="1:4" ht="47.25" customHeight="1">
      <c r="A2" s="3357" t="str">
        <f>"1.权利限制："&amp;项目基本情况!L24&amp;"未设定租赁等其他他项权利。"</f>
        <v>1.权利限制：根据估价对象《不动产权证书》原件、《国有土地使用权》复印件，截至估价期日，估价对象抵押权未见登记。未设定租赁等其他他项权利。</v>
      </c>
      <c r="B2" s="3357"/>
      <c r="C2" s="3357"/>
      <c r="D2" s="3357"/>
    </row>
    <row r="3" spans="1:4" ht="48" customHeight="1">
      <c r="A3" s="335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56"/>
      <c r="C3" s="3356"/>
      <c r="D3" s="3356"/>
    </row>
    <row r="4" spans="1:4" ht="36.75" customHeight="1">
      <c r="A4" s="3356" t="str">
        <f>"3.估价规划限制条件：详见"&amp;项目基本情况!E21&amp;"。"</f>
        <v>3.估价规划限制条件：详见《建设工程规划许可证》[]、《出让合同》[]。</v>
      </c>
      <c r="B4" s="3356"/>
      <c r="C4" s="3356"/>
      <c r="D4" s="3356"/>
    </row>
    <row r="5" spans="1:4">
      <c r="A5" s="3358" t="s">
        <v>2013</v>
      </c>
      <c r="B5" s="3358"/>
      <c r="C5" s="3358"/>
      <c r="D5" s="3358"/>
    </row>
    <row r="6" spans="1:4">
      <c r="A6" s="3356" t="s">
        <v>1991</v>
      </c>
      <c r="B6" s="3356"/>
      <c r="C6" s="3356"/>
      <c r="D6" s="3356"/>
    </row>
    <row r="7" spans="1:4" ht="33" customHeight="1">
      <c r="A7" s="3356" t="s">
        <v>2508</v>
      </c>
      <c r="B7" s="3356"/>
      <c r="C7" s="3356"/>
      <c r="D7" s="3356"/>
    </row>
    <row r="8" spans="1:4" ht="32.25" customHeight="1">
      <c r="A8" s="335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56"/>
      <c r="C8" s="3356"/>
      <c r="D8" s="3356"/>
    </row>
    <row r="9" spans="1:4" ht="33.75" customHeight="1">
      <c r="A9" s="3356" t="str">
        <f>IF(项目基本情况!B8="抵押","3.抵押双方在办理抵押登记手续时，应使用本公司出具的正式《土地估价报告》，特提请报告使用者注意。","——")</f>
        <v>——</v>
      </c>
      <c r="B9" s="3356"/>
      <c r="C9" s="3356"/>
      <c r="D9" s="3356"/>
    </row>
    <row r="10" spans="1:4">
      <c r="A10" s="3356" t="str">
        <f>IF(项目基本情况!B8="抵押","4.估价师所知悉的法定优先受偿款情况为：","——")</f>
        <v>——</v>
      </c>
      <c r="B10" s="3356"/>
      <c r="C10" s="3356"/>
      <c r="D10" s="3356"/>
    </row>
    <row r="11" spans="1:4" ht="37.5" customHeight="1">
      <c r="A11" s="3359" t="str">
        <f>IF(项目基本情况!B8="抵押","（1）"&amp;CONCATENATE(项目基本情况!L24,项目基本情况!L25,项目基本情况!L26),"——")</f>
        <v>——</v>
      </c>
      <c r="B11" s="3359"/>
      <c r="C11" s="3359"/>
      <c r="D11" s="3359"/>
    </row>
    <row r="12" spans="1:4" ht="168" customHeight="1">
      <c r="A12" s="3358" t="s">
        <v>2015</v>
      </c>
      <c r="B12" s="3358"/>
      <c r="C12" s="3358"/>
      <c r="D12" s="3358"/>
    </row>
    <row r="13" spans="1:4">
      <c r="A13" s="3360" t="s">
        <v>2679</v>
      </c>
      <c r="B13" s="3360"/>
      <c r="C13" s="3360"/>
      <c r="D13" s="3360"/>
    </row>
    <row r="14" spans="1:4">
      <c r="A14" s="3359" t="str">
        <f>IF(项目基本情况!B8="抵押","综上，"&amp;结果表!K47,"——")</f>
        <v>——</v>
      </c>
      <c r="B14" s="3359"/>
      <c r="C14" s="3359"/>
      <c r="D14" s="3359"/>
    </row>
    <row r="15" spans="1:4" ht="58.5" customHeight="1">
      <c r="A15" s="335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56"/>
      <c r="C15" s="3356"/>
      <c r="D15" s="3356"/>
    </row>
    <row r="16" spans="1:4" ht="70.5" customHeight="1">
      <c r="A16" s="335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56"/>
      <c r="C16" s="3356"/>
      <c r="D16" s="3356"/>
    </row>
    <row r="17" spans="1:4">
      <c r="A17" s="3356" t="s">
        <v>2635</v>
      </c>
      <c r="B17" s="3356"/>
      <c r="C17" s="3356"/>
      <c r="D17" s="3356"/>
    </row>
    <row r="18" spans="1:4">
      <c r="A18" s="3356" t="s">
        <v>2627</v>
      </c>
      <c r="B18" s="3356"/>
      <c r="C18" s="3356"/>
      <c r="D18" s="3356"/>
    </row>
    <row r="19" spans="1:4">
      <c r="A19" s="2582" t="s">
        <v>2628</v>
      </c>
      <c r="B19" s="2582" t="s">
        <v>2629</v>
      </c>
      <c r="C19" s="2582" t="s">
        <v>2630</v>
      </c>
      <c r="D19" s="2582" t="s">
        <v>2631</v>
      </c>
    </row>
    <row r="20" spans="1:4">
      <c r="A20" s="2582" t="str">
        <f>项目基本情况!B4</f>
        <v>土地估价师</v>
      </c>
      <c r="B20" s="2582">
        <f>项目基本情况!C4</f>
        <v>0</v>
      </c>
      <c r="C20" s="2584"/>
      <c r="D20" s="1715" t="s">
        <v>2636</v>
      </c>
    </row>
    <row r="21" spans="1:4">
      <c r="A21" s="2582" t="str">
        <f>项目基本情况!D4</f>
        <v>土地估价师</v>
      </c>
      <c r="B21" s="2582">
        <f>项目基本情况!E4</f>
        <v>0</v>
      </c>
      <c r="C21" s="2584"/>
      <c r="D21" s="1715" t="s">
        <v>2637</v>
      </c>
    </row>
    <row r="23" spans="1:4">
      <c r="A23" s="3356" t="s">
        <v>2632</v>
      </c>
      <c r="B23" s="3356"/>
      <c r="C23" s="3356"/>
      <c r="D23" s="3356"/>
    </row>
    <row r="24" spans="1:4">
      <c r="A24" s="2582" t="s">
        <v>2628</v>
      </c>
      <c r="B24" s="2582" t="s">
        <v>2633</v>
      </c>
      <c r="C24" s="2582" t="s">
        <v>2630</v>
      </c>
      <c r="D24" s="2582" t="s">
        <v>2631</v>
      </c>
    </row>
    <row r="25" spans="1:4">
      <c r="A25" s="2585" t="s">
        <v>2634</v>
      </c>
      <c r="B25" s="2582" t="s">
        <v>943</v>
      </c>
      <c r="C25" s="2584"/>
      <c r="D25" s="1715" t="s">
        <v>2637</v>
      </c>
    </row>
    <row r="29" spans="1:4">
      <c r="D29" s="2583" t="s">
        <v>1986</v>
      </c>
    </row>
    <row r="30" spans="1:4">
      <c r="D30" s="2586">
        <v>42558</v>
      </c>
    </row>
  </sheetData>
  <sheetProtection sheet="1" objects="1" scenarios="1" formatCells="0" formatRows="0" insertRows="0" deleteRows="0"/>
  <mergeCells count="19">
    <mergeCell ref="A10:D10"/>
    <mergeCell ref="A11:D11"/>
    <mergeCell ref="A23:D23"/>
    <mergeCell ref="A13:D13"/>
    <mergeCell ref="A14:D14"/>
    <mergeCell ref="A15:D15"/>
    <mergeCell ref="A16:D16"/>
    <mergeCell ref="A17:D17"/>
    <mergeCell ref="A18:D18"/>
    <mergeCell ref="A12:D12"/>
    <mergeCell ref="A6:D6"/>
    <mergeCell ref="A7:D7"/>
    <mergeCell ref="A8:D8"/>
    <mergeCell ref="A9:D9"/>
    <mergeCell ref="A1:D1"/>
    <mergeCell ref="A2:D2"/>
    <mergeCell ref="A3:D3"/>
    <mergeCell ref="A4:D4"/>
    <mergeCell ref="A5:D5"/>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68" t="s">
        <v>53</v>
      </c>
      <c r="B15" s="3369" t="s">
        <v>838</v>
      </c>
      <c r="C15" s="3365"/>
    </row>
    <row r="16" spans="1:7" ht="14.25">
      <c r="A16" s="3368"/>
      <c r="B16" s="3366" t="s">
        <v>54</v>
      </c>
      <c r="C16" s="1155" t="s">
        <v>53</v>
      </c>
    </row>
    <row r="17" spans="1:3" ht="14.25">
      <c r="A17" s="3368"/>
      <c r="B17" s="3366"/>
      <c r="C17" s="1155" t="s">
        <v>55</v>
      </c>
    </row>
    <row r="18" spans="1:3" ht="14.25">
      <c r="A18" s="3368"/>
      <c r="B18" s="3366"/>
      <c r="C18" s="1155" t="s">
        <v>56</v>
      </c>
    </row>
    <row r="19" spans="1:3" ht="14.25">
      <c r="A19" s="3368"/>
      <c r="B19" s="3364" t="s">
        <v>57</v>
      </c>
      <c r="C19" s="3365"/>
    </row>
    <row r="20" spans="1:3" ht="14.25">
      <c r="A20" s="1156" t="s">
        <v>58</v>
      </c>
      <c r="B20" s="1157"/>
      <c r="C20" s="1158"/>
    </row>
    <row r="21" spans="1:3" ht="14.25">
      <c r="A21" s="3367" t="s">
        <v>59</v>
      </c>
      <c r="B21" s="3364" t="s">
        <v>60</v>
      </c>
      <c r="C21" s="3365"/>
    </row>
    <row r="22" spans="1:3" ht="14.25">
      <c r="A22" s="3367"/>
      <c r="B22" s="3364" t="s">
        <v>61</v>
      </c>
      <c r="C22" s="3365"/>
    </row>
    <row r="23" spans="1:3" ht="14.25">
      <c r="A23" s="3367"/>
      <c r="B23" s="3364" t="s">
        <v>62</v>
      </c>
      <c r="C23" s="3365"/>
    </row>
    <row r="24" spans="1:3" ht="14.25">
      <c r="A24" s="3367"/>
      <c r="B24" s="3370" t="s">
        <v>63</v>
      </c>
      <c r="C24" s="1159" t="s">
        <v>829</v>
      </c>
    </row>
    <row r="25" spans="1:3" ht="14.25">
      <c r="A25" s="3367"/>
      <c r="B25" s="3371"/>
      <c r="C25" s="1159" t="s">
        <v>830</v>
      </c>
    </row>
    <row r="26" spans="1:3" ht="14.25">
      <c r="A26" s="3367"/>
      <c r="B26" s="3371"/>
      <c r="C26" s="1159" t="s">
        <v>831</v>
      </c>
    </row>
    <row r="27" spans="1:3" ht="14.25">
      <c r="A27" s="3367"/>
      <c r="B27" s="3371"/>
      <c r="C27" s="1159" t="s">
        <v>832</v>
      </c>
    </row>
    <row r="28" spans="1:3" ht="14.25">
      <c r="A28" s="3367"/>
      <c r="B28" s="3371"/>
      <c r="C28" s="1159" t="s">
        <v>833</v>
      </c>
    </row>
    <row r="29" spans="1:3" ht="14.25">
      <c r="A29" s="3367"/>
      <c r="B29" s="3371"/>
      <c r="C29" s="1159" t="s">
        <v>834</v>
      </c>
    </row>
    <row r="30" spans="1:3" ht="14.25">
      <c r="A30" s="3367"/>
      <c r="B30" s="3371"/>
      <c r="C30" s="1159" t="s">
        <v>835</v>
      </c>
    </row>
    <row r="31" spans="1:3" ht="14.25">
      <c r="A31" s="3367"/>
      <c r="B31" s="3371"/>
      <c r="C31" s="1159" t="s">
        <v>836</v>
      </c>
    </row>
    <row r="32" spans="1:3" ht="14.25">
      <c r="A32" s="3367"/>
      <c r="B32" s="3371"/>
      <c r="C32" s="1159" t="s">
        <v>1637</v>
      </c>
    </row>
    <row r="33" spans="1:3" ht="14.25">
      <c r="A33" s="3367"/>
      <c r="B33" s="3361" t="s">
        <v>1643</v>
      </c>
      <c r="C33" s="1159" t="s">
        <v>1638</v>
      </c>
    </row>
    <row r="34" spans="1:3" ht="14.25">
      <c r="A34" s="3367"/>
      <c r="B34" s="3362"/>
      <c r="C34" s="1164" t="s">
        <v>1639</v>
      </c>
    </row>
    <row r="35" spans="1:3" ht="14.25">
      <c r="A35" s="3367"/>
      <c r="B35" s="3362"/>
      <c r="C35" s="1165" t="s">
        <v>1640</v>
      </c>
    </row>
    <row r="36" spans="1:3" ht="14.25">
      <c r="A36" s="3367"/>
      <c r="B36" s="3362"/>
      <c r="C36" s="1165" t="s">
        <v>1641</v>
      </c>
    </row>
    <row r="37" spans="1:3" ht="14.25">
      <c r="A37" s="3367"/>
      <c r="B37" s="3363"/>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625" style="2824" customWidth="1"/>
    <col min="2" max="2" width="22.625" style="2824" bestFit="1" customWidth="1"/>
    <col min="3" max="3" width="25.625" style="2824" bestFit="1" customWidth="1"/>
    <col min="4" max="4" width="22.625" style="2824"/>
    <col min="5" max="5" width="22.625" style="2824" bestFit="1" customWidth="1"/>
    <col min="6" max="6" width="25.625" style="2824" customWidth="1"/>
    <col min="7" max="16384" width="22.625" style="2824"/>
  </cols>
  <sheetData>
    <row r="1" spans="1:7" ht="20.25" customHeight="1">
      <c r="A1" s="3018"/>
      <c r="B1" s="3018"/>
      <c r="C1" s="3018"/>
      <c r="D1" s="3018"/>
      <c r="E1" s="3018"/>
      <c r="F1" s="3018"/>
      <c r="G1" s="3018"/>
    </row>
    <row r="2" spans="1:7" ht="20.25" customHeight="1">
      <c r="A2" s="3019" t="s">
        <v>1856</v>
      </c>
      <c r="B2" s="3020">
        <f ca="1">TODAY()</f>
        <v>44114</v>
      </c>
      <c r="C2" s="3021" t="s">
        <v>1857</v>
      </c>
      <c r="D2" s="3021"/>
      <c r="E2" s="3018"/>
      <c r="F2" s="3018"/>
      <c r="G2" s="3018"/>
    </row>
    <row r="3" spans="1:7" ht="20.25" customHeight="1">
      <c r="A3" s="3042" t="s">
        <v>1858</v>
      </c>
      <c r="B3" s="3023" t="s">
        <v>1859</v>
      </c>
      <c r="C3" s="3024" t="s">
        <v>1860</v>
      </c>
      <c r="D3" s="3043" t="s">
        <v>1861</v>
      </c>
      <c r="E3" s="3023" t="s">
        <v>1862</v>
      </c>
      <c r="F3" s="3023" t="s">
        <v>1860</v>
      </c>
      <c r="G3" s="3018"/>
    </row>
    <row r="4" spans="1:7" ht="20.25" customHeight="1">
      <c r="A4" s="3023" t="s">
        <v>1863</v>
      </c>
      <c r="B4" s="3023">
        <f ca="1">IF(C4&lt;B2,"已过期",1119970066)</f>
        <v>1119970066</v>
      </c>
      <c r="C4" s="3026">
        <v>44876</v>
      </c>
      <c r="D4" s="3034" t="s">
        <v>1863</v>
      </c>
      <c r="E4" s="3023">
        <f ca="1">IF(F4&lt;B2,"已过期",96010014)</f>
        <v>96010014</v>
      </c>
      <c r="F4" s="3025">
        <v>47118</v>
      </c>
      <c r="G4" s="3018"/>
    </row>
    <row r="5" spans="1:7" ht="20.25" customHeight="1">
      <c r="A5" s="3023" t="s">
        <v>1864</v>
      </c>
      <c r="B5" s="3023">
        <f ca="1">IF(C5&lt;B2,"已过期",1119970111)</f>
        <v>1119970111</v>
      </c>
      <c r="C5" s="3026">
        <v>44876</v>
      </c>
      <c r="D5" s="3034" t="s">
        <v>1864</v>
      </c>
      <c r="E5" s="3023">
        <f ca="1">IF(F5&lt;B2,"已过期",94010078)</f>
        <v>94010078</v>
      </c>
      <c r="F5" s="3025">
        <v>46387</v>
      </c>
      <c r="G5" s="3018"/>
    </row>
    <row r="6" spans="1:7" ht="20.25" customHeight="1">
      <c r="A6" s="3023" t="s">
        <v>1865</v>
      </c>
      <c r="B6" s="3023">
        <f ca="1">IF(C6&lt;B2,"已过期",1120050019)</f>
        <v>1120050019</v>
      </c>
      <c r="C6" s="3026">
        <v>44395</v>
      </c>
      <c r="D6" s="3034" t="s">
        <v>1865</v>
      </c>
      <c r="E6" s="3023">
        <f ca="1">IF(F6&lt;B2,"已过期",2002110030)</f>
        <v>2002110030</v>
      </c>
      <c r="F6" s="3025">
        <v>46387</v>
      </c>
      <c r="G6" s="3018"/>
    </row>
    <row r="7" spans="1:7" ht="20.25" customHeight="1">
      <c r="A7" s="3023" t="s">
        <v>1866</v>
      </c>
      <c r="B7" s="3023">
        <f ca="1">IF(C7&lt;B2,"已过期",1120000080)</f>
        <v>1120000080</v>
      </c>
      <c r="C7" s="3026">
        <v>44876</v>
      </c>
      <c r="D7" s="3034" t="s">
        <v>1866</v>
      </c>
      <c r="E7" s="3023">
        <f ca="1">IF(F7&lt;B2,"已过期",2000110082)</f>
        <v>2000110082</v>
      </c>
      <c r="F7" s="3025">
        <v>46387</v>
      </c>
      <c r="G7" s="3018"/>
    </row>
    <row r="8" spans="1:7" ht="20.25" customHeight="1">
      <c r="A8" s="3023" t="s">
        <v>1867</v>
      </c>
      <c r="B8" s="3023">
        <f ca="1">IF(C8&lt;B2,"已过期",1419970001)</f>
        <v>1419970001</v>
      </c>
      <c r="C8" s="3026">
        <v>44899</v>
      </c>
      <c r="D8" s="3034" t="s">
        <v>1867</v>
      </c>
      <c r="E8" s="3023">
        <f ca="1">IF(F8&lt;B2,"已过期",2002110125)</f>
        <v>2002110125</v>
      </c>
      <c r="F8" s="3025">
        <v>47118</v>
      </c>
      <c r="G8" s="3018"/>
    </row>
    <row r="9" spans="1:7" ht="20.25" customHeight="1">
      <c r="A9" s="3023" t="s">
        <v>1868</v>
      </c>
      <c r="B9" s="3023">
        <f ca="1">IF(C9&lt;B2,"已过期",1120060040)</f>
        <v>1120060040</v>
      </c>
      <c r="C9" s="3026">
        <v>44554</v>
      </c>
      <c r="D9" s="3034" t="s">
        <v>1868</v>
      </c>
      <c r="E9" s="3023">
        <f ca="1">IF(F9&lt;B2,"已过期",2004110096)</f>
        <v>2004110096</v>
      </c>
      <c r="F9" s="3025">
        <v>47118</v>
      </c>
      <c r="G9" s="3018"/>
    </row>
    <row r="10" spans="1:7" ht="20.25" customHeight="1">
      <c r="A10" s="3023" t="s">
        <v>1869</v>
      </c>
      <c r="B10" s="3023">
        <f ca="1">IF(C10&lt;B2,"已过期",1120100036)</f>
        <v>1120100036</v>
      </c>
      <c r="C10" s="3026">
        <v>44675</v>
      </c>
      <c r="D10" s="3034" t="s">
        <v>1869</v>
      </c>
      <c r="E10" s="3023">
        <f ca="1">IF(F10&lt;B2,"已过期",2010110070)</f>
        <v>2010110070</v>
      </c>
      <c r="F10" s="3025">
        <v>47907</v>
      </c>
      <c r="G10" s="3018"/>
    </row>
    <row r="11" spans="1:7" ht="20.25" customHeight="1">
      <c r="A11" s="3023" t="s">
        <v>1870</v>
      </c>
      <c r="B11" s="3023">
        <f ca="1">IF(C11&lt;B2,"已过期",1120070131)</f>
        <v>1120070131</v>
      </c>
      <c r="C11" s="3026">
        <v>44849</v>
      </c>
      <c r="D11" s="3034" t="s">
        <v>1870</v>
      </c>
      <c r="E11" s="3023">
        <f ca="1">IF(F11&lt;B2,"已过期",2014110011)</f>
        <v>2014110011</v>
      </c>
      <c r="F11" s="3025">
        <v>49302</v>
      </c>
      <c r="G11" s="3018"/>
    </row>
    <row r="12" spans="1:7" ht="20.25" customHeight="1">
      <c r="A12" s="3023" t="s">
        <v>2891</v>
      </c>
      <c r="B12" s="3023">
        <f ca="1">IF(C12&lt;B2,"已过期",1120040230)</f>
        <v>1120040230</v>
      </c>
      <c r="C12" s="3026">
        <v>44864</v>
      </c>
      <c r="D12" s="3034" t="s">
        <v>2892</v>
      </c>
      <c r="E12" s="3023">
        <f ca="1">IF(F12&lt;B2,"已过期",98030020)</f>
        <v>98030020</v>
      </c>
      <c r="F12" s="3025">
        <v>47118</v>
      </c>
      <c r="G12" s="3018"/>
    </row>
    <row r="13" spans="1:7" ht="20.25" customHeight="1">
      <c r="A13" s="3023"/>
      <c r="B13" s="3023"/>
      <c r="C13" s="3026"/>
      <c r="D13" s="3034" t="s">
        <v>1871</v>
      </c>
      <c r="E13" s="3023">
        <f ca="1">IF(F13&lt;B2,"已过期",2011110090)</f>
        <v>2011110090</v>
      </c>
      <c r="F13" s="3025">
        <v>48302</v>
      </c>
      <c r="G13" s="3018"/>
    </row>
    <row r="14" spans="1:7" ht="20.25" customHeight="1">
      <c r="A14" s="3023" t="s">
        <v>1872</v>
      </c>
      <c r="B14" s="3023">
        <f ca="1">IF(C14&lt;B2,"已过期",1120020033)</f>
        <v>1120020033</v>
      </c>
      <c r="C14" s="3026">
        <v>44339</v>
      </c>
      <c r="D14" s="3034" t="s">
        <v>1872</v>
      </c>
      <c r="E14" s="3023">
        <f ca="1">IF(F14&lt;B2,"已过期",2000110137)</f>
        <v>2000110137</v>
      </c>
      <c r="F14" s="3025">
        <v>46387</v>
      </c>
      <c r="G14" s="3018"/>
    </row>
    <row r="15" spans="1:7" ht="20.25" customHeight="1">
      <c r="A15" s="3023" t="s">
        <v>2903</v>
      </c>
      <c r="B15" s="3023">
        <f ca="1">IF(C14&lt;B2,"已过期",1119980106)</f>
        <v>1119980106</v>
      </c>
      <c r="C15" s="3026">
        <v>44969</v>
      </c>
      <c r="D15" s="3034"/>
      <c r="E15" s="3023"/>
      <c r="F15" s="3023"/>
      <c r="G15" s="3018"/>
    </row>
    <row r="16" spans="1:7" s="2825" customFormat="1" ht="20.25" customHeight="1">
      <c r="A16" s="3022" t="s">
        <v>2000</v>
      </c>
      <c r="B16" s="3022" t="s">
        <v>2000</v>
      </c>
      <c r="C16" s="3026"/>
      <c r="D16" s="3035" t="s">
        <v>2000</v>
      </c>
      <c r="E16" s="3023" t="s">
        <v>2000</v>
      </c>
      <c r="F16" s="3025"/>
      <c r="G16" s="3027"/>
    </row>
    <row r="17" spans="1:7" ht="20.25" customHeight="1">
      <c r="A17" s="3375" t="s">
        <v>1873</v>
      </c>
      <c r="B17" s="3376"/>
      <c r="C17" s="3376"/>
      <c r="D17" s="3376"/>
      <c r="E17" s="3376"/>
      <c r="F17" s="3376"/>
      <c r="G17" s="3027"/>
    </row>
    <row r="18" spans="1:7" ht="20.25" customHeight="1">
      <c r="A18" s="3372" t="s">
        <v>1874</v>
      </c>
      <c r="B18" s="3372"/>
      <c r="C18" s="3373"/>
      <c r="D18" s="3374" t="s">
        <v>1875</v>
      </c>
      <c r="E18" s="3372"/>
      <c r="F18" s="3372"/>
      <c r="G18" s="3027"/>
    </row>
    <row r="19" spans="1:7" s="2823" customFormat="1" ht="20.25" customHeight="1">
      <c r="A19" s="3028" t="s">
        <v>1876</v>
      </c>
      <c r="B19" s="3029" t="s">
        <v>1877</v>
      </c>
      <c r="C19" s="3036" t="s">
        <v>1878</v>
      </c>
      <c r="D19" s="3034" t="s">
        <v>1876</v>
      </c>
      <c r="E19" s="3029" t="s">
        <v>1877</v>
      </c>
      <c r="F19" s="3029" t="s">
        <v>1878</v>
      </c>
      <c r="G19" s="3019"/>
    </row>
    <row r="20" spans="1:7" s="2823" customFormat="1" ht="20.25" customHeight="1">
      <c r="A20" s="3030" t="s">
        <v>1879</v>
      </c>
      <c r="B20" s="3030" t="s">
        <v>1880</v>
      </c>
      <c r="C20" s="3037">
        <v>44820</v>
      </c>
      <c r="D20" s="3039" t="s">
        <v>1881</v>
      </c>
      <c r="E20" s="3030" t="s">
        <v>1882</v>
      </c>
      <c r="F20" s="3031">
        <v>44377</v>
      </c>
      <c r="G20" s="3019"/>
    </row>
    <row r="21" spans="1:7" s="2823" customFormat="1" ht="20.25" customHeight="1">
      <c r="A21" s="3030"/>
      <c r="B21" s="3030"/>
      <c r="C21" s="3038"/>
      <c r="D21" s="3039" t="s">
        <v>1883</v>
      </c>
      <c r="E21" s="3030" t="s">
        <v>2902</v>
      </c>
      <c r="F21" s="3031">
        <v>44012</v>
      </c>
      <c r="G21" s="3019"/>
    </row>
    <row r="22" spans="1:7" ht="20.25" customHeight="1">
      <c r="A22" s="3018"/>
      <c r="B22" s="3018"/>
      <c r="C22" s="3032"/>
      <c r="D22" s="3040"/>
      <c r="E22" s="3041"/>
      <c r="F22" s="3033" t="s">
        <v>2917</v>
      </c>
      <c r="G22" s="3018"/>
    </row>
  </sheetData>
  <sheetProtection password="CEE9" sheet="1" objects="1" scenarios="1"/>
  <mergeCells count="3">
    <mergeCell ref="A18:C18"/>
    <mergeCell ref="D18:F18"/>
    <mergeCell ref="A17:F17"/>
  </mergeCells>
  <phoneticPr fontId="1" type="noConversion"/>
  <conditionalFormatting sqref="C16:D16 C5 C12:C13">
    <cfRule type="expression" dxfId="223" priority="149">
      <formula>AND($C5-TODAY()&lt;30,TODAY()&lt;$C5)</formula>
    </cfRule>
  </conditionalFormatting>
  <conditionalFormatting sqref="C20">
    <cfRule type="expression" dxfId="222" priority="148">
      <formula>AND($C20-TODAY()&lt;30,TODAY()&lt;$C20)</formula>
    </cfRule>
  </conditionalFormatting>
  <conditionalFormatting sqref="C20 F4 C5 C13">
    <cfRule type="cellIs" dxfId="221" priority="150" stopIfTrue="1" operator="lessThan">
      <formula>$B$2</formula>
    </cfRule>
  </conditionalFormatting>
  <conditionalFormatting sqref="F5 F7 F9">
    <cfRule type="cellIs" dxfId="220" priority="144" stopIfTrue="1" operator="lessThan">
      <formula>$B$2</formula>
    </cfRule>
  </conditionalFormatting>
  <conditionalFormatting sqref="C16:D16">
    <cfRule type="expression" dxfId="219" priority="142">
      <formula>AND($C16-TODAY()&lt;30,TODAY()&lt;$C16)</formula>
    </cfRule>
  </conditionalFormatting>
  <conditionalFormatting sqref="F6 F8 F10 C16:D16">
    <cfRule type="cellIs" dxfId="218" priority="143" stopIfTrue="1" operator="lessThan">
      <formula>$B$2</formula>
    </cfRule>
  </conditionalFormatting>
  <conditionalFormatting sqref="F14">
    <cfRule type="cellIs" dxfId="217" priority="114" stopIfTrue="1" operator="lessThan">
      <formula>$B$2</formula>
    </cfRule>
  </conditionalFormatting>
  <conditionalFormatting sqref="F13">
    <cfRule type="cellIs" dxfId="216" priority="113" stopIfTrue="1" operator="lessThan">
      <formula>$B$2</formula>
    </cfRule>
  </conditionalFormatting>
  <conditionalFormatting sqref="B4:B11 E4:E11 E13:E15 B13:B15">
    <cfRule type="cellIs" dxfId="215" priority="111" stopIfTrue="1" operator="equal">
      <formula>"已过期"</formula>
    </cfRule>
  </conditionalFormatting>
  <conditionalFormatting sqref="F20">
    <cfRule type="cellIs" dxfId="214" priority="108" stopIfTrue="1" operator="lessThan">
      <formula>$B$2</formula>
    </cfRule>
  </conditionalFormatting>
  <conditionalFormatting sqref="F20">
    <cfRule type="expression" dxfId="213" priority="152">
      <formula>AND($E20-TODAY()&lt;30,TODAY()&lt;$E20)</formula>
    </cfRule>
  </conditionalFormatting>
  <conditionalFormatting sqref="C6">
    <cfRule type="expression" dxfId="212" priority="82">
      <formula>AND($C6-TODAY()&lt;30,TODAY()&lt;$C6)</formula>
    </cfRule>
  </conditionalFormatting>
  <conditionalFormatting sqref="C6">
    <cfRule type="cellIs" dxfId="211" priority="83" stopIfTrue="1" operator="lessThan">
      <formula>$B$2</formula>
    </cfRule>
  </conditionalFormatting>
  <conditionalFormatting sqref="C11 C15">
    <cfRule type="expression" dxfId="210" priority="80">
      <formula>AND($C11-TODAY()&lt;30,TODAY()&lt;$C11)</formula>
    </cfRule>
  </conditionalFormatting>
  <conditionalFormatting sqref="C11 C15">
    <cfRule type="cellIs" dxfId="209" priority="81" stopIfTrue="1" operator="lessThan">
      <formula>$B$2</formula>
    </cfRule>
  </conditionalFormatting>
  <conditionalFormatting sqref="F11">
    <cfRule type="cellIs" dxfId="208" priority="79" stopIfTrue="1" operator="lessThan">
      <formula>$B$2</formula>
    </cfRule>
  </conditionalFormatting>
  <conditionalFormatting sqref="C14">
    <cfRule type="expression" dxfId="207" priority="60">
      <formula>AND($C14-TODAY()&lt;30,TODAY()&lt;$C14)</formula>
    </cfRule>
  </conditionalFormatting>
  <conditionalFormatting sqref="C14">
    <cfRule type="cellIs" dxfId="206" priority="61" stopIfTrue="1" operator="lessThan">
      <formula>$B$2</formula>
    </cfRule>
  </conditionalFormatting>
  <conditionalFormatting sqref="C12">
    <cfRule type="cellIs" dxfId="205" priority="54" stopIfTrue="1" operator="lessThan">
      <formula>$B$2</formula>
    </cfRule>
  </conditionalFormatting>
  <conditionalFormatting sqref="C12">
    <cfRule type="expression" dxfId="204" priority="51">
      <formula>AND($C12-TODAY()&lt;30,TODAY()&lt;$C12)</formula>
    </cfRule>
  </conditionalFormatting>
  <conditionalFormatting sqref="C12">
    <cfRule type="cellIs" dxfId="203" priority="52" stopIfTrue="1" operator="lessThan">
      <formula>$B$2</formula>
    </cfRule>
  </conditionalFormatting>
  <conditionalFormatting sqref="B12">
    <cfRule type="cellIs" dxfId="202" priority="48" stopIfTrue="1" operator="equal">
      <formula>"已过期"</formula>
    </cfRule>
  </conditionalFormatting>
  <conditionalFormatting sqref="E12">
    <cfRule type="cellIs" dxfId="201" priority="38" stopIfTrue="1" operator="equal">
      <formula>"已过期"</formula>
    </cfRule>
  </conditionalFormatting>
  <conditionalFormatting sqref="F12">
    <cfRule type="cellIs" dxfId="200" priority="37" stopIfTrue="1" operator="lessThan">
      <formula>$B$2</formula>
    </cfRule>
  </conditionalFormatting>
  <conditionalFormatting sqref="C9:C10">
    <cfRule type="expression" dxfId="199" priority="33">
      <formula>AND($C9-TODAY()&lt;30,TODAY()&lt;$C9)</formula>
    </cfRule>
  </conditionalFormatting>
  <conditionalFormatting sqref="C9:C10">
    <cfRule type="cellIs" dxfId="198" priority="34" stopIfTrue="1" operator="lessThan">
      <formula>$B$2</formula>
    </cfRule>
  </conditionalFormatting>
  <conditionalFormatting sqref="F21">
    <cfRule type="cellIs" dxfId="197" priority="13" stopIfTrue="1" operator="lessThan">
      <formula>$B$2</formula>
    </cfRule>
  </conditionalFormatting>
  <conditionalFormatting sqref="F21">
    <cfRule type="expression" dxfId="196" priority="14">
      <formula>AND($E21-TODAY()&lt;30,TODAY()&lt;$E21)</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7:C8">
    <cfRule type="expression" dxfId="193" priority="3">
      <formula>AND($C7-TODAY()&lt;30,TODAY()&lt;$C7)</formula>
    </cfRule>
  </conditionalFormatting>
  <conditionalFormatting sqref="C7:C8">
    <cfRule type="cellIs" dxfId="192" priority="4" stopIfTrue="1" operator="lessThan">
      <formula>$B$2</formula>
    </cfRule>
  </conditionalFormatting>
  <conditionalFormatting sqref="C4">
    <cfRule type="expression" dxfId="191" priority="1">
      <formula>AND($C4-TODAY()&lt;30,TODAY()&lt;$C4)</formula>
    </cfRule>
  </conditionalFormatting>
  <conditionalFormatting sqref="C4">
    <cfRule type="cellIs" dxfId="190" priority="2" stopIfTrue="1" operator="lessThan">
      <formula>$B$2</formula>
    </cfRule>
  </conditionalFormatting>
  <pageMargins left="0.7" right="0.7" top="0.75" bottom="0.75" header="0.3" footer="0.3"/>
  <pageSetup paperSize="9" scale="9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48" sqref="A48"/>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1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0" t="s">
        <v>2479</v>
      </c>
      <c r="R1" s="2429" t="s">
        <v>2473</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2474</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2475</v>
      </c>
      <c r="S3" s="9" t="s">
        <v>84</v>
      </c>
      <c r="T3" s="9" t="s">
        <v>85</v>
      </c>
      <c r="U3" s="9" t="s">
        <v>84</v>
      </c>
      <c r="V3" s="9" t="s">
        <v>86</v>
      </c>
      <c r="W3" s="9" t="s">
        <v>867</v>
      </c>
    </row>
    <row r="4" spans="1:23">
      <c r="A4" s="8" t="s">
        <v>87</v>
      </c>
      <c r="B4" s="8" t="s">
        <v>152</v>
      </c>
      <c r="C4" s="1490" t="s">
        <v>1702</v>
      </c>
      <c r="D4" s="9" t="s">
        <v>1941</v>
      </c>
      <c r="E4" s="9" t="s">
        <v>88</v>
      </c>
      <c r="F4" s="9" t="s">
        <v>89</v>
      </c>
      <c r="G4" s="9">
        <v>70</v>
      </c>
      <c r="H4" s="9" t="s">
        <v>90</v>
      </c>
      <c r="I4" s="9" t="s">
        <v>91</v>
      </c>
      <c r="K4" s="9" t="s">
        <v>92</v>
      </c>
      <c r="L4" s="9" t="s">
        <v>92</v>
      </c>
      <c r="M4" s="9" t="s">
        <v>92</v>
      </c>
      <c r="N4" s="9" t="s">
        <v>92</v>
      </c>
      <c r="O4" s="9" t="s">
        <v>92</v>
      </c>
      <c r="P4" s="993" t="s">
        <v>754</v>
      </c>
      <c r="Q4" s="9" t="s">
        <v>92</v>
      </c>
      <c r="R4" s="993" t="s">
        <v>2476</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2477</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2478</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1845</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86" t="s">
        <v>2868</v>
      </c>
      <c r="C18" s="1493"/>
    </row>
    <row r="19" spans="1:3">
      <c r="A19" s="8" t="s">
        <v>120</v>
      </c>
      <c r="B19" s="2786" t="s">
        <v>2875</v>
      </c>
      <c r="C19" s="1493"/>
    </row>
    <row r="20" spans="1:3">
      <c r="A20" s="8" t="s">
        <v>121</v>
      </c>
      <c r="B20" s="2786" t="s">
        <v>2918</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3" t="s">
        <v>1889</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685"/>
    </row>
    <row r="52" spans="1:5">
      <c r="A52" s="1683" t="s">
        <v>1933</v>
      </c>
      <c r="B52" s="1686" t="s">
        <v>1934</v>
      </c>
      <c r="C52" s="1684" t="s">
        <v>1935</v>
      </c>
      <c r="D52" s="1684" t="s">
        <v>1936</v>
      </c>
      <c r="E52" s="1685"/>
    </row>
    <row r="53" spans="1:5">
      <c r="A53" s="3377" t="s">
        <v>1937</v>
      </c>
      <c r="B53" s="1684" t="s">
        <v>1943</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2020年9月23日在规划利用条件下、设定土地开发程度为红线外“七通”、宗地内场地，设定用途为的划拨国有建设用地使用权价格。</v>
      </c>
      <c r="D53" s="1685"/>
      <c r="E53" s="1685"/>
    </row>
    <row r="54" spans="1:5">
      <c r="A54" s="3377"/>
      <c r="B54" s="1684" t="s">
        <v>1944</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685"/>
      <c r="E54" s="1685"/>
    </row>
    <row r="55" spans="1:5">
      <c r="A55" s="3377"/>
      <c r="B55" s="1684" t="s">
        <v>1938</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685"/>
      <c r="E55" s="1685"/>
    </row>
    <row r="56" spans="1:5">
      <c r="A56" s="3377"/>
      <c r="B56" s="1684" t="s">
        <v>1939</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685"/>
      <c r="E56" s="1685"/>
    </row>
    <row r="57" spans="1:5">
      <c r="A57" s="3377"/>
      <c r="B57" s="1684" t="s">
        <v>1940</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1996</v>
      </c>
      <c r="B58" s="1684" t="s">
        <v>1997</v>
      </c>
      <c r="C58" s="11" t="s">
        <v>1998</v>
      </c>
      <c r="D58" s="1273" t="s">
        <v>1999</v>
      </c>
    </row>
  </sheetData>
  <sheetProtection password="CEE9" sheet="1" objects="1" scenarios="1" formatCells="0" formatColumns="0" formatRows="0"/>
  <mergeCells count="1">
    <mergeCell ref="A53:A57"/>
  </mergeCells>
  <phoneticPr fontId="12"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比较法-工业</vt:lpstr>
      <vt:lpstr>剩余法-现房</vt:lpstr>
      <vt:lpstr>比较法-住宅、综合</vt:lpstr>
      <vt:lpstr>不动产收益法</vt:lpstr>
      <vt:lpstr>基准地价</vt:lpstr>
      <vt:lpstr>修正</vt:lpstr>
      <vt:lpstr>区片价</vt:lpstr>
      <vt:lpstr>容积率修正</vt:lpstr>
      <vt:lpstr>因素修正幅度</vt:lpstr>
      <vt:lpstr>地价</vt:lpstr>
      <vt:lpstr>基准地价（汇总）</vt:lpstr>
      <vt:lpstr>收益还原法</vt:lpstr>
      <vt:lpstr>酒店收入计算</vt:lpstr>
      <vt:lpstr>不动产比较法-工业</vt:lpstr>
      <vt:lpstr>成本逼近法</vt:lpstr>
      <vt:lpstr>不动产比较法-住宅</vt:lpstr>
      <vt:lpstr>不动产比较法-商业</vt:lpstr>
      <vt:lpstr>不动产比较法-办公</vt:lpstr>
      <vt:lpstr>不动产比较法-车位</vt:lpstr>
      <vt:lpstr>不动产比较法-仓储</vt:lpstr>
      <vt:lpstr>典型户型修正</vt:lpstr>
      <vt:lpstr>存贷款利率</vt:lpstr>
      <vt:lpstr>结果汇总表</vt:lpstr>
      <vt:lpstr>土地案例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kg</dc:creator>
  <cp:lastModifiedBy>kg</cp:lastModifiedBy>
  <cp:lastPrinted>2017-03-09T08:11:21Z</cp:lastPrinted>
  <dcterms:created xsi:type="dcterms:W3CDTF">2015-07-13T07:17:23Z</dcterms:created>
  <dcterms:modified xsi:type="dcterms:W3CDTF">2020-10-10T13:26:18Z</dcterms:modified>
</cp:coreProperties>
</file>