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G:\高鹏\项目\军队-北京市东城区兴化西里4号楼4门402号\测算\"/>
    </mc:Choice>
  </mc:AlternateContent>
  <xr:revisionPtr revIDLastSave="0" documentId="13_ncr:1_{6D8FA0D6-9384-443E-B617-48EA18181EF7}" xr6:coauthVersionLast="47" xr6:coauthVersionMax="47" xr10:uidLastSave="{00000000-0000-0000-0000-000000000000}"/>
  <bookViews>
    <workbookView xWindow="-120" yWindow="-120" windowWidth="38640" windowHeight="21240" tabRatio="899" firstSheet="8"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C6" i="69" l="1"/>
  <c r="J33" i="21"/>
  <c r="H33" i="21"/>
  <c r="F33" i="21"/>
  <c r="E104" i="21"/>
  <c r="G104" i="21"/>
  <c r="H104" i="21"/>
  <c r="H27" i="21"/>
  <c r="G91" i="21"/>
  <c r="F91" i="21"/>
  <c r="C91" i="21"/>
  <c r="E113" i="21"/>
  <c r="F113" i="21"/>
  <c r="G113" i="21"/>
  <c r="F37" i="21"/>
  <c r="H37" i="21"/>
  <c r="J37" i="21"/>
  <c r="H113" i="21"/>
  <c r="I51" i="21"/>
  <c r="G51" i="21"/>
  <c r="E51" i="21"/>
  <c r="C51" i="21"/>
  <c r="D59" i="21"/>
  <c r="E59" i="21"/>
  <c r="F59" i="21"/>
  <c r="G59" i="21"/>
  <c r="H59" i="21"/>
  <c r="I59" i="21"/>
  <c r="J59" i="21"/>
  <c r="K59" i="21"/>
  <c r="L59" i="21"/>
  <c r="M59" i="21"/>
  <c r="N59" i="21"/>
  <c r="O59" i="21"/>
  <c r="P59" i="21"/>
  <c r="I15" i="21"/>
  <c r="G15" i="21"/>
  <c r="I17" i="21"/>
  <c r="G17" i="21"/>
  <c r="L3" i="81"/>
  <c r="K4" i="81"/>
  <c r="K3" i="81"/>
  <c r="K2" i="81"/>
  <c r="J3" i="81"/>
  <c r="J4" i="81"/>
  <c r="J2" i="81"/>
  <c r="H4" i="81"/>
  <c r="H3" i="81"/>
  <c r="H2" i="81"/>
  <c r="F4" i="81"/>
  <c r="F3" i="81"/>
  <c r="F2" i="81"/>
  <c r="E4" i="81"/>
  <c r="E3" i="81"/>
  <c r="E2" i="81"/>
  <c r="R16" i="81"/>
  <c r="S16" i="81"/>
  <c r="T16" i="81"/>
  <c r="W16" i="81"/>
  <c r="X16" i="81"/>
  <c r="AB16" i="81"/>
  <c r="BQ16" i="81"/>
  <c r="BR16" i="81"/>
  <c r="BS16" i="81"/>
  <c r="BT16" i="81"/>
  <c r="L103" i="21"/>
  <c r="J91" i="21"/>
  <c r="G23" i="21"/>
  <c r="I19" i="21"/>
  <c r="G19" i="21"/>
  <c r="I5" i="21"/>
  <c r="G5" i="21"/>
  <c r="E5" i="21"/>
  <c r="D104" i="21"/>
  <c r="J19" i="9"/>
  <c r="J20" i="9"/>
  <c r="F27" i="21"/>
  <c r="M20" i="1"/>
  <c r="P18" i="9"/>
  <c r="F6" i="1"/>
  <c r="C104" i="21"/>
  <c r="E91" i="21"/>
  <c r="J27" i="21"/>
  <c r="I104" i="21"/>
  <c r="J104" i="21"/>
  <c r="I128" i="21"/>
  <c r="E129" i="21"/>
  <c r="D129" i="21"/>
  <c r="C129" i="21"/>
  <c r="Q59" i="21"/>
  <c r="R59" i="21"/>
  <c r="S59" i="21"/>
  <c r="D127" i="21"/>
  <c r="B27" i="9"/>
  <c r="E127" i="21"/>
  <c r="B21" i="1"/>
  <c r="J12" i="67"/>
  <c r="M21" i="1"/>
  <c r="N22" i="1"/>
  <c r="Y20" i="1"/>
  <c r="G129" i="21"/>
  <c r="H45" i="21"/>
  <c r="J45" i="21"/>
  <c r="F45" i="21"/>
  <c r="D66" i="21"/>
  <c r="B65" i="21"/>
  <c r="I33" i="21"/>
  <c r="G33" i="21"/>
  <c r="E33" i="21"/>
  <c r="G16" i="73"/>
  <c r="F16" i="73"/>
  <c r="E16" i="73"/>
  <c r="G15" i="73"/>
  <c r="F15" i="73"/>
  <c r="E15" i="73"/>
  <c r="G14" i="73"/>
  <c r="F14" i="73"/>
  <c r="E14" i="73"/>
  <c r="G13" i="73"/>
  <c r="F13" i="73"/>
  <c r="E13" i="73"/>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F75" i="71"/>
  <c r="F74" i="71"/>
  <c r="E76" i="71"/>
  <c r="U76" i="71"/>
  <c r="C76" i="71"/>
  <c r="T76" i="71"/>
  <c r="B76" i="71"/>
  <c r="Q75" i="71"/>
  <c r="P75" i="71"/>
  <c r="O75" i="71"/>
  <c r="N75" i="71"/>
  <c r="Q74" i="71"/>
  <c r="P74" i="71"/>
  <c r="O74" i="71"/>
  <c r="N74" i="71"/>
  <c r="Q73" i="71"/>
  <c r="P73" i="71"/>
  <c r="O73" i="71"/>
  <c r="N73" i="71"/>
  <c r="D73" i="71"/>
  <c r="Q72" i="71"/>
  <c r="P72" i="71"/>
  <c r="O72" i="71"/>
  <c r="N72" i="71"/>
  <c r="F72" i="71"/>
  <c r="F71" i="71"/>
  <c r="E72" i="71"/>
  <c r="U72" i="71"/>
  <c r="C72" i="71"/>
  <c r="D72" i="71"/>
  <c r="B72" i="71"/>
  <c r="Q71" i="71"/>
  <c r="P71" i="71"/>
  <c r="O71" i="71"/>
  <c r="N71" i="71"/>
  <c r="Q70" i="71"/>
  <c r="P70" i="71"/>
  <c r="O70" i="71"/>
  <c r="N70" i="71"/>
  <c r="F70" i="71"/>
  <c r="Q69" i="71"/>
  <c r="P69" i="71"/>
  <c r="O69" i="71"/>
  <c r="N69" i="71"/>
  <c r="D69" i="71"/>
  <c r="F68" i="71"/>
  <c r="F67" i="71"/>
  <c r="Q67" i="71"/>
  <c r="E68" i="71"/>
  <c r="U68" i="71"/>
  <c r="C68" i="71"/>
  <c r="O68" i="71"/>
  <c r="B68" i="71"/>
  <c r="E67" i="71"/>
  <c r="E66" i="71"/>
  <c r="P66" i="71"/>
  <c r="D65" i="71"/>
  <c r="Q64" i="71"/>
  <c r="P64" i="71"/>
  <c r="O64" i="71"/>
  <c r="N64" i="71"/>
  <c r="Q63" i="71"/>
  <c r="P63" i="71"/>
  <c r="O63" i="71"/>
  <c r="N63" i="71"/>
  <c r="Q62" i="71"/>
  <c r="P62" i="71"/>
  <c r="O62" i="71"/>
  <c r="N62" i="71"/>
  <c r="Q61" i="71"/>
  <c r="F62" i="71"/>
  <c r="F63" i="71"/>
  <c r="F64" i="71"/>
  <c r="V64" i="71"/>
  <c r="P61" i="71"/>
  <c r="E62" i="71"/>
  <c r="O61" i="71"/>
  <c r="C62" i="71"/>
  <c r="C63" i="71"/>
  <c r="N61" i="71"/>
  <c r="B62"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E38" i="71"/>
  <c r="AF38" i="71"/>
  <c r="AD38" i="71"/>
  <c r="Q38" i="71"/>
  <c r="AB38" i="71"/>
  <c r="P38" i="71"/>
  <c r="AA38" i="71"/>
  <c r="O38" i="71"/>
  <c r="Y38" i="71"/>
  <c r="Z38" i="71"/>
  <c r="N38" i="71"/>
  <c r="X38" i="71"/>
  <c r="AH37" i="71"/>
  <c r="AG37" i="71"/>
  <c r="AE37" i="71"/>
  <c r="AF37" i="71"/>
  <c r="AD37" i="71"/>
  <c r="Q37" i="71"/>
  <c r="P37" i="71"/>
  <c r="E38" i="71"/>
  <c r="O37" i="71"/>
  <c r="Y37" i="71"/>
  <c r="Z37" i="71"/>
  <c r="N37" i="71"/>
  <c r="B38" i="71"/>
  <c r="D37" i="71"/>
  <c r="AH36" i="71"/>
  <c r="AG36" i="71"/>
  <c r="AE36" i="71"/>
  <c r="AF36" i="71"/>
  <c r="AD36" i="71"/>
  <c r="Q36" i="71"/>
  <c r="P36" i="71"/>
  <c r="O36" i="71"/>
  <c r="N36" i="71"/>
  <c r="AH35" i="71"/>
  <c r="AG35" i="71"/>
  <c r="AE35" i="71"/>
  <c r="AF35" i="71"/>
  <c r="AD35" i="71"/>
  <c r="Q35" i="71"/>
  <c r="P35" i="71"/>
  <c r="O35" i="71"/>
  <c r="N35" i="71"/>
  <c r="AH34" i="71"/>
  <c r="AG34" i="71"/>
  <c r="AE34" i="71"/>
  <c r="AF34" i="71"/>
  <c r="AD34" i="71"/>
  <c r="Q34" i="71"/>
  <c r="P34" i="71"/>
  <c r="O34" i="71"/>
  <c r="N34" i="71"/>
  <c r="AH33" i="71"/>
  <c r="AG33" i="71"/>
  <c r="AE33" i="71"/>
  <c r="AF33" i="71"/>
  <c r="AD33" i="71"/>
  <c r="Q33" i="71"/>
  <c r="P33" i="71"/>
  <c r="E34" i="71"/>
  <c r="O33" i="71"/>
  <c r="N33" i="71"/>
  <c r="B34" i="71"/>
  <c r="D33" i="71"/>
  <c r="AH32" i="71"/>
  <c r="AG32" i="71"/>
  <c r="AE32" i="71"/>
  <c r="AF32" i="71"/>
  <c r="AD32" i="71"/>
  <c r="Q32" i="71"/>
  <c r="P32" i="71"/>
  <c r="O32" i="71"/>
  <c r="N32" i="71"/>
  <c r="AH31" i="71"/>
  <c r="AG31" i="71"/>
  <c r="AE31" i="71"/>
  <c r="AF31" i="71"/>
  <c r="AD31" i="71"/>
  <c r="Q31" i="71"/>
  <c r="P31" i="71"/>
  <c r="O31" i="71"/>
  <c r="N31" i="71"/>
  <c r="AH30" i="71"/>
  <c r="AG30" i="71"/>
  <c r="AE30" i="71"/>
  <c r="AF30" i="71"/>
  <c r="AD30" i="71"/>
  <c r="Q30" i="71"/>
  <c r="P30" i="71"/>
  <c r="O30" i="71"/>
  <c r="N30" i="71"/>
  <c r="AH29" i="71"/>
  <c r="AG29" i="71"/>
  <c r="AE29" i="71"/>
  <c r="AF29" i="71"/>
  <c r="AD29" i="71"/>
  <c r="Q29" i="71"/>
  <c r="P29" i="71"/>
  <c r="E30" i="71"/>
  <c r="O29" i="71"/>
  <c r="N29" i="71"/>
  <c r="B30" i="71"/>
  <c r="D29" i="71"/>
  <c r="AH28" i="71"/>
  <c r="AG28" i="71"/>
  <c r="AE28" i="71"/>
  <c r="AF28" i="71"/>
  <c r="AD28" i="71"/>
  <c r="Q28" i="71"/>
  <c r="P28" i="71"/>
  <c r="O28" i="71"/>
  <c r="N28" i="71"/>
  <c r="B28" i="71"/>
  <c r="S28" i="71"/>
  <c r="F28" i="71"/>
  <c r="E28" i="71"/>
  <c r="C28" i="71"/>
  <c r="AH27" i="71"/>
  <c r="AG27" i="71"/>
  <c r="AE27" i="71"/>
  <c r="AF27" i="71"/>
  <c r="AD27" i="71"/>
  <c r="Q27" i="71"/>
  <c r="P27" i="71"/>
  <c r="O27" i="71"/>
  <c r="N27" i="71"/>
  <c r="AH26" i="71"/>
  <c r="AG26" i="71"/>
  <c r="AE26" i="71"/>
  <c r="AF26" i="71"/>
  <c r="AD26" i="71"/>
  <c r="Q26" i="71"/>
  <c r="P26" i="71"/>
  <c r="O26" i="71"/>
  <c r="N26" i="71"/>
  <c r="AH25" i="71"/>
  <c r="AG25" i="71"/>
  <c r="AE25" i="71"/>
  <c r="AF25" i="71"/>
  <c r="AD25" i="71"/>
  <c r="Q25" i="71"/>
  <c r="P25" i="71"/>
  <c r="O25" i="71"/>
  <c r="N25" i="71"/>
  <c r="D25" i="71"/>
  <c r="AH24" i="71"/>
  <c r="AG24" i="71"/>
  <c r="AE24" i="71"/>
  <c r="AF24" i="71"/>
  <c r="AD24" i="71"/>
  <c r="Q24" i="71"/>
  <c r="P24" i="71"/>
  <c r="O24" i="71"/>
  <c r="N24" i="71"/>
  <c r="B24" i="71"/>
  <c r="F24" i="71"/>
  <c r="E24" i="71"/>
  <c r="C24" i="71"/>
  <c r="AH23" i="71"/>
  <c r="AG23" i="71"/>
  <c r="AE23" i="71"/>
  <c r="AF23" i="71"/>
  <c r="AD23" i="71"/>
  <c r="Q23" i="71"/>
  <c r="P23" i="71"/>
  <c r="O23" i="71"/>
  <c r="N23" i="71"/>
  <c r="F23" i="71"/>
  <c r="AH22" i="71"/>
  <c r="AG22" i="71"/>
  <c r="AE22" i="71"/>
  <c r="AF22" i="71"/>
  <c r="AD22" i="71"/>
  <c r="Q22" i="71"/>
  <c r="P22" i="71"/>
  <c r="O22" i="71"/>
  <c r="N22" i="71"/>
  <c r="AH21" i="71"/>
  <c r="AG21" i="71"/>
  <c r="AE21" i="71"/>
  <c r="AF21" i="71"/>
  <c r="AD21" i="71"/>
  <c r="Q21" i="71"/>
  <c r="P21" i="71"/>
  <c r="O21" i="71"/>
  <c r="N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AH14" i="71"/>
  <c r="AG14" i="71"/>
  <c r="AE14" i="71"/>
  <c r="AF14" i="71"/>
  <c r="AD14" i="71"/>
  <c r="Q14" i="71"/>
  <c r="P14" i="71"/>
  <c r="O14" i="71"/>
  <c r="N14" i="71"/>
  <c r="AH13" i="71"/>
  <c r="AG13" i="71"/>
  <c r="AE13" i="71"/>
  <c r="AF13" i="71"/>
  <c r="AD13" i="71"/>
  <c r="Q13" i="71"/>
  <c r="P13" i="71"/>
  <c r="O13" i="71"/>
  <c r="N13" i="71"/>
  <c r="AH12" i="71"/>
  <c r="AG12" i="71"/>
  <c r="AE12" i="71"/>
  <c r="AF12" i="71"/>
  <c r="AD12" i="71"/>
  <c r="Q12" i="71"/>
  <c r="P12" i="71"/>
  <c r="O12" i="71"/>
  <c r="N12" i="71"/>
  <c r="AH11" i="71"/>
  <c r="AG11" i="71"/>
  <c r="AE11" i="71"/>
  <c r="AF11" i="71"/>
  <c r="AD11" i="71"/>
  <c r="Q11" i="71"/>
  <c r="P11" i="71"/>
  <c r="O11" i="71"/>
  <c r="N11" i="71"/>
  <c r="AH10" i="71"/>
  <c r="AG10" i="71"/>
  <c r="AE10" i="71"/>
  <c r="AF10" i="71"/>
  <c r="AD10" i="71"/>
  <c r="Q10" i="71"/>
  <c r="P10" i="71"/>
  <c r="O10" i="71"/>
  <c r="N10" i="71"/>
  <c r="AH9" i="71"/>
  <c r="AG9" i="71"/>
  <c r="AE9" i="71"/>
  <c r="AF9" i="71"/>
  <c r="AD9" i="71"/>
  <c r="Q9" i="71"/>
  <c r="P9" i="71"/>
  <c r="O9" i="71"/>
  <c r="N9" i="71"/>
  <c r="AH8" i="71"/>
  <c r="AG8" i="71"/>
  <c r="AE8" i="71"/>
  <c r="AF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Y6" i="71"/>
  <c r="Z6" i="71"/>
  <c r="X6" i="71"/>
  <c r="Q6" i="71"/>
  <c r="P6" i="71"/>
  <c r="O6" i="71"/>
  <c r="N6" i="71"/>
  <c r="AH5" i="71"/>
  <c r="AG5" i="71"/>
  <c r="AE5" i="71"/>
  <c r="AF5" i="71"/>
  <c r="AD5" i="71"/>
  <c r="AB5" i="71"/>
  <c r="AA5" i="71"/>
  <c r="Y5" i="71"/>
  <c r="Z5" i="71"/>
  <c r="X5" i="71"/>
  <c r="Q5" i="71"/>
  <c r="P5" i="71"/>
  <c r="O5" i="71"/>
  <c r="N5"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c r="L31" i="79"/>
  <c r="I31" i="79"/>
  <c r="AB30" i="79"/>
  <c r="AA30" i="79"/>
  <c r="Z30" i="79"/>
  <c r="N30" i="79"/>
  <c r="M30" i="79"/>
  <c r="L30" i="79"/>
  <c r="I30" i="79"/>
  <c r="AB29" i="79"/>
  <c r="AA29" i="79"/>
  <c r="Z29" i="79"/>
  <c r="N29" i="79"/>
  <c r="M29" i="79"/>
  <c r="P29" i="79"/>
  <c r="L29" i="79"/>
  <c r="I29" i="79"/>
  <c r="N28" i="79"/>
  <c r="M28" i="79"/>
  <c r="L28" i="79"/>
  <c r="I28" i="79"/>
  <c r="N27" i="79"/>
  <c r="M27" i="79"/>
  <c r="P27" i="79"/>
  <c r="L27" i="79"/>
  <c r="I27" i="79"/>
  <c r="N26" i="79"/>
  <c r="M26" i="79"/>
  <c r="L26" i="79"/>
  <c r="I26" i="79"/>
  <c r="AB25" i="79"/>
  <c r="AA25" i="79"/>
  <c r="Z25" i="79"/>
  <c r="N25" i="79"/>
  <c r="M25" i="79"/>
  <c r="L25" i="79"/>
  <c r="I25" i="79"/>
  <c r="AD25"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N14" i="79"/>
  <c r="M14" i="79"/>
  <c r="T14" i="79"/>
  <c r="W14" i="79"/>
  <c r="L14" i="79"/>
  <c r="K14" i="79"/>
  <c r="I14" i="79"/>
  <c r="AC13" i="79"/>
  <c r="AB13" i="79"/>
  <c r="AA13" i="79"/>
  <c r="AD13" i="79"/>
  <c r="Z13" i="79"/>
  <c r="Y13" i="79"/>
  <c r="O13" i="79"/>
  <c r="N13" i="79"/>
  <c r="M13" i="79"/>
  <c r="P13" i="79"/>
  <c r="L13" i="79"/>
  <c r="K13" i="79"/>
  <c r="I13" i="79"/>
  <c r="AC12" i="79"/>
  <c r="AB12" i="79"/>
  <c r="AA12" i="79"/>
  <c r="AD12" i="79"/>
  <c r="Z12" i="79"/>
  <c r="Y12" i="79"/>
  <c r="O12" i="79"/>
  <c r="N12" i="79"/>
  <c r="M12" i="79"/>
  <c r="P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Y9" i="79"/>
  <c r="O9" i="79"/>
  <c r="N9" i="79"/>
  <c r="M9" i="79"/>
  <c r="P9" i="79"/>
  <c r="L9" i="79"/>
  <c r="K9" i="79"/>
  <c r="I9" i="79"/>
  <c r="O8" i="79"/>
  <c r="N8" i="79"/>
  <c r="M8" i="79"/>
  <c r="L8" i="79"/>
  <c r="K8" i="79"/>
  <c r="I8" i="79"/>
  <c r="O7" i="79"/>
  <c r="N7" i="79"/>
  <c r="M7" i="79"/>
  <c r="P7" i="79"/>
  <c r="L7" i="79"/>
  <c r="K7" i="79"/>
  <c r="I7" i="79"/>
  <c r="O6" i="79"/>
  <c r="N6" i="79"/>
  <c r="M6" i="79"/>
  <c r="P6" i="79"/>
  <c r="L6" i="79"/>
  <c r="K6" i="79"/>
  <c r="I6" i="79"/>
  <c r="AC5" i="79"/>
  <c r="AB5" i="79"/>
  <c r="AA5" i="79"/>
  <c r="Z5" i="79"/>
  <c r="Y5" i="79"/>
  <c r="O5" i="79"/>
  <c r="N5" i="79"/>
  <c r="M5" i="79"/>
  <c r="L5" i="79"/>
  <c r="K5" i="79"/>
  <c r="I5" i="79"/>
  <c r="H3" i="79"/>
  <c r="G3" i="79"/>
  <c r="F3" i="79"/>
  <c r="I3" i="79"/>
  <c r="E3" i="79"/>
  <c r="D3" i="79"/>
  <c r="F38" i="11"/>
  <c r="E37" i="11"/>
  <c r="F36" i="11"/>
  <c r="F35" i="11"/>
  <c r="F21" i="11"/>
  <c r="C40" i="11"/>
  <c r="F20" i="11"/>
  <c r="E10" i="11"/>
  <c r="E9" i="11"/>
  <c r="C8" i="11"/>
  <c r="F7" i="11"/>
  <c r="C7"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M94" i="43"/>
  <c r="N94" i="43"/>
  <c r="K94" i="43"/>
  <c r="J94" i="43"/>
  <c r="D94" i="43"/>
  <c r="M93" i="43"/>
  <c r="N93" i="43"/>
  <c r="K93" i="43"/>
  <c r="J93" i="43"/>
  <c r="F93" i="43"/>
  <c r="H100" i="43"/>
  <c r="D93"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M85" i="43"/>
  <c r="N85" i="43"/>
  <c r="K85" i="43"/>
  <c r="J85" i="43"/>
  <c r="D85" i="43"/>
  <c r="B85" i="43"/>
  <c r="M84" i="43"/>
  <c r="N84" i="43"/>
  <c r="K84" i="43"/>
  <c r="J84" i="43"/>
  <c r="D84" i="43"/>
  <c r="M83" i="43"/>
  <c r="N83" i="43"/>
  <c r="K83" i="43"/>
  <c r="J83" i="43"/>
  <c r="F83" i="43"/>
  <c r="H89" i="43"/>
  <c r="D83" i="43"/>
  <c r="M80" i="43"/>
  <c r="N80" i="43"/>
  <c r="K80" i="43"/>
  <c r="J80" i="43"/>
  <c r="M79" i="43"/>
  <c r="N79" i="43"/>
  <c r="K79" i="43"/>
  <c r="J79" i="43"/>
  <c r="D79" i="43"/>
  <c r="M78" i="43"/>
  <c r="N78" i="43"/>
  <c r="K78" i="43"/>
  <c r="J78" i="43"/>
  <c r="M77" i="43"/>
  <c r="N77" i="43"/>
  <c r="K77" i="43"/>
  <c r="J77" i="43"/>
  <c r="D77" i="43"/>
  <c r="M76" i="43"/>
  <c r="N76" i="43"/>
  <c r="K76" i="43"/>
  <c r="J76" i="43"/>
  <c r="M75" i="43"/>
  <c r="N75" i="43"/>
  <c r="K75" i="43"/>
  <c r="J75" i="43"/>
  <c r="D75" i="43"/>
  <c r="M74" i="43"/>
  <c r="N74" i="43"/>
  <c r="K74" i="43"/>
  <c r="J74" i="43"/>
  <c r="B74" i="43"/>
  <c r="M73" i="43"/>
  <c r="N73" i="43"/>
  <c r="K73" i="43"/>
  <c r="J73" i="43"/>
  <c r="M72" i="43"/>
  <c r="N72" i="43"/>
  <c r="K72" i="43"/>
  <c r="J72"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B63" i="43"/>
  <c r="M62" i="43"/>
  <c r="N62" i="43"/>
  <c r="K62" i="43"/>
  <c r="J62" i="43"/>
  <c r="D62" i="43"/>
  <c r="M61" i="43"/>
  <c r="N61" i="43"/>
  <c r="K61" i="43"/>
  <c r="J61" i="43"/>
  <c r="F61" i="43"/>
  <c r="H64" i="43"/>
  <c r="D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M51" i="43"/>
  <c r="N51" i="43"/>
  <c r="K51" i="43"/>
  <c r="J51" i="43"/>
  <c r="D51" i="43"/>
  <c r="M50" i="43"/>
  <c r="N50" i="43"/>
  <c r="K50" i="43"/>
  <c r="J50" i="43"/>
  <c r="F50" i="43"/>
  <c r="H53" i="43"/>
  <c r="D50" i="43"/>
  <c r="B50" i="43"/>
  <c r="H42" i="43"/>
  <c r="H41" i="43"/>
  <c r="H40" i="43"/>
  <c r="H39" i="43"/>
  <c r="H38" i="43"/>
  <c r="H37" i="43"/>
  <c r="J24" i="43"/>
  <c r="G24" i="43"/>
  <c r="E44" i="43"/>
  <c r="C44" i="43"/>
  <c r="E24" i="43"/>
  <c r="I23" i="43"/>
  <c r="C22" i="43"/>
  <c r="C20"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G3" i="43"/>
  <c r="I2" i="43"/>
  <c r="M12" i="43"/>
  <c r="G2" i="43"/>
  <c r="F39" i="69"/>
  <c r="F38" i="69"/>
  <c r="E37" i="69"/>
  <c r="F36" i="69"/>
  <c r="F35" i="69"/>
  <c r="F21" i="69"/>
  <c r="C40" i="69"/>
  <c r="F20" i="69"/>
  <c r="C19" i="69"/>
  <c r="E10" i="69"/>
  <c r="E9" i="69"/>
  <c r="F7" i="69"/>
  <c r="H1" i="6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H40" i="40"/>
  <c r="AB40" i="40"/>
  <c r="B118"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H33" i="40"/>
  <c r="B103" i="40"/>
  <c r="H32" i="40"/>
  <c r="AB32" i="40"/>
  <c r="B101" i="40"/>
  <c r="H3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J27" i="40"/>
  <c r="AC27"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H12"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Q40" i="40"/>
  <c r="Z40" i="40"/>
  <c r="Q39" i="40"/>
  <c r="Z39" i="40"/>
  <c r="Q38" i="40"/>
  <c r="Z38" i="40"/>
  <c r="Q37" i="40"/>
  <c r="Z37" i="40"/>
  <c r="J37" i="40"/>
  <c r="W37" i="40"/>
  <c r="H37" i="40"/>
  <c r="AB37" i="40"/>
  <c r="F37" i="40"/>
  <c r="AA37" i="40"/>
  <c r="Q36" i="40"/>
  <c r="Z36" i="40"/>
  <c r="J36" i="40"/>
  <c r="AC36" i="40"/>
  <c r="H36" i="40"/>
  <c r="F36" i="40"/>
  <c r="AA36" i="40"/>
  <c r="Q35" i="40"/>
  <c r="Z35" i="40"/>
  <c r="J35" i="40"/>
  <c r="AC35" i="40"/>
  <c r="H35" i="40"/>
  <c r="AB35" i="40"/>
  <c r="F35" i="40"/>
  <c r="AA35" i="40"/>
  <c r="Q34" i="40"/>
  <c r="Z34" i="40"/>
  <c r="J34" i="40"/>
  <c r="AC34" i="40"/>
  <c r="H34" i="40"/>
  <c r="AB34" i="40"/>
  <c r="F34" i="40"/>
  <c r="AA34" i="40"/>
  <c r="Q33" i="40"/>
  <c r="Z33" i="40"/>
  <c r="Q32" i="40"/>
  <c r="Z32" i="40"/>
  <c r="Q31" i="40"/>
  <c r="Z31" i="40"/>
  <c r="Q30" i="40"/>
  <c r="Z30" i="40"/>
  <c r="C30" i="40"/>
  <c r="H30" i="40"/>
  <c r="Q28" i="40"/>
  <c r="Z28" i="40"/>
  <c r="J28" i="40"/>
  <c r="AC28" i="40"/>
  <c r="H28" i="40"/>
  <c r="AB28" i="40"/>
  <c r="F28" i="40"/>
  <c r="AA28" i="40"/>
  <c r="C28" i="40"/>
  <c r="Q27" i="40"/>
  <c r="Z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Q13" i="40"/>
  <c r="Z13" i="40"/>
  <c r="J13" i="40"/>
  <c r="AC13" i="40"/>
  <c r="Q12" i="40"/>
  <c r="Z12" i="40"/>
  <c r="F12" i="40"/>
  <c r="AA12" i="40"/>
  <c r="Q11" i="40"/>
  <c r="Z11" i="40"/>
  <c r="J11" i="40"/>
  <c r="AC11" i="40"/>
  <c r="H11" i="40"/>
  <c r="U11" i="40"/>
  <c r="F11" i="40"/>
  <c r="AA11" i="40"/>
  <c r="Q10" i="40"/>
  <c r="Z10" i="40"/>
  <c r="Q9" i="40"/>
  <c r="Z9" i="40"/>
  <c r="J9" i="40"/>
  <c r="AC9" i="40"/>
  <c r="H9" i="40"/>
  <c r="AB9" i="40"/>
  <c r="F9" i="40"/>
  <c r="AA9" i="40"/>
  <c r="J8" i="40"/>
  <c r="H8" i="40"/>
  <c r="U8" i="40"/>
  <c r="F8" i="40"/>
  <c r="B130" i="39"/>
  <c r="H45" i="39"/>
  <c r="AB45" i="39"/>
  <c r="B128" i="39"/>
  <c r="B126" i="39"/>
  <c r="H43" i="39"/>
  <c r="AB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AB37" i="39"/>
  <c r="B111" i="39"/>
  <c r="H36" i="39"/>
  <c r="AB36" i="39"/>
  <c r="B109" i="39"/>
  <c r="H35" i="39"/>
  <c r="AB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J14" i="39"/>
  <c r="B83" i="39"/>
  <c r="B81"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Q44" i="39"/>
  <c r="Z44" i="39"/>
  <c r="Q43" i="39"/>
  <c r="Z43" i="39"/>
  <c r="Q42" i="39"/>
  <c r="Z42" i="39"/>
  <c r="J42" i="39"/>
  <c r="AC42" i="39"/>
  <c r="H42" i="39"/>
  <c r="AB42" i="39"/>
  <c r="F42" i="39"/>
  <c r="AA42" i="39"/>
  <c r="Q41" i="39"/>
  <c r="Z41" i="39"/>
  <c r="J41" i="39"/>
  <c r="AC41" i="39"/>
  <c r="H41" i="39"/>
  <c r="AB41" i="39"/>
  <c r="F41" i="39"/>
  <c r="AA41" i="39"/>
  <c r="Q40" i="39"/>
  <c r="Z40" i="39"/>
  <c r="J40" i="39"/>
  <c r="W40" i="39"/>
  <c r="H40" i="39"/>
  <c r="AB40" i="39"/>
  <c r="F40" i="39"/>
  <c r="AA40" i="39"/>
  <c r="Q39" i="39"/>
  <c r="Z39" i="39"/>
  <c r="J39" i="39"/>
  <c r="AC39" i="39"/>
  <c r="H39" i="39"/>
  <c r="F39" i="39"/>
  <c r="AA39" i="39"/>
  <c r="Q38" i="39"/>
  <c r="Z38" i="39"/>
  <c r="J38" i="39"/>
  <c r="AC38" i="39"/>
  <c r="H38" i="39"/>
  <c r="AB38" i="39"/>
  <c r="F38" i="39"/>
  <c r="AA38" i="39"/>
  <c r="Q37" i="39"/>
  <c r="Z37" i="39"/>
  <c r="Q36" i="39"/>
  <c r="Z36" i="39"/>
  <c r="Q35" i="39"/>
  <c r="Z35" i="39"/>
  <c r="Q34" i="39"/>
  <c r="Z34" i="39"/>
  <c r="J34" i="39"/>
  <c r="AC34" i="39"/>
  <c r="H34" i="39"/>
  <c r="AB34" i="39"/>
  <c r="F34" i="39"/>
  <c r="AA34" i="39"/>
  <c r="Q32" i="39"/>
  <c r="Z32" i="39"/>
  <c r="J32" i="39"/>
  <c r="AC32" i="39"/>
  <c r="H32" i="39"/>
  <c r="AB32" i="39"/>
  <c r="F32" i="39"/>
  <c r="AA32" i="39"/>
  <c r="Q31" i="39"/>
  <c r="Z31" i="39"/>
  <c r="Q29" i="39"/>
  <c r="Z29" i="39"/>
  <c r="J29" i="39"/>
  <c r="AC29" i="39"/>
  <c r="H29" i="39"/>
  <c r="F29" i="39"/>
  <c r="AA29" i="39"/>
  <c r="Q27" i="39"/>
  <c r="Z27" i="39"/>
  <c r="J27" i="39"/>
  <c r="AC27" i="39"/>
  <c r="H27" i="39"/>
  <c r="AB27" i="39"/>
  <c r="F27" i="39"/>
  <c r="AA27" i="39"/>
  <c r="Q25" i="39"/>
  <c r="Z25" i="39"/>
  <c r="J25" i="39"/>
  <c r="AC25" i="39"/>
  <c r="H25" i="39"/>
  <c r="AB25" i="39"/>
  <c r="F25" i="39"/>
  <c r="AA25" i="39"/>
  <c r="Q23" i="39"/>
  <c r="Z23" i="39"/>
  <c r="J23" i="39"/>
  <c r="H23" i="39"/>
  <c r="AB23" i="39"/>
  <c r="F23" i="39"/>
  <c r="AA23" i="39"/>
  <c r="C23" i="39"/>
  <c r="Q21" i="39"/>
  <c r="Z21" i="39"/>
  <c r="J21" i="39"/>
  <c r="W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Q13" i="39"/>
  <c r="Z13" i="39"/>
  <c r="Q12" i="39"/>
  <c r="Z12" i="39"/>
  <c r="Q11" i="39"/>
  <c r="Z11" i="39"/>
  <c r="J11" i="39"/>
  <c r="AC11" i="39"/>
  <c r="H11" i="39"/>
  <c r="AB11" i="39"/>
  <c r="F11" i="39"/>
  <c r="AA11" i="39"/>
  <c r="Q10" i="39"/>
  <c r="Z10" i="39"/>
  <c r="Q9" i="39"/>
  <c r="Z9" i="39"/>
  <c r="J9" i="39"/>
  <c r="AC9" i="39"/>
  <c r="H9" i="39"/>
  <c r="AB9" i="39"/>
  <c r="F9" i="39"/>
  <c r="AA9" i="39"/>
  <c r="J8" i="39"/>
  <c r="AC8" i="39"/>
  <c r="H8" i="39"/>
  <c r="AB8" i="39"/>
  <c r="F8" i="39"/>
  <c r="AA8" i="39"/>
  <c r="B95" i="36"/>
  <c r="H34" i="36"/>
  <c r="AB34" i="36"/>
  <c r="B93" i="36"/>
  <c r="B91" i="36"/>
  <c r="H32" i="36"/>
  <c r="AB32"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F25" i="36"/>
  <c r="AA25" i="36"/>
  <c r="B73" i="36"/>
  <c r="H24" i="36"/>
  <c r="AB24" i="36"/>
  <c r="B71" i="36"/>
  <c r="J23" i="36"/>
  <c r="AC23" i="36"/>
  <c r="D70" i="36"/>
  <c r="D68" i="36"/>
  <c r="E68" i="36"/>
  <c r="F68" i="36"/>
  <c r="G68" i="36"/>
  <c r="D66" i="36"/>
  <c r="E66" i="36"/>
  <c r="F66" i="36"/>
  <c r="G66" i="36"/>
  <c r="D64" i="36"/>
  <c r="E64" i="36"/>
  <c r="F64" i="36"/>
  <c r="G64" i="36"/>
  <c r="D62" i="36"/>
  <c r="E62" i="36"/>
  <c r="F62" i="36"/>
  <c r="G62" i="36"/>
  <c r="B59" i="36"/>
  <c r="F13" i="36"/>
  <c r="AA13" i="36"/>
  <c r="B57" i="36"/>
  <c r="H12" i="36"/>
  <c r="AB12" i="36"/>
  <c r="B55" i="36"/>
  <c r="J11" i="36"/>
  <c r="AC11" i="36"/>
  <c r="C51" i="36"/>
  <c r="H9" i="36"/>
  <c r="AB9" i="36"/>
  <c r="I42" i="36"/>
  <c r="J42" i="36"/>
  <c r="G42" i="36"/>
  <c r="H42" i="36"/>
  <c r="E42" i="36"/>
  <c r="F42" i="36"/>
  <c r="P37" i="36"/>
  <c r="P36" i="36"/>
  <c r="K36" i="36"/>
  <c r="V35" i="36"/>
  <c r="T35" i="36"/>
  <c r="R35" i="36"/>
  <c r="P35" i="36"/>
  <c r="Q34" i="36"/>
  <c r="Z34" i="36"/>
  <c r="Q33" i="36"/>
  <c r="Z33" i="36"/>
  <c r="Q32" i="36"/>
  <c r="Z32" i="36"/>
  <c r="Q31" i="36"/>
  <c r="Z31" i="36"/>
  <c r="J31" i="36"/>
  <c r="AC31" i="36"/>
  <c r="H31" i="36"/>
  <c r="AB31" i="36"/>
  <c r="F31" i="36"/>
  <c r="AA31" i="36"/>
  <c r="Q30" i="36"/>
  <c r="Z30" i="36"/>
  <c r="J30" i="36"/>
  <c r="AC30" i="36"/>
  <c r="H30" i="36"/>
  <c r="AB30" i="36"/>
  <c r="F30" i="36"/>
  <c r="AA30" i="36"/>
  <c r="Q29" i="36"/>
  <c r="Z29" i="36"/>
  <c r="J29" i="36"/>
  <c r="AC29" i="36"/>
  <c r="H29" i="36"/>
  <c r="AB29" i="36"/>
  <c r="F29" i="36"/>
  <c r="AA29" i="36"/>
  <c r="Q28" i="36"/>
  <c r="Z28" i="36"/>
  <c r="J28" i="36"/>
  <c r="AC28" i="36"/>
  <c r="H28" i="36"/>
  <c r="AB28" i="36"/>
  <c r="F28" i="36"/>
  <c r="AA28" i="36"/>
  <c r="Q27" i="36"/>
  <c r="Z27" i="36"/>
  <c r="J27" i="36"/>
  <c r="AC27" i="36"/>
  <c r="H27" i="36"/>
  <c r="AB27" i="36"/>
  <c r="F27" i="36"/>
  <c r="AA27" i="36"/>
  <c r="Q26" i="36"/>
  <c r="Z26" i="36"/>
  <c r="J26" i="36"/>
  <c r="AC26" i="36"/>
  <c r="H26" i="36"/>
  <c r="AB26" i="36"/>
  <c r="F26" i="36"/>
  <c r="AA26" i="36"/>
  <c r="Q25" i="36"/>
  <c r="Z25" i="36"/>
  <c r="Q24" i="36"/>
  <c r="Z24" i="36"/>
  <c r="Q23" i="36"/>
  <c r="Z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Q12" i="36"/>
  <c r="Z12" i="36"/>
  <c r="Q11" i="36"/>
  <c r="Z11" i="36"/>
  <c r="Q10" i="36"/>
  <c r="Z10" i="36"/>
  <c r="J10" i="36"/>
  <c r="AC10" i="36"/>
  <c r="H10" i="36"/>
  <c r="AB10" i="36"/>
  <c r="F10" i="36"/>
  <c r="AA10" i="36"/>
  <c r="Q9" i="36"/>
  <c r="Z9" i="36"/>
  <c r="J8" i="36"/>
  <c r="H8" i="36"/>
  <c r="U8" i="36"/>
  <c r="F8" i="36"/>
  <c r="D3" i="36"/>
  <c r="B2" i="36"/>
  <c r="B101" i="35"/>
  <c r="F36" i="35"/>
  <c r="AA36" i="35"/>
  <c r="B99" i="35"/>
  <c r="H35" i="35"/>
  <c r="AB35" i="35"/>
  <c r="B97" i="35"/>
  <c r="J34" i="35"/>
  <c r="AC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H24" i="35"/>
  <c r="AB24" i="35"/>
  <c r="B73" i="35"/>
  <c r="D72" i="35"/>
  <c r="E72" i="35"/>
  <c r="F72" i="35"/>
  <c r="G72" i="35"/>
  <c r="D70" i="35"/>
  <c r="E70" i="35"/>
  <c r="F70" i="35"/>
  <c r="G70" i="35"/>
  <c r="D68" i="35"/>
  <c r="E68" i="35"/>
  <c r="F68" i="35"/>
  <c r="G68" i="35"/>
  <c r="D66" i="35"/>
  <c r="E66" i="35"/>
  <c r="F66" i="35"/>
  <c r="G66" i="35"/>
  <c r="D64" i="35"/>
  <c r="E64" i="35"/>
  <c r="F64" i="35"/>
  <c r="G64" i="35"/>
  <c r="B61" i="35"/>
  <c r="H13" i="35"/>
  <c r="B59" i="35"/>
  <c r="F12" i="35"/>
  <c r="AA12" i="35"/>
  <c r="B57" i="35"/>
  <c r="C53" i="35"/>
  <c r="I44" i="35"/>
  <c r="J44" i="35"/>
  <c r="G44" i="35"/>
  <c r="H44" i="35"/>
  <c r="E44" i="35"/>
  <c r="F44" i="35"/>
  <c r="P39" i="35"/>
  <c r="P38" i="35"/>
  <c r="K38" i="35"/>
  <c r="B38" i="35"/>
  <c r="V37" i="35"/>
  <c r="T37" i="35"/>
  <c r="R37" i="35"/>
  <c r="P37" i="35"/>
  <c r="Q36" i="35"/>
  <c r="Z36" i="35"/>
  <c r="Q35" i="35"/>
  <c r="Z35" i="35"/>
  <c r="Q34" i="35"/>
  <c r="Z34" i="35"/>
  <c r="Q33" i="35"/>
  <c r="Z33" i="35"/>
  <c r="J33" i="35"/>
  <c r="AC33" i="35"/>
  <c r="H33" i="35"/>
  <c r="AB33" i="35"/>
  <c r="F33" i="35"/>
  <c r="AA33" i="35"/>
  <c r="Q32" i="35"/>
  <c r="Z32" i="35"/>
  <c r="J32" i="35"/>
  <c r="AC32" i="35"/>
  <c r="H32" i="35"/>
  <c r="AB32" i="35"/>
  <c r="F32" i="35"/>
  <c r="AA32" i="35"/>
  <c r="Q31" i="35"/>
  <c r="Z31" i="35"/>
  <c r="J31" i="35"/>
  <c r="AC31" i="35"/>
  <c r="H31" i="35"/>
  <c r="F31" i="35"/>
  <c r="AA31" i="35"/>
  <c r="Q30" i="35"/>
  <c r="Z30" i="35"/>
  <c r="J30" i="35"/>
  <c r="AC30" i="35"/>
  <c r="H30" i="35"/>
  <c r="AB30" i="35"/>
  <c r="F30" i="35"/>
  <c r="Q29" i="35"/>
  <c r="Z29" i="35"/>
  <c r="J29" i="35"/>
  <c r="AC29" i="35"/>
  <c r="H29" i="35"/>
  <c r="F29" i="35"/>
  <c r="AA29" i="35"/>
  <c r="Q28" i="35"/>
  <c r="Z28" i="35"/>
  <c r="J28" i="35"/>
  <c r="AC28" i="35"/>
  <c r="H28" i="35"/>
  <c r="AB28" i="35"/>
  <c r="F28" i="35"/>
  <c r="AA28" i="35"/>
  <c r="Q27" i="35"/>
  <c r="Z27" i="35"/>
  <c r="J27" i="35"/>
  <c r="AC27" i="35"/>
  <c r="H27" i="35"/>
  <c r="AB27" i="35"/>
  <c r="F27" i="35"/>
  <c r="AA27" i="35"/>
  <c r="Q26" i="35"/>
  <c r="Z26" i="35"/>
  <c r="C26" i="35"/>
  <c r="Q25" i="35"/>
  <c r="Z25" i="35"/>
  <c r="J25" i="35"/>
  <c r="Q24" i="35"/>
  <c r="Z24" i="35"/>
  <c r="Q23" i="35"/>
  <c r="Z23" i="35"/>
  <c r="Q22" i="35"/>
  <c r="Z22" i="35"/>
  <c r="J22" i="35"/>
  <c r="AC22" i="35"/>
  <c r="H22" i="35"/>
  <c r="F22" i="35"/>
  <c r="AA22" i="35"/>
  <c r="Q20" i="35"/>
  <c r="Z20" i="35"/>
  <c r="J20" i="35"/>
  <c r="H20" i="35"/>
  <c r="AB20" i="35"/>
  <c r="F20" i="35"/>
  <c r="S20" i="35"/>
  <c r="C20" i="35"/>
  <c r="Q18" i="35"/>
  <c r="Z18" i="35"/>
  <c r="J18" i="35"/>
  <c r="H18" i="35"/>
  <c r="AB18" i="35"/>
  <c r="F18" i="35"/>
  <c r="AA18" i="35"/>
  <c r="C18" i="35"/>
  <c r="Q16" i="35"/>
  <c r="Z16" i="35"/>
  <c r="J16" i="35"/>
  <c r="H16" i="35"/>
  <c r="AB16" i="35"/>
  <c r="F16" i="35"/>
  <c r="S16" i="35"/>
  <c r="C16" i="35"/>
  <c r="Q14" i="35"/>
  <c r="Z14" i="35"/>
  <c r="J14" i="35"/>
  <c r="W14" i="35"/>
  <c r="H14" i="35"/>
  <c r="AB14" i="35"/>
  <c r="F14" i="35"/>
  <c r="AA14" i="35"/>
  <c r="C14" i="35"/>
  <c r="Q13" i="35"/>
  <c r="Z13" i="35"/>
  <c r="J13" i="35"/>
  <c r="Q12" i="35"/>
  <c r="Z12" i="35"/>
  <c r="Q11" i="35"/>
  <c r="Z11" i="35"/>
  <c r="Q10" i="35"/>
  <c r="Z10" i="35"/>
  <c r="J10" i="35"/>
  <c r="AC10" i="35"/>
  <c r="H10" i="35"/>
  <c r="F10" i="35"/>
  <c r="AA10" i="35"/>
  <c r="Q9" i="35"/>
  <c r="Z9" i="35"/>
  <c r="J8" i="35"/>
  <c r="AC8" i="35"/>
  <c r="H8" i="35"/>
  <c r="U8" i="35"/>
  <c r="F8" i="35"/>
  <c r="AA8" i="35"/>
  <c r="D3" i="35"/>
  <c r="B2" i="35"/>
  <c r="B112" i="37"/>
  <c r="H40" i="37"/>
  <c r="AB40" i="37"/>
  <c r="B110" i="37"/>
  <c r="H39" i="37"/>
  <c r="AB39" i="37"/>
  <c r="B108" i="37"/>
  <c r="H38" i="37"/>
  <c r="AB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F27" i="37"/>
  <c r="AA27" i="37"/>
  <c r="B82" i="37"/>
  <c r="J26" i="37"/>
  <c r="B80" i="37"/>
  <c r="F25" i="37"/>
  <c r="AA25" i="37"/>
  <c r="D79" i="37"/>
  <c r="E79" i="37"/>
  <c r="F79" i="37"/>
  <c r="G79" i="37"/>
  <c r="D77" i="37"/>
  <c r="E77" i="37"/>
  <c r="F77" i="37"/>
  <c r="G77" i="37"/>
  <c r="D75" i="37"/>
  <c r="E75" i="37"/>
  <c r="F75" i="37"/>
  <c r="G75" i="37"/>
  <c r="D73" i="37"/>
  <c r="E73" i="37"/>
  <c r="F73" i="37"/>
  <c r="G73" i="37"/>
  <c r="D71" i="37"/>
  <c r="E71" i="37"/>
  <c r="F71" i="37"/>
  <c r="G71" i="37"/>
  <c r="B68" i="37"/>
  <c r="F14" i="37"/>
  <c r="B66" i="37"/>
  <c r="H13" i="37"/>
  <c r="B64" i="37"/>
  <c r="D63" i="37"/>
  <c r="E63" i="37"/>
  <c r="F63" i="37"/>
  <c r="G63" i="37"/>
  <c r="H63" i="37"/>
  <c r="I63" i="37"/>
  <c r="J63" i="37"/>
  <c r="K63" i="37"/>
  <c r="L63" i="37"/>
  <c r="M63" i="37"/>
  <c r="M61" i="37"/>
  <c r="L61" i="37"/>
  <c r="K61" i="37"/>
  <c r="J61" i="37"/>
  <c r="I61" i="37"/>
  <c r="H61" i="37"/>
  <c r="G61" i="37"/>
  <c r="F61" i="37"/>
  <c r="E61" i="37"/>
  <c r="D61" i="37"/>
  <c r="C61" i="37"/>
  <c r="C57" i="37"/>
  <c r="H9" i="37"/>
  <c r="U9" i="37"/>
  <c r="I48" i="37"/>
  <c r="J48" i="37"/>
  <c r="G48" i="37"/>
  <c r="H48" i="37"/>
  <c r="E48" i="37"/>
  <c r="F48" i="37"/>
  <c r="P43" i="37"/>
  <c r="P42" i="37"/>
  <c r="K42" i="37"/>
  <c r="V41" i="37"/>
  <c r="T41" i="37"/>
  <c r="R41" i="37"/>
  <c r="P41" i="37"/>
  <c r="Q40" i="37"/>
  <c r="Z40" i="37"/>
  <c r="Q39" i="37"/>
  <c r="Z39" i="37"/>
  <c r="Q38" i="37"/>
  <c r="Z38" i="37"/>
  <c r="Q37" i="37"/>
  <c r="Z37" i="37"/>
  <c r="J37" i="37"/>
  <c r="AC37" i="37"/>
  <c r="H37" i="37"/>
  <c r="AB37" i="37"/>
  <c r="F37" i="37"/>
  <c r="AA37" i="37"/>
  <c r="Q36" i="37"/>
  <c r="Z36" i="37"/>
  <c r="J36" i="37"/>
  <c r="H36" i="37"/>
  <c r="AB36" i="37"/>
  <c r="F36" i="37"/>
  <c r="S36" i="37"/>
  <c r="Q35" i="37"/>
  <c r="Z35" i="37"/>
  <c r="J35" i="37"/>
  <c r="AC35" i="37"/>
  <c r="H35" i="37"/>
  <c r="F35" i="37"/>
  <c r="AA35" i="37"/>
  <c r="Q34" i="37"/>
  <c r="Z34" i="37"/>
  <c r="J34" i="37"/>
  <c r="AC34" i="37"/>
  <c r="H34" i="37"/>
  <c r="AB34" i="37"/>
  <c r="F34" i="37"/>
  <c r="AA34" i="37"/>
  <c r="Q33" i="37"/>
  <c r="Z33" i="37"/>
  <c r="J33" i="37"/>
  <c r="AC33" i="37"/>
  <c r="H33" i="37"/>
  <c r="F33" i="37"/>
  <c r="AA33" i="37"/>
  <c r="Q32" i="37"/>
  <c r="Z32" i="37"/>
  <c r="J32" i="37"/>
  <c r="H32" i="37"/>
  <c r="AB32" i="37"/>
  <c r="F32" i="37"/>
  <c r="S32" i="37"/>
  <c r="Q31" i="37"/>
  <c r="Z31" i="37"/>
  <c r="J31" i="37"/>
  <c r="AC31" i="37"/>
  <c r="H31" i="37"/>
  <c r="F31" i="37"/>
  <c r="AA31" i="37"/>
  <c r="Q30" i="37"/>
  <c r="Z30" i="37"/>
  <c r="J30" i="37"/>
  <c r="AC30" i="37"/>
  <c r="H30" i="37"/>
  <c r="AB30" i="37"/>
  <c r="F30" i="37"/>
  <c r="AA30" i="37"/>
  <c r="Q29" i="37"/>
  <c r="Z29" i="37"/>
  <c r="J29" i="37"/>
  <c r="AC29" i="37"/>
  <c r="H29" i="37"/>
  <c r="F29" i="37"/>
  <c r="AA29" i="37"/>
  <c r="Q28" i="37"/>
  <c r="Z28" i="37"/>
  <c r="Q27" i="37"/>
  <c r="Z27" i="37"/>
  <c r="Q26" i="37"/>
  <c r="Z26" i="37"/>
  <c r="Q25" i="37"/>
  <c r="Z25" i="37"/>
  <c r="Q23" i="37"/>
  <c r="Z23" i="37"/>
  <c r="J23" i="37"/>
  <c r="H23" i="37"/>
  <c r="AB23" i="37"/>
  <c r="F23" i="37"/>
  <c r="S23" i="37"/>
  <c r="C23" i="37"/>
  <c r="Q21" i="37"/>
  <c r="Z21" i="37"/>
  <c r="J21" i="37"/>
  <c r="H21" i="37"/>
  <c r="AB21" i="37"/>
  <c r="F21" i="37"/>
  <c r="AA21" i="37"/>
  <c r="C21" i="37"/>
  <c r="Q19" i="37"/>
  <c r="Z19" i="37"/>
  <c r="J19" i="37"/>
  <c r="H19" i="37"/>
  <c r="AB19" i="37"/>
  <c r="F19" i="37"/>
  <c r="S19" i="37"/>
  <c r="C19" i="37"/>
  <c r="Q17" i="37"/>
  <c r="Z17" i="37"/>
  <c r="J17" i="37"/>
  <c r="W17" i="37"/>
  <c r="H17" i="37"/>
  <c r="AB17" i="37"/>
  <c r="F17" i="37"/>
  <c r="AA17" i="37"/>
  <c r="C17" i="37"/>
  <c r="Q15" i="37"/>
  <c r="Z15" i="37"/>
  <c r="J15" i="37"/>
  <c r="H15" i="37"/>
  <c r="AB15" i="37"/>
  <c r="F15" i="37"/>
  <c r="S15" i="37"/>
  <c r="C15" i="37"/>
  <c r="Q14" i="37"/>
  <c r="Z14" i="37"/>
  <c r="Q13" i="37"/>
  <c r="Z13" i="37"/>
  <c r="Q12" i="37"/>
  <c r="Z12" i="37"/>
  <c r="Q11" i="37"/>
  <c r="Z11" i="37"/>
  <c r="J11" i="37"/>
  <c r="AC11" i="37"/>
  <c r="H11" i="37"/>
  <c r="F11" i="37"/>
  <c r="AA11" i="37"/>
  <c r="Q10" i="37"/>
  <c r="Z10" i="37"/>
  <c r="J10" i="37"/>
  <c r="W10" i="37"/>
  <c r="H10" i="37"/>
  <c r="AB10" i="37"/>
  <c r="F10" i="37"/>
  <c r="AA10" i="37"/>
  <c r="Q9" i="37"/>
  <c r="Z9" i="37"/>
  <c r="J8" i="37"/>
  <c r="H8" i="37"/>
  <c r="AB8" i="37"/>
  <c r="F8" i="37"/>
  <c r="S8" i="37"/>
  <c r="B2" i="37"/>
  <c r="B131" i="34"/>
  <c r="H47" i="34"/>
  <c r="U47" i="34"/>
  <c r="B129" i="34"/>
  <c r="H46" i="34"/>
  <c r="AB46" i="34"/>
  <c r="B127" i="34"/>
  <c r="H45" i="34"/>
  <c r="AB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F32" i="34"/>
  <c r="AA32" i="34"/>
  <c r="B97" i="34"/>
  <c r="B95" i="34"/>
  <c r="J30" i="34"/>
  <c r="AC30" i="34"/>
  <c r="B93" i="34"/>
  <c r="J29" i="34"/>
  <c r="AC29" i="34"/>
  <c r="D92" i="34"/>
  <c r="E92" i="34"/>
  <c r="F92" i="34"/>
  <c r="G92" i="34"/>
  <c r="H92" i="34"/>
  <c r="I92" i="34"/>
  <c r="J92" i="34"/>
  <c r="K92" i="34"/>
  <c r="L92" i="34"/>
  <c r="M92" i="34"/>
  <c r="B91" i="34"/>
  <c r="F28" i="34"/>
  <c r="AA28" i="34"/>
  <c r="D90" i="34"/>
  <c r="E90" i="34"/>
  <c r="F90" i="34"/>
  <c r="G90" i="34"/>
  <c r="H90" i="34"/>
  <c r="I90" i="34"/>
  <c r="J90" i="34"/>
  <c r="K90" i="34"/>
  <c r="L90" i="34"/>
  <c r="M90" i="34"/>
  <c r="B89" i="34"/>
  <c r="J27" i="34"/>
  <c r="AC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F14" i="34"/>
  <c r="AA14" i="34"/>
  <c r="B73" i="34"/>
  <c r="F13" i="34"/>
  <c r="AA1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F46" i="34"/>
  <c r="S46" i="34"/>
  <c r="Q45" i="34"/>
  <c r="Z45" i="34"/>
  <c r="Q44" i="34"/>
  <c r="Z44" i="34"/>
  <c r="J44" i="34"/>
  <c r="H44" i="34"/>
  <c r="AB44" i="34"/>
  <c r="F44" i="34"/>
  <c r="AA44" i="34"/>
  <c r="Q43" i="34"/>
  <c r="Z43" i="34"/>
  <c r="J43" i="34"/>
  <c r="AC43" i="34"/>
  <c r="H43" i="34"/>
  <c r="F43" i="34"/>
  <c r="AA43" i="34"/>
  <c r="Q42" i="34"/>
  <c r="Z42" i="34"/>
  <c r="J42" i="34"/>
  <c r="H42" i="34"/>
  <c r="AB42" i="34"/>
  <c r="F42" i="34"/>
  <c r="S42" i="34"/>
  <c r="Q41" i="34"/>
  <c r="Z41" i="34"/>
  <c r="J41" i="34"/>
  <c r="AC41" i="34"/>
  <c r="H41" i="34"/>
  <c r="F41" i="34"/>
  <c r="AA41" i="34"/>
  <c r="Q40" i="34"/>
  <c r="Z40" i="34"/>
  <c r="J40" i="34"/>
  <c r="H40" i="34"/>
  <c r="AB40" i="34"/>
  <c r="F40" i="34"/>
  <c r="AA40" i="34"/>
  <c r="Q39" i="34"/>
  <c r="Z39" i="34"/>
  <c r="J39" i="34"/>
  <c r="AC39" i="34"/>
  <c r="H39" i="34"/>
  <c r="F39" i="34"/>
  <c r="AA39" i="34"/>
  <c r="Q38" i="34"/>
  <c r="Z38" i="34"/>
  <c r="J38" i="34"/>
  <c r="H38" i="34"/>
  <c r="AB38" i="34"/>
  <c r="F38" i="34"/>
  <c r="S38" i="34"/>
  <c r="Q37" i="34"/>
  <c r="Z37" i="34"/>
  <c r="J37" i="34"/>
  <c r="AC37" i="34"/>
  <c r="H37" i="34"/>
  <c r="F37" i="34"/>
  <c r="AA37" i="34"/>
  <c r="Q36" i="34"/>
  <c r="Z36" i="34"/>
  <c r="J36" i="34"/>
  <c r="W36" i="34"/>
  <c r="H36" i="34"/>
  <c r="AB36" i="34"/>
  <c r="F36" i="34"/>
  <c r="AA36" i="34"/>
  <c r="Q35" i="34"/>
  <c r="Z35" i="34"/>
  <c r="J35" i="34"/>
  <c r="AC35" i="34"/>
  <c r="H35" i="34"/>
  <c r="F35" i="34"/>
  <c r="AA35" i="34"/>
  <c r="Q34" i="34"/>
  <c r="Z34" i="34"/>
  <c r="J34" i="34"/>
  <c r="H34" i="34"/>
  <c r="AB34" i="34"/>
  <c r="F34" i="34"/>
  <c r="S34" i="34"/>
  <c r="Q33" i="34"/>
  <c r="Z33" i="34"/>
  <c r="J33" i="34"/>
  <c r="AC33" i="34"/>
  <c r="H33" i="34"/>
  <c r="F33" i="34"/>
  <c r="AA33" i="34"/>
  <c r="Q32" i="34"/>
  <c r="Z32" i="34"/>
  <c r="Q31" i="34"/>
  <c r="Z31" i="34"/>
  <c r="Q30" i="34"/>
  <c r="Z30" i="34"/>
  <c r="Q29" i="34"/>
  <c r="Z29" i="34"/>
  <c r="Q28" i="34"/>
  <c r="Z28" i="34"/>
  <c r="Q27" i="34"/>
  <c r="Z27" i="34"/>
  <c r="Q25" i="34"/>
  <c r="Z25" i="34"/>
  <c r="J25" i="34"/>
  <c r="AC25" i="34"/>
  <c r="H25" i="34"/>
  <c r="AB25" i="34"/>
  <c r="F25" i="34"/>
  <c r="AA25" i="34"/>
  <c r="Q23" i="34"/>
  <c r="Z23" i="34"/>
  <c r="J23" i="34"/>
  <c r="H23" i="34"/>
  <c r="AB23" i="34"/>
  <c r="F23" i="34"/>
  <c r="AA23" i="34"/>
  <c r="C23" i="34"/>
  <c r="Q21" i="34"/>
  <c r="Z21" i="34"/>
  <c r="J21" i="34"/>
  <c r="AC21" i="34"/>
  <c r="H21" i="34"/>
  <c r="AB21" i="34"/>
  <c r="F21" i="34"/>
  <c r="AA21" i="34"/>
  <c r="C21" i="34"/>
  <c r="Q19" i="34"/>
  <c r="Z19" i="34"/>
  <c r="J19" i="34"/>
  <c r="H19" i="34"/>
  <c r="AB19" i="34"/>
  <c r="F19" i="34"/>
  <c r="AA19" i="34"/>
  <c r="C19" i="34"/>
  <c r="Q17" i="34"/>
  <c r="Z17" i="34"/>
  <c r="J17" i="34"/>
  <c r="AC17" i="34"/>
  <c r="H17" i="34"/>
  <c r="AB17" i="34"/>
  <c r="F17" i="34"/>
  <c r="AA17" i="34"/>
  <c r="C17" i="34"/>
  <c r="Q15" i="34"/>
  <c r="Z15" i="34"/>
  <c r="J15" i="34"/>
  <c r="H15" i="34"/>
  <c r="AB15" i="34"/>
  <c r="F15" i="34"/>
  <c r="AA15" i="34"/>
  <c r="C15" i="34"/>
  <c r="Q14" i="34"/>
  <c r="Z14" i="34"/>
  <c r="Q13" i="34"/>
  <c r="Z13" i="34"/>
  <c r="Q12" i="34"/>
  <c r="Z12" i="34"/>
  <c r="H12" i="34"/>
  <c r="AB12" i="34"/>
  <c r="Q11" i="34"/>
  <c r="Z11" i="34"/>
  <c r="J11" i="34"/>
  <c r="AC11" i="34"/>
  <c r="H11" i="34"/>
  <c r="U11" i="34"/>
  <c r="F11" i="34"/>
  <c r="AA11" i="34"/>
  <c r="Q10" i="34"/>
  <c r="Z10" i="34"/>
  <c r="J10" i="34"/>
  <c r="AC10" i="34"/>
  <c r="H10" i="34"/>
  <c r="AB10" i="34"/>
  <c r="F10" i="34"/>
  <c r="AA10" i="34"/>
  <c r="Q9" i="34"/>
  <c r="Z9" i="34"/>
  <c r="J8" i="34"/>
  <c r="W8" i="34"/>
  <c r="H8" i="34"/>
  <c r="AB8" i="34"/>
  <c r="F8" i="34"/>
  <c r="S8" i="34"/>
  <c r="B2" i="34"/>
  <c r="B130" i="33"/>
  <c r="H46" i="33"/>
  <c r="AB46" i="33"/>
  <c r="B128" i="33"/>
  <c r="H45" i="33"/>
  <c r="B126" i="33"/>
  <c r="J44" i="33"/>
  <c r="AC44"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B94" i="33"/>
  <c r="B92" i="33"/>
  <c r="H28" i="33"/>
  <c r="AB28" i="33"/>
  <c r="D91" i="33"/>
  <c r="E91" i="33"/>
  <c r="F91" i="33"/>
  <c r="G91" i="33"/>
  <c r="H91" i="33"/>
  <c r="I91" i="33"/>
  <c r="J91" i="33"/>
  <c r="K91" i="33"/>
  <c r="L91" i="33"/>
  <c r="M91" i="33"/>
  <c r="B90" i="33"/>
  <c r="B88" i="33"/>
  <c r="F26" i="33"/>
  <c r="AA26"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J13" i="33"/>
  <c r="AC13" i="33"/>
  <c r="B70" i="33"/>
  <c r="D69" i="33"/>
  <c r="E69" i="33"/>
  <c r="F69" i="33"/>
  <c r="G69" i="33"/>
  <c r="H69" i="33"/>
  <c r="I69" i="33"/>
  <c r="J69" i="33"/>
  <c r="K69" i="33"/>
  <c r="L69" i="33"/>
  <c r="M69" i="33"/>
  <c r="M67" i="33"/>
  <c r="L67" i="33"/>
  <c r="K67" i="33"/>
  <c r="J67" i="33"/>
  <c r="I67" i="33"/>
  <c r="H67" i="33"/>
  <c r="G67" i="33"/>
  <c r="F67" i="33"/>
  <c r="E67" i="33"/>
  <c r="D67" i="33"/>
  <c r="C67" i="33"/>
  <c r="C63" i="33"/>
  <c r="J9" i="33"/>
  <c r="AC9" i="33"/>
  <c r="I54" i="33"/>
  <c r="J54" i="33"/>
  <c r="G54" i="33"/>
  <c r="H54" i="33"/>
  <c r="E54" i="33"/>
  <c r="F54" i="33"/>
  <c r="P49" i="33"/>
  <c r="P48" i="33"/>
  <c r="K48" i="33"/>
  <c r="V47" i="33"/>
  <c r="T47" i="33"/>
  <c r="R47" i="33"/>
  <c r="P47" i="33"/>
  <c r="Q46" i="33"/>
  <c r="Z46" i="33"/>
  <c r="Q45" i="33"/>
  <c r="Z45" i="33"/>
  <c r="Q44" i="33"/>
  <c r="Z44" i="33"/>
  <c r="Q43" i="33"/>
  <c r="Z43" i="33"/>
  <c r="J43" i="33"/>
  <c r="AC43" i="33"/>
  <c r="H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F39" i="33"/>
  <c r="AA39" i="33"/>
  <c r="Q38" i="33"/>
  <c r="Z38" i="33"/>
  <c r="J38" i="33"/>
  <c r="AC38" i="33"/>
  <c r="H38" i="33"/>
  <c r="AB38" i="33"/>
  <c r="F38" i="33"/>
  <c r="AA38" i="33"/>
  <c r="Q37" i="33"/>
  <c r="Z37" i="33"/>
  <c r="J37" i="33"/>
  <c r="AC37" i="33"/>
  <c r="H37" i="33"/>
  <c r="U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Q30" i="33"/>
  <c r="Z30" i="33"/>
  <c r="Q29" i="33"/>
  <c r="Z29" i="33"/>
  <c r="Q28" i="33"/>
  <c r="Z28" i="33"/>
  <c r="Q27" i="33"/>
  <c r="Z27" i="33"/>
  <c r="Q26" i="33"/>
  <c r="Z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Q13" i="33"/>
  <c r="Z13" i="33"/>
  <c r="Q12" i="33"/>
  <c r="Z12" i="33"/>
  <c r="Q11" i="33"/>
  <c r="Z11" i="33"/>
  <c r="J11" i="33"/>
  <c r="AC11" i="33"/>
  <c r="H11" i="33"/>
  <c r="AB11" i="33"/>
  <c r="F11" i="33"/>
  <c r="AA11" i="33"/>
  <c r="Q10" i="33"/>
  <c r="Z10" i="33"/>
  <c r="J10" i="33"/>
  <c r="AC10" i="33"/>
  <c r="H10" i="33"/>
  <c r="AB10" i="33"/>
  <c r="F10" i="33"/>
  <c r="AA10" i="33"/>
  <c r="Q9" i="33"/>
  <c r="Z9" i="33"/>
  <c r="J8" i="33"/>
  <c r="AC8" i="33"/>
  <c r="H8" i="33"/>
  <c r="AB8" i="33"/>
  <c r="F8" i="33"/>
  <c r="AA8" i="33"/>
  <c r="B2" i="33"/>
  <c r="C145" i="21"/>
  <c r="K139" i="21"/>
  <c r="J142" i="21"/>
  <c r="J140" i="21"/>
  <c r="B130" i="21"/>
  <c r="B128" i="21"/>
  <c r="AC45" i="21"/>
  <c r="B126" i="21"/>
  <c r="D125" i="21"/>
  <c r="E125" i="21"/>
  <c r="F125" i="21"/>
  <c r="D123" i="21"/>
  <c r="E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H29" i="21"/>
  <c r="B92" i="21"/>
  <c r="B90" i="21"/>
  <c r="D89" i="21"/>
  <c r="E89" i="21"/>
  <c r="F89" i="21"/>
  <c r="G89" i="21"/>
  <c r="M87" i="21"/>
  <c r="L87" i="21"/>
  <c r="K87" i="21"/>
  <c r="J87" i="21"/>
  <c r="I87" i="21"/>
  <c r="H87" i="21"/>
  <c r="G87" i="21"/>
  <c r="F87" i="21"/>
  <c r="E87" i="21"/>
  <c r="D87" i="21"/>
  <c r="D85" i="21"/>
  <c r="D83" i="21"/>
  <c r="E83" i="21"/>
  <c r="F83" i="21"/>
  <c r="G83" i="21"/>
  <c r="D81" i="21"/>
  <c r="E81" i="21"/>
  <c r="F81" i="21"/>
  <c r="G81" i="21"/>
  <c r="D79" i="21"/>
  <c r="E79" i="21"/>
  <c r="F79" i="21"/>
  <c r="G79" i="21"/>
  <c r="D77" i="21"/>
  <c r="E77" i="21"/>
  <c r="F77" i="21"/>
  <c r="G77" i="21"/>
  <c r="B74" i="21"/>
  <c r="H14" i="21"/>
  <c r="AB14" i="21"/>
  <c r="B72" i="21"/>
  <c r="J13" i="21"/>
  <c r="AC13" i="21"/>
  <c r="B70" i="21"/>
  <c r="H12" i="21"/>
  <c r="AB12" i="21"/>
  <c r="D69" i="21"/>
  <c r="E69" i="21"/>
  <c r="F69" i="21"/>
  <c r="G69" i="21"/>
  <c r="H69" i="21"/>
  <c r="I69" i="21"/>
  <c r="J69" i="21"/>
  <c r="K69" i="21"/>
  <c r="L69" i="21"/>
  <c r="M69" i="21"/>
  <c r="M67" i="21"/>
  <c r="L67" i="21"/>
  <c r="K67" i="21"/>
  <c r="J67" i="21"/>
  <c r="I67" i="21"/>
  <c r="H67" i="21"/>
  <c r="G67" i="21"/>
  <c r="F67" i="21"/>
  <c r="E67" i="21"/>
  <c r="D67" i="21"/>
  <c r="C67" i="21"/>
  <c r="C63" i="21"/>
  <c r="P49" i="21"/>
  <c r="P48" i="21"/>
  <c r="K48" i="21"/>
  <c r="P47" i="21"/>
  <c r="I47" i="21"/>
  <c r="G47" i="21"/>
  <c r="T47" i="21"/>
  <c r="E47" i="21"/>
  <c r="Q46" i="21"/>
  <c r="Z46" i="21"/>
  <c r="Q45" i="21"/>
  <c r="Z45" i="21"/>
  <c r="Q44" i="21"/>
  <c r="Z44" i="21"/>
  <c r="Q43" i="21"/>
  <c r="Z43" i="21"/>
  <c r="Q42" i="21"/>
  <c r="Z42" i="21"/>
  <c r="Q41" i="21"/>
  <c r="Z41" i="21"/>
  <c r="J41" i="21"/>
  <c r="AC41" i="21"/>
  <c r="H41" i="21"/>
  <c r="AB41" i="21"/>
  <c r="F41" i="21"/>
  <c r="AA41" i="21"/>
  <c r="Q40" i="21"/>
  <c r="Z40" i="21"/>
  <c r="H40" i="21"/>
  <c r="AB40" i="21"/>
  <c r="Q39" i="21"/>
  <c r="Z39" i="21"/>
  <c r="J39" i="21"/>
  <c r="AC39" i="21"/>
  <c r="H39" i="21"/>
  <c r="AB39" i="21"/>
  <c r="F39" i="21"/>
  <c r="AA39" i="21"/>
  <c r="Q38" i="21"/>
  <c r="Z38" i="21"/>
  <c r="J38" i="21"/>
  <c r="AC38" i="21"/>
  <c r="H38" i="21"/>
  <c r="AB38" i="21"/>
  <c r="F38" i="21"/>
  <c r="AA38" i="21"/>
  <c r="Q37" i="21"/>
  <c r="Z37" i="21"/>
  <c r="Q36" i="21"/>
  <c r="Z36" i="21"/>
  <c r="Q35" i="21"/>
  <c r="Z35" i="21"/>
  <c r="Q34" i="21"/>
  <c r="Z34" i="21"/>
  <c r="AC33" i="21"/>
  <c r="AA33" i="21"/>
  <c r="W33" i="21"/>
  <c r="S33" i="21"/>
  <c r="Q33" i="21"/>
  <c r="Z33" i="21"/>
  <c r="Q32" i="21"/>
  <c r="Z32" i="21"/>
  <c r="Q31" i="21"/>
  <c r="Z31" i="21"/>
  <c r="Q30" i="21"/>
  <c r="Z30" i="21"/>
  <c r="Q29" i="21"/>
  <c r="Z29" i="21"/>
  <c r="Q28" i="21"/>
  <c r="Z28" i="21"/>
  <c r="Q27" i="21"/>
  <c r="Z27" i="21"/>
  <c r="Q26" i="21"/>
  <c r="Z26" i="21"/>
  <c r="Q25" i="21"/>
  <c r="Z25" i="21"/>
  <c r="J25" i="21"/>
  <c r="AC25" i="21"/>
  <c r="H25" i="21"/>
  <c r="AB25" i="21"/>
  <c r="F25" i="21"/>
  <c r="AA25" i="21"/>
  <c r="Q23" i="21"/>
  <c r="Z23" i="21"/>
  <c r="C23" i="21"/>
  <c r="Q21" i="21"/>
  <c r="Z21" i="21"/>
  <c r="J21" i="21"/>
  <c r="AC21" i="21"/>
  <c r="H21" i="21"/>
  <c r="AB21" i="21"/>
  <c r="F21" i="21"/>
  <c r="AA21" i="21"/>
  <c r="C21" i="21"/>
  <c r="Q19" i="21"/>
  <c r="Z19" i="21"/>
  <c r="C19" i="21"/>
  <c r="Q17" i="21"/>
  <c r="Z17" i="21"/>
  <c r="H17" i="21"/>
  <c r="AB17" i="21"/>
  <c r="C17" i="21"/>
  <c r="Q15" i="21"/>
  <c r="Z15" i="21"/>
  <c r="H15" i="21"/>
  <c r="AB15" i="21"/>
  <c r="C15" i="21"/>
  <c r="Q14" i="21"/>
  <c r="Z14" i="21"/>
  <c r="Q13" i="21"/>
  <c r="Z13" i="21"/>
  <c r="Q12" i="21"/>
  <c r="Z12" i="21"/>
  <c r="Q11" i="21"/>
  <c r="Z11" i="21"/>
  <c r="J11" i="21"/>
  <c r="AC11" i="21"/>
  <c r="H11" i="21"/>
  <c r="AB11" i="21"/>
  <c r="F11" i="21"/>
  <c r="AA11" i="21"/>
  <c r="Q10" i="21"/>
  <c r="Z10" i="21"/>
  <c r="J10" i="21"/>
  <c r="AC10" i="21"/>
  <c r="H10" i="21"/>
  <c r="AB10" i="21"/>
  <c r="F10" i="21"/>
  <c r="AA10" i="21"/>
  <c r="Q9" i="21"/>
  <c r="Z9" i="21"/>
  <c r="J8" i="21"/>
  <c r="H8" i="21"/>
  <c r="AB8" i="21"/>
  <c r="F8" i="21"/>
  <c r="I7" i="21"/>
  <c r="G7" i="21"/>
  <c r="E7" i="21"/>
  <c r="A13" i="70"/>
  <c r="E13" i="70"/>
  <c r="A12" i="70"/>
  <c r="E12" i="70"/>
  <c r="A11" i="70"/>
  <c r="E11" i="70"/>
  <c r="A10" i="70"/>
  <c r="E10" i="70"/>
  <c r="A9" i="70"/>
  <c r="E9" i="70"/>
  <c r="A8" i="70"/>
  <c r="E8" i="70"/>
  <c r="A7" i="70"/>
  <c r="E7" i="70"/>
  <c r="A6" i="70"/>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Q72" i="67"/>
  <c r="C62" i="67"/>
  <c r="C61" i="67"/>
  <c r="C60" i="67"/>
  <c r="Q59" i="67"/>
  <c r="K59" i="67"/>
  <c r="P61" i="67"/>
  <c r="Q58" i="67"/>
  <c r="Q51" i="67"/>
  <c r="J50" i="67"/>
  <c r="M47" i="67"/>
  <c r="I54" i="67"/>
  <c r="D46" i="67"/>
  <c r="C34" i="67"/>
  <c r="F33" i="67"/>
  <c r="F61" i="67"/>
  <c r="C33" i="67"/>
  <c r="C32" i="67"/>
  <c r="F23" i="67"/>
  <c r="F21" i="67"/>
  <c r="F20" i="67"/>
  <c r="M19" i="67"/>
  <c r="F18" i="67"/>
  <c r="F17" i="67"/>
  <c r="F15" i="67"/>
  <c r="Q72" i="15"/>
  <c r="C62" i="15"/>
  <c r="C61" i="15"/>
  <c r="C60" i="15"/>
  <c r="Q59" i="15"/>
  <c r="K59" i="15"/>
  <c r="Q58" i="15"/>
  <c r="Q51" i="15"/>
  <c r="J50" i="15"/>
  <c r="J51" i="15"/>
  <c r="M47" i="15"/>
  <c r="D46" i="15"/>
  <c r="C34" i="15"/>
  <c r="F33" i="15"/>
  <c r="F61" i="15"/>
  <c r="C33" i="15"/>
  <c r="C32" i="15"/>
  <c r="F23" i="15"/>
  <c r="D24"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c r="F20" i="68"/>
  <c r="F39" i="68"/>
  <c r="E10" i="68"/>
  <c r="E9" i="68"/>
  <c r="F7" i="68"/>
  <c r="C7" i="68"/>
  <c r="A120" i="9"/>
  <c r="E111" i="9"/>
  <c r="A126" i="9"/>
  <c r="E109" i="9"/>
  <c r="A124" i="9"/>
  <c r="E107" i="9"/>
  <c r="A122" i="9"/>
  <c r="H106" i="9"/>
  <c r="H105" i="9"/>
  <c r="D11" i="53"/>
  <c r="B27" i="72"/>
  <c r="H104" i="9"/>
  <c r="D101" i="9"/>
  <c r="C101" i="9"/>
  <c r="C91" i="9"/>
  <c r="E90" i="9"/>
  <c r="D89" i="9"/>
  <c r="C89" i="9"/>
  <c r="C87" i="9"/>
  <c r="H77" i="9"/>
  <c r="D77" i="9"/>
  <c r="C76" i="9"/>
  <c r="F59" i="9"/>
  <c r="O55" i="9"/>
  <c r="E59" i="9"/>
  <c r="N55" i="9"/>
  <c r="F56" i="9"/>
  <c r="O54" i="9"/>
  <c r="K55" i="9"/>
  <c r="J55" i="9"/>
  <c r="I55" i="9"/>
  <c r="F55" i="9"/>
  <c r="O53" i="9"/>
  <c r="N54" i="9"/>
  <c r="N53" i="9"/>
  <c r="K49" i="9"/>
  <c r="E48" i="9"/>
  <c r="N52" i="9"/>
  <c r="D48" i="9"/>
  <c r="M52" i="9"/>
  <c r="F33" i="9"/>
  <c r="C25" i="9"/>
  <c r="C24" i="9"/>
  <c r="C17" i="9"/>
  <c r="D14"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c r="C21" i="20"/>
  <c r="B99" i="43"/>
  <c r="G20" i="20"/>
  <c r="C20" i="20"/>
  <c r="B69" i="43"/>
  <c r="G19" i="20"/>
  <c r="G18" i="20"/>
  <c r="C18" i="20"/>
  <c r="B94" i="43"/>
  <c r="C17" i="20"/>
  <c r="G16" i="20"/>
  <c r="C16" i="20"/>
  <c r="C17" i="39"/>
  <c r="G15" i="20"/>
  <c r="C15" i="20"/>
  <c r="B52" i="1"/>
  <c r="F34" i="15"/>
  <c r="F62" i="15"/>
  <c r="B43" i="1"/>
  <c r="B31" i="1"/>
  <c r="E19" i="68"/>
  <c r="B22" i="1"/>
  <c r="G26" i="12"/>
  <c r="B23" i="1"/>
  <c r="P14" i="1"/>
  <c r="O14" i="1"/>
  <c r="AP13" i="1"/>
  <c r="AG13" i="1"/>
  <c r="AE13" i="1"/>
  <c r="P13" i="1"/>
  <c r="O13" i="1"/>
  <c r="F13" i="1"/>
  <c r="D13" i="1"/>
  <c r="A13" i="1"/>
  <c r="S13" i="1"/>
  <c r="AR13" i="1"/>
  <c r="AP12" i="1"/>
  <c r="AG12" i="1"/>
  <c r="AE12" i="1"/>
  <c r="P12" i="1"/>
  <c r="O12" i="1"/>
  <c r="F12" i="1"/>
  <c r="D12" i="1"/>
  <c r="A12" i="1"/>
  <c r="AP11" i="1"/>
  <c r="AG11" i="1"/>
  <c r="AE11" i="1"/>
  <c r="P11" i="1"/>
  <c r="O11" i="1"/>
  <c r="F11" i="1"/>
  <c r="D11" i="1"/>
  <c r="A11" i="1"/>
  <c r="R11" i="1"/>
  <c r="AP10" i="1"/>
  <c r="AG10" i="1"/>
  <c r="AE10" i="1"/>
  <c r="P10" i="1"/>
  <c r="O10" i="1"/>
  <c r="F10" i="1"/>
  <c r="D10" i="1"/>
  <c r="A10" i="1"/>
  <c r="S10" i="1"/>
  <c r="AP9" i="1"/>
  <c r="AG9" i="1"/>
  <c r="AE9" i="1"/>
  <c r="P9" i="1"/>
  <c r="O9" i="1"/>
  <c r="F9" i="1"/>
  <c r="D9" i="1"/>
  <c r="A9" i="1"/>
  <c r="K9" i="1"/>
  <c r="M9" i="1"/>
  <c r="AP8" i="1"/>
  <c r="AG8" i="1"/>
  <c r="AE8" i="1"/>
  <c r="P8" i="1"/>
  <c r="O8" i="1"/>
  <c r="F8" i="1"/>
  <c r="D8" i="1"/>
  <c r="A8" i="1"/>
  <c r="S8" i="1"/>
  <c r="AP7" i="1"/>
  <c r="AG7" i="1"/>
  <c r="AE7" i="1"/>
  <c r="P7" i="1"/>
  <c r="O7" i="1"/>
  <c r="F7" i="1"/>
  <c r="D7" i="1"/>
  <c r="A7" i="1"/>
  <c r="B7" i="1"/>
  <c r="E7" i="1"/>
  <c r="AG6" i="1"/>
  <c r="Y6" i="1"/>
  <c r="P6" i="1"/>
  <c r="O6" i="1"/>
  <c r="D6" i="1"/>
  <c r="A6" i="1"/>
  <c r="G1" i="67"/>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T35" i="4"/>
  <c r="A19" i="51"/>
  <c r="B14" i="72"/>
  <c r="C33" i="4"/>
  <c r="C32" i="4"/>
  <c r="C31" i="4"/>
  <c r="L22" i="4"/>
  <c r="L21" i="4"/>
  <c r="L20" i="4"/>
  <c r="F19" i="4"/>
  <c r="I15" i="4"/>
  <c r="H15" i="4"/>
  <c r="G15" i="4"/>
  <c r="F15" i="4"/>
  <c r="E15" i="4"/>
  <c r="D15" i="4"/>
  <c r="K6" i="4"/>
  <c r="I4" i="4"/>
  <c r="G4" i="4"/>
  <c r="E4" i="4"/>
  <c r="B5" i="62"/>
  <c r="B73" i="72"/>
  <c r="C4" i="4"/>
  <c r="C1" i="73"/>
  <c r="S2" i="4"/>
  <c r="C51" i="10"/>
  <c r="S1" i="4"/>
  <c r="A4" i="51"/>
  <c r="B6" i="72"/>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K22" i="78"/>
  <c r="E22" i="78"/>
  <c r="G22" i="78"/>
  <c r="F12" i="78"/>
  <c r="F11" i="78"/>
  <c r="B51" i="10"/>
  <c r="H16" i="49"/>
  <c r="D16" i="49"/>
  <c r="D15" i="49"/>
  <c r="B2" i="49"/>
  <c r="B8" i="49"/>
  <c r="D8" i="49"/>
  <c r="A21" i="62"/>
  <c r="B67" i="72"/>
  <c r="A20" i="62"/>
  <c r="B66" i="72"/>
  <c r="A19" i="62"/>
  <c r="B65" i="72"/>
  <c r="A18" i="62"/>
  <c r="B64" i="72"/>
  <c r="A15" i="62"/>
  <c r="B61" i="72"/>
  <c r="A14" i="62"/>
  <c r="B60" i="72"/>
  <c r="A13" i="62"/>
  <c r="B59" i="72"/>
  <c r="A12" i="62"/>
  <c r="B58" i="72"/>
  <c r="A5" i="62"/>
  <c r="B72" i="72"/>
  <c r="A4" i="62"/>
  <c r="B70" i="72"/>
  <c r="A12" i="52"/>
  <c r="B56" i="72"/>
  <c r="A10" i="52"/>
  <c r="B55" i="72"/>
  <c r="A8" i="52"/>
  <c r="B54" i="72"/>
  <c r="A6" i="52"/>
  <c r="B57" i="72"/>
  <c r="H2" i="52"/>
  <c r="F2" i="52"/>
  <c r="D2" i="52"/>
  <c r="B46" i="72"/>
  <c r="A1" i="52"/>
  <c r="B19" i="53"/>
  <c r="B37" i="72"/>
  <c r="B16" i="53"/>
  <c r="B33" i="72"/>
  <c r="B13" i="53"/>
  <c r="B29" i="72"/>
  <c r="D12" i="53"/>
  <c r="B28" i="72"/>
  <c r="D10" i="53"/>
  <c r="B26" i="72"/>
  <c r="B8" i="53"/>
  <c r="B23" i="72"/>
  <c r="A3" i="53"/>
  <c r="A2" i="53"/>
  <c r="B19" i="72"/>
  <c r="A22" i="51"/>
  <c r="B17" i="72"/>
  <c r="A21" i="51"/>
  <c r="B16" i="72"/>
  <c r="A20" i="51"/>
  <c r="B15" i="72"/>
  <c r="A15" i="51"/>
  <c r="B12" i="72"/>
  <c r="A13" i="51"/>
  <c r="B11" i="72"/>
  <c r="A3" i="51"/>
  <c r="B49" i="48"/>
  <c r="B5" i="72"/>
  <c r="B40" i="48"/>
  <c r="B3" i="72"/>
  <c r="B74" i="72"/>
  <c r="B69" i="72"/>
  <c r="B68" i="72"/>
  <c r="B63" i="72"/>
  <c r="B62" i="72"/>
  <c r="B50" i="72"/>
  <c r="B44" i="72"/>
  <c r="B42" i="72"/>
  <c r="B10" i="72"/>
  <c r="B8" i="72"/>
  <c r="B11" i="76"/>
  <c r="B10" i="76"/>
  <c r="B8" i="76"/>
  <c r="E8" i="76"/>
  <c r="F37" i="67"/>
  <c r="F26" i="67"/>
  <c r="AO7" i="1"/>
  <c r="M8" i="67"/>
  <c r="F36" i="67"/>
  <c r="E13" i="76"/>
  <c r="F16" i="67"/>
  <c r="AO10" i="1"/>
  <c r="AO11" i="1"/>
  <c r="D2" i="21"/>
  <c r="E9" i="76"/>
  <c r="C76" i="67"/>
  <c r="F8" i="67"/>
  <c r="AO8" i="1"/>
  <c r="M9" i="67"/>
  <c r="J15" i="67"/>
  <c r="M24" i="67"/>
  <c r="D2" i="37"/>
  <c r="B13" i="76"/>
  <c r="D2" i="36"/>
  <c r="D35" i="9"/>
  <c r="AO13" i="1"/>
  <c r="E2" i="68"/>
  <c r="F20" i="31"/>
  <c r="M23" i="67"/>
  <c r="L47" i="67"/>
  <c r="F9" i="67"/>
  <c r="F6" i="67"/>
  <c r="E12" i="76"/>
  <c r="B12" i="76"/>
  <c r="B9" i="76"/>
  <c r="M26" i="67"/>
  <c r="F13" i="67"/>
  <c r="F40" i="67"/>
  <c r="F42" i="67"/>
  <c r="E10" i="76"/>
  <c r="D2" i="35"/>
  <c r="M6" i="67"/>
  <c r="M28" i="67"/>
  <c r="AO12" i="1"/>
  <c r="E11" i="76"/>
  <c r="D2" i="34"/>
  <c r="M22" i="67"/>
  <c r="E2" i="69"/>
  <c r="F38" i="67"/>
  <c r="B7" i="76"/>
  <c r="D34" i="9"/>
  <c r="AO9" i="1"/>
  <c r="E7" i="76"/>
  <c r="M27" i="67"/>
  <c r="D2" i="33"/>
  <c r="K4" i="4"/>
  <c r="B46" i="48"/>
  <c r="B4" i="72"/>
  <c r="G405" i="3"/>
  <c r="J40" i="21"/>
  <c r="AC40" i="21"/>
  <c r="S8" i="35"/>
  <c r="U27" i="35"/>
  <c r="G523" i="3"/>
  <c r="H109" i="9"/>
  <c r="D16" i="53"/>
  <c r="D17" i="53"/>
  <c r="B36" i="72"/>
  <c r="F40" i="21"/>
  <c r="AA40" i="21"/>
  <c r="S13" i="79"/>
  <c r="F36" i="21"/>
  <c r="AA36" i="21"/>
  <c r="F14" i="21"/>
  <c r="AA14" i="21"/>
  <c r="G55" i="3"/>
  <c r="G71" i="3"/>
  <c r="G75" i="3"/>
  <c r="G79" i="3"/>
  <c r="G87" i="3"/>
  <c r="G95" i="3"/>
  <c r="G103" i="3"/>
  <c r="G115" i="3"/>
  <c r="G135" i="3"/>
  <c r="G139" i="3"/>
  <c r="G143" i="3"/>
  <c r="BA173" i="3"/>
  <c r="G203" i="3"/>
  <c r="G219" i="3"/>
  <c r="G507" i="3"/>
  <c r="G511" i="3"/>
  <c r="G515" i="3"/>
  <c r="G519" i="3"/>
  <c r="BA583" i="3"/>
  <c r="J36" i="21"/>
  <c r="AC36" i="21"/>
  <c r="C67" i="71"/>
  <c r="D68" i="71"/>
  <c r="S12" i="79"/>
  <c r="G217" i="3"/>
  <c r="A24" i="51"/>
  <c r="B18" i="72"/>
  <c r="H19" i="21"/>
  <c r="AB19" i="21"/>
  <c r="H36" i="21"/>
  <c r="AB36" i="21"/>
  <c r="H13" i="34"/>
  <c r="AB13" i="34"/>
  <c r="F27" i="71"/>
  <c r="Y35" i="71"/>
  <c r="Z35" i="71"/>
  <c r="Y36" i="71"/>
  <c r="Z36" i="71"/>
  <c r="J32" i="21"/>
  <c r="AC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c r="J28" i="33"/>
  <c r="AC28" i="33"/>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c r="H29" i="34"/>
  <c r="AB29" i="34"/>
  <c r="J46" i="34"/>
  <c r="AC46" i="34"/>
  <c r="D74" i="43"/>
  <c r="AA3" i="71"/>
  <c r="G539" i="3"/>
  <c r="BA547" i="3"/>
  <c r="S12" i="40"/>
  <c r="B47" i="71"/>
  <c r="B48" i="71"/>
  <c r="S48" i="71"/>
  <c r="H13" i="21"/>
  <c r="F13" i="21"/>
  <c r="F29" i="21"/>
  <c r="AA29" i="21"/>
  <c r="AB29" i="21"/>
  <c r="AB43" i="33"/>
  <c r="U43" i="33"/>
  <c r="H30" i="33"/>
  <c r="AB30" i="33"/>
  <c r="F30" i="33"/>
  <c r="AA30" i="33"/>
  <c r="H11" i="35"/>
  <c r="J11" i="35"/>
  <c r="AC11" i="35"/>
  <c r="AC8" i="36"/>
  <c r="W8" i="36"/>
  <c r="BA32" i="3"/>
  <c r="BL34" i="3"/>
  <c r="G113" i="3"/>
  <c r="BA127" i="3"/>
  <c r="BA151" i="3"/>
  <c r="BA155" i="3"/>
  <c r="BA159" i="3"/>
  <c r="BA161" i="3"/>
  <c r="BL212" i="3"/>
  <c r="BL216" i="3"/>
  <c r="BL238" i="3"/>
  <c r="BL251" i="3"/>
  <c r="G253" i="3"/>
  <c r="BA254" i="3"/>
  <c r="BL258" i="3"/>
  <c r="BL260" i="3"/>
  <c r="G579" i="3"/>
  <c r="BA584" i="3"/>
  <c r="F31" i="34"/>
  <c r="AA31" i="34"/>
  <c r="J31" i="34"/>
  <c r="AC31" i="34"/>
  <c r="H31" i="34"/>
  <c r="AB31" i="34"/>
  <c r="AB29" i="37"/>
  <c r="U29" i="37"/>
  <c r="H14" i="40"/>
  <c r="AB14" i="40"/>
  <c r="F14" i="40"/>
  <c r="S14" i="40"/>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c r="F31" i="21"/>
  <c r="AA31" i="21"/>
  <c r="J31" i="21"/>
  <c r="AC31" i="2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c r="W19" i="34"/>
  <c r="AC19" i="34"/>
  <c r="W21" i="37"/>
  <c r="AC21" i="37"/>
  <c r="H36" i="35"/>
  <c r="AB36" i="35"/>
  <c r="J36" i="35"/>
  <c r="J9" i="36"/>
  <c r="AC9" i="36"/>
  <c r="F9" i="36"/>
  <c r="AA9" i="36"/>
  <c r="T25" i="79"/>
  <c r="W25" i="79"/>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c r="S14" i="79"/>
  <c r="AB27" i="71"/>
  <c r="Z3" i="79"/>
  <c r="AB11" i="71"/>
  <c r="AB3" i="79"/>
  <c r="U9" i="79"/>
  <c r="R10" i="79"/>
  <c r="V10" i="79"/>
  <c r="S23" i="79"/>
  <c r="AA23" i="79"/>
  <c r="AD23" i="79"/>
  <c r="X16" i="71"/>
  <c r="X17" i="71"/>
  <c r="X18" i="71"/>
  <c r="AB24" i="71"/>
  <c r="C79" i="71"/>
  <c r="D79" i="7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c r="F13" i="37"/>
  <c r="AA13" i="37"/>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c r="F9" i="33"/>
  <c r="AA9" i="33"/>
  <c r="AC36" i="34"/>
  <c r="AC17" i="37"/>
  <c r="AB22" i="35"/>
  <c r="U22" i="35"/>
  <c r="U29" i="39"/>
  <c r="AB29" i="39"/>
  <c r="H26" i="33"/>
  <c r="AB26" i="33"/>
  <c r="J26" i="33"/>
  <c r="AC26" i="33"/>
  <c r="U37" i="37"/>
  <c r="W23" i="39"/>
  <c r="AC23" i="39"/>
  <c r="J12" i="39"/>
  <c r="W12" i="39"/>
  <c r="H12" i="39"/>
  <c r="AB12" i="39"/>
  <c r="BL347" i="3"/>
  <c r="G348" i="3"/>
  <c r="G349" i="3"/>
  <c r="BA350" i="3"/>
  <c r="BA357" i="3"/>
  <c r="BL359" i="3"/>
  <c r="G360" i="3"/>
  <c r="G365" i="3"/>
  <c r="BA366" i="3"/>
  <c r="AZ366" i="3"/>
  <c r="BA373" i="3"/>
  <c r="BL375" i="3"/>
  <c r="G376" i="3"/>
  <c r="G381" i="3"/>
  <c r="BA382" i="3"/>
  <c r="BA389" i="3"/>
  <c r="BL391" i="3"/>
  <c r="G392" i="3"/>
  <c r="G397" i="3"/>
  <c r="BA398" i="3"/>
  <c r="BA405" i="3"/>
  <c r="BL407" i="3"/>
  <c r="G408" i="3"/>
  <c r="G413" i="3"/>
  <c r="BA414" i="3"/>
  <c r="AZ414" i="3"/>
  <c r="BA421" i="3"/>
  <c r="BL423" i="3"/>
  <c r="G424" i="3"/>
  <c r="G429" i="3"/>
  <c r="BA430" i="3"/>
  <c r="AZ430" i="3"/>
  <c r="BA437" i="3"/>
  <c r="BL439" i="3"/>
  <c r="G440" i="3"/>
  <c r="BA447" i="3"/>
  <c r="BL449" i="3"/>
  <c r="G450" i="3"/>
  <c r="G455" i="3"/>
  <c r="BA456" i="3"/>
  <c r="AZ456" i="3"/>
  <c r="BA463" i="3"/>
  <c r="BL465" i="3"/>
  <c r="G466" i="3"/>
  <c r="G471" i="3"/>
  <c r="BA472" i="3"/>
  <c r="BA479" i="3"/>
  <c r="BL481" i="3"/>
  <c r="G482" i="3"/>
  <c r="G487" i="3"/>
  <c r="BA488" i="3"/>
  <c r="BA495" i="3"/>
  <c r="BL500" i="3"/>
  <c r="BA503" i="3"/>
  <c r="J14" i="21"/>
  <c r="AC14" i="2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c r="G18" i="43"/>
  <c r="S5" i="79"/>
  <c r="R7" i="79"/>
  <c r="V7" i="79"/>
  <c r="T8" i="79"/>
  <c r="W8" i="79"/>
  <c r="U14" i="79"/>
  <c r="S9" i="79"/>
  <c r="T10" i="79"/>
  <c r="W10" i="79"/>
  <c r="U12" i="79"/>
  <c r="U13" i="79"/>
  <c r="R14" i="79"/>
  <c r="V14" i="79"/>
  <c r="L23" i="79"/>
  <c r="AD29" i="79"/>
  <c r="S30" i="79"/>
  <c r="U32" i="79"/>
  <c r="AD33" i="79"/>
  <c r="S34" i="79"/>
  <c r="AA9" i="71"/>
  <c r="AA10" i="71"/>
  <c r="AA11" i="71"/>
  <c r="Y12" i="71"/>
  <c r="Z12" i="71"/>
  <c r="Y13" i="71"/>
  <c r="Z13" i="71"/>
  <c r="Y14" i="71"/>
  <c r="Z14" i="71"/>
  <c r="Y15" i="71"/>
  <c r="Z15" i="71"/>
  <c r="Y20" i="71"/>
  <c r="Z20" i="71"/>
  <c r="Y21" i="71"/>
  <c r="Z21" i="71"/>
  <c r="Y26" i="71"/>
  <c r="Z26" i="71"/>
  <c r="S22" i="31"/>
  <c r="R22" i="31"/>
  <c r="I18" i="43"/>
  <c r="S26" i="79"/>
  <c r="X3" i="71"/>
  <c r="AB3" i="71"/>
  <c r="AA16" i="71"/>
  <c r="AA17" i="71"/>
  <c r="AA18" i="71"/>
  <c r="Y32" i="71"/>
  <c r="Z32" i="71"/>
  <c r="B35" i="71"/>
  <c r="B36" i="71"/>
  <c r="S36" i="71"/>
  <c r="AB34" i="71"/>
  <c r="B43" i="71"/>
  <c r="B44" i="71"/>
  <c r="S44" i="71"/>
  <c r="E47" i="71"/>
  <c r="E48" i="71"/>
  <c r="U48" i="71"/>
  <c r="C75" i="71"/>
  <c r="C74" i="71"/>
  <c r="D74" i="71"/>
  <c r="C83" i="71"/>
  <c r="E83" i="43"/>
  <c r="B81" i="43"/>
  <c r="E93" i="43"/>
  <c r="B91" i="43"/>
  <c r="T33" i="79"/>
  <c r="W33" i="79"/>
  <c r="U34" i="79"/>
  <c r="AD35" i="79"/>
  <c r="Y3" i="71"/>
  <c r="Z3" i="71"/>
  <c r="X9" i="71"/>
  <c r="X10" i="71"/>
  <c r="X11" i="71"/>
  <c r="AB12" i="71"/>
  <c r="AB13" i="71"/>
  <c r="AB14" i="71"/>
  <c r="AB15" i="71"/>
  <c r="AB21" i="71"/>
  <c r="AA30" i="71"/>
  <c r="G11" i="1"/>
  <c r="N9" i="43"/>
  <c r="N1" i="43"/>
  <c r="M3" i="43"/>
  <c r="H87" i="43"/>
  <c r="B3" i="78"/>
  <c r="C7" i="78"/>
  <c r="D7" i="78"/>
  <c r="E54" i="21"/>
  <c r="F54" i="21"/>
  <c r="A4" i="52"/>
  <c r="B41" i="72"/>
  <c r="B18" i="78"/>
  <c r="BG5" i="3"/>
  <c r="BD5" i="3"/>
  <c r="BH5" i="3"/>
  <c r="BL15" i="3"/>
  <c r="BQ5" i="3"/>
  <c r="F28" i="6"/>
  <c r="G16" i="3"/>
  <c r="G17" i="3"/>
  <c r="BA18" i="3"/>
  <c r="BA19" i="3"/>
  <c r="BL23" i="3"/>
  <c r="G24" i="3"/>
  <c r="G25" i="3"/>
  <c r="BA26" i="3"/>
  <c r="AZ26" i="3"/>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c r="BA215" i="3"/>
  <c r="BL220" i="3"/>
  <c r="G223" i="3"/>
  <c r="BA226" i="3"/>
  <c r="BA227" i="3"/>
  <c r="BL231" i="3"/>
  <c r="G232" i="3"/>
  <c r="G235" i="3"/>
  <c r="BL240" i="3"/>
  <c r="BL243" i="3"/>
  <c r="G244" i="3"/>
  <c r="G245" i="3"/>
  <c r="BA246" i="3"/>
  <c r="BA247" i="3"/>
  <c r="BL252" i="3"/>
  <c r="G255" i="3"/>
  <c r="BA258" i="3"/>
  <c r="AZ258" i="3"/>
  <c r="BA259" i="3"/>
  <c r="BL263" i="3"/>
  <c r="G264" i="3"/>
  <c r="G267" i="3"/>
  <c r="BL272" i="3"/>
  <c r="BL275" i="3"/>
  <c r="G276" i="3"/>
  <c r="BA278" i="3"/>
  <c r="BA279" i="3"/>
  <c r="BL284" i="3"/>
  <c r="G287" i="3"/>
  <c r="BL294" i="3"/>
  <c r="G295" i="3"/>
  <c r="BA298" i="3"/>
  <c r="AZ298" i="3"/>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c r="BA203" i="3"/>
  <c r="AZ203" i="3"/>
  <c r="AZ234" i="3"/>
  <c r="AZ472" i="3"/>
  <c r="AC5" i="3"/>
  <c r="BE5" i="3"/>
  <c r="BI5" i="3"/>
  <c r="BF5" i="3"/>
  <c r="BJ5" i="3"/>
  <c r="BA15" i="3"/>
  <c r="BL19" i="3"/>
  <c r="G20" i="3"/>
  <c r="G21" i="3"/>
  <c r="BA22" i="3"/>
  <c r="AZ22" i="3"/>
  <c r="BA23" i="3"/>
  <c r="BL27" i="3"/>
  <c r="G28" i="3"/>
  <c r="G29" i="3"/>
  <c r="BA30" i="3"/>
  <c r="BA31" i="3"/>
  <c r="BL35" i="3"/>
  <c r="AZ35" i="3"/>
  <c r="G36" i="3"/>
  <c r="G37" i="3"/>
  <c r="BA38" i="3"/>
  <c r="BA39" i="3"/>
  <c r="AZ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c r="BL175" i="3"/>
  <c r="AZ175" i="3"/>
  <c r="G176" i="3"/>
  <c r="G179" i="3"/>
  <c r="BL184" i="3"/>
  <c r="BL187" i="3"/>
  <c r="G189" i="3"/>
  <c r="BA190" i="3"/>
  <c r="BL192" i="3"/>
  <c r="BL195" i="3"/>
  <c r="G197" i="3"/>
  <c r="BA198" i="3"/>
  <c r="BA199" i="3"/>
  <c r="AZ199" i="3"/>
  <c r="BA210" i="3"/>
  <c r="BA211" i="3"/>
  <c r="BL215" i="3"/>
  <c r="G216" i="3"/>
  <c r="BL224" i="3"/>
  <c r="BL227" i="3"/>
  <c r="G229" i="3"/>
  <c r="BA230" i="3"/>
  <c r="AZ230" i="3"/>
  <c r="BA231" i="3"/>
  <c r="BL236" i="3"/>
  <c r="BA242" i="3"/>
  <c r="BA243" i="3"/>
  <c r="AZ243" i="3"/>
  <c r="BL247" i="3"/>
  <c r="G248" i="3"/>
  <c r="G251" i="3"/>
  <c r="BL256" i="3"/>
  <c r="BL259" i="3"/>
  <c r="G261" i="3"/>
  <c r="BA262" i="3"/>
  <c r="BA263" i="3"/>
  <c r="BL268" i="3"/>
  <c r="BA274" i="3"/>
  <c r="AZ274" i="3"/>
  <c r="BA275" i="3"/>
  <c r="BL279" i="3"/>
  <c r="BL288" i="3"/>
  <c r="BL291" i="3"/>
  <c r="G293" i="3"/>
  <c r="BA294" i="3"/>
  <c r="BL296" i="3"/>
  <c r="BL299" i="3"/>
  <c r="G301" i="3"/>
  <c r="BA302" i="3"/>
  <c r="AZ302" i="3"/>
  <c r="BA303" i="3"/>
  <c r="BL306" i="3"/>
  <c r="G307" i="3"/>
  <c r="BL311" i="3"/>
  <c r="G312" i="3"/>
  <c r="BA321" i="3"/>
  <c r="BA338" i="3"/>
  <c r="BL17" i="3"/>
  <c r="G18" i="3"/>
  <c r="G19" i="3"/>
  <c r="BA20" i="3"/>
  <c r="AZ20" i="3"/>
  <c r="BA21" i="3"/>
  <c r="AZ21" i="3"/>
  <c r="BL25" i="3"/>
  <c r="G26" i="3"/>
  <c r="G27" i="3"/>
  <c r="BA28" i="3"/>
  <c r="AZ28" i="3"/>
  <c r="BA29" i="3"/>
  <c r="BL33" i="3"/>
  <c r="AZ33" i="3"/>
  <c r="G34" i="3"/>
  <c r="G35" i="3"/>
  <c r="BA37" i="3"/>
  <c r="BL41" i="3"/>
  <c r="AZ41" i="3"/>
  <c r="G42" i="3"/>
  <c r="G43" i="3"/>
  <c r="BA44" i="3"/>
  <c r="AZ44" i="3"/>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c r="BA218" i="3"/>
  <c r="AZ218" i="3"/>
  <c r="BA219" i="3"/>
  <c r="BL223" i="3"/>
  <c r="AZ223" i="3"/>
  <c r="G224" i="3"/>
  <c r="G227" i="3"/>
  <c r="BL232" i="3"/>
  <c r="BL235" i="3"/>
  <c r="G237" i="3"/>
  <c r="BA238" i="3"/>
  <c r="AZ238" i="3"/>
  <c r="BA239" i="3"/>
  <c r="AZ239" i="3"/>
  <c r="BL244" i="3"/>
  <c r="BA250" i="3"/>
  <c r="AZ250" i="3"/>
  <c r="BA251" i="3"/>
  <c r="BL255" i="3"/>
  <c r="AZ255" i="3"/>
  <c r="G256" i="3"/>
  <c r="G259" i="3"/>
  <c r="BL264" i="3"/>
  <c r="BL267" i="3"/>
  <c r="AZ267" i="3"/>
  <c r="G269" i="3"/>
  <c r="BA270" i="3"/>
  <c r="AZ270" i="3"/>
  <c r="BA271" i="3"/>
  <c r="BL276" i="3"/>
  <c r="G279" i="3"/>
  <c r="BA282" i="3"/>
  <c r="AZ282" i="3"/>
  <c r="BA283" i="3"/>
  <c r="AZ283" i="3"/>
  <c r="BL287" i="3"/>
  <c r="G288" i="3"/>
  <c r="G325" i="3"/>
  <c r="BA326" i="3"/>
  <c r="BA341" i="3"/>
  <c r="BL494" i="3"/>
  <c r="BL497" i="3"/>
  <c r="G498" i="3"/>
  <c r="G501" i="3"/>
  <c r="BA504" i="3"/>
  <c r="BA505" i="3"/>
  <c r="BL510" i="3"/>
  <c r="BL513" i="3"/>
  <c r="G514" i="3"/>
  <c r="G517" i="3"/>
  <c r="BA520" i="3"/>
  <c r="AZ520" i="3"/>
  <c r="BA521" i="3"/>
  <c r="BL526" i="3"/>
  <c r="BL529" i="3"/>
  <c r="G530" i="3"/>
  <c r="G533" i="3"/>
  <c r="BA536" i="3"/>
  <c r="BA537" i="3"/>
  <c r="BL542" i="3"/>
  <c r="BL545" i="3"/>
  <c r="G546" i="3"/>
  <c r="G549" i="3"/>
  <c r="BA552" i="3"/>
  <c r="AZ552" i="3"/>
  <c r="BA553" i="3"/>
  <c r="BL556" i="3"/>
  <c r="G557" i="3"/>
  <c r="BA560" i="3"/>
  <c r="BA561" i="3"/>
  <c r="BL565" i="3"/>
  <c r="G566" i="3"/>
  <c r="G569" i="3"/>
  <c r="BA579" i="3"/>
  <c r="BL582" i="3"/>
  <c r="BL585" i="3"/>
  <c r="G586" i="3"/>
  <c r="S7" i="1"/>
  <c r="AQ7" i="1"/>
  <c r="R7" i="1"/>
  <c r="S11" i="1"/>
  <c r="AR11" i="1"/>
  <c r="R13" i="1"/>
  <c r="B13" i="1"/>
  <c r="E13" i="1"/>
  <c r="H103" i="9"/>
  <c r="D23" i="15"/>
  <c r="D23" i="67"/>
  <c r="L46" i="67"/>
  <c r="D11" i="77"/>
  <c r="D7" i="77"/>
  <c r="C26" i="77"/>
  <c r="J27" i="33"/>
  <c r="AC27" i="33"/>
  <c r="H27" i="33"/>
  <c r="AB27" i="33"/>
  <c r="W40" i="34"/>
  <c r="AC40" i="34"/>
  <c r="AB10" i="35"/>
  <c r="U10" i="35"/>
  <c r="H33" i="36"/>
  <c r="AB33" i="36"/>
  <c r="F33" i="36"/>
  <c r="AA33" i="36"/>
  <c r="BL343" i="3"/>
  <c r="BL352" i="3"/>
  <c r="BL355" i="3"/>
  <c r="BA362" i="3"/>
  <c r="AZ362" i="3"/>
  <c r="BA363" i="3"/>
  <c r="BL368" i="3"/>
  <c r="BL371" i="3"/>
  <c r="BA378" i="3"/>
  <c r="BA379" i="3"/>
  <c r="BL384" i="3"/>
  <c r="BL387" i="3"/>
  <c r="BA394" i="3"/>
  <c r="AZ394" i="3"/>
  <c r="BA395" i="3"/>
  <c r="BL400" i="3"/>
  <c r="BL403" i="3"/>
  <c r="BA410" i="3"/>
  <c r="AZ410" i="3"/>
  <c r="BA411" i="3"/>
  <c r="BL416" i="3"/>
  <c r="BL419" i="3"/>
  <c r="BA426" i="3"/>
  <c r="BA427" i="3"/>
  <c r="BL432" i="3"/>
  <c r="BL435" i="3"/>
  <c r="AZ435" i="3"/>
  <c r="BA442" i="3"/>
  <c r="AZ442" i="3"/>
  <c r="BA443" i="3"/>
  <c r="BL445" i="3"/>
  <c r="BA452" i="3"/>
  <c r="AZ452" i="3"/>
  <c r="BA453" i="3"/>
  <c r="BL458" i="3"/>
  <c r="BL461" i="3"/>
  <c r="BA468" i="3"/>
  <c r="AZ468" i="3"/>
  <c r="BA469" i="3"/>
  <c r="BL474" i="3"/>
  <c r="BL477" i="3"/>
  <c r="BA484" i="3"/>
  <c r="AZ484" i="3"/>
  <c r="BA485" i="3"/>
  <c r="BL490" i="3"/>
  <c r="AZ516" i="3"/>
  <c r="AZ548" i="3"/>
  <c r="BL562" i="3"/>
  <c r="BL572" i="3"/>
  <c r="G573" i="3"/>
  <c r="BA576" i="3"/>
  <c r="AZ576" i="3"/>
  <c r="BA577" i="3"/>
  <c r="BL581" i="3"/>
  <c r="G582" i="3"/>
  <c r="G585" i="3"/>
  <c r="P16" i="1"/>
  <c r="C11" i="12"/>
  <c r="C12" i="12"/>
  <c r="D8" i="74"/>
  <c r="E85" i="21"/>
  <c r="F85" i="21"/>
  <c r="G85" i="21"/>
  <c r="H23" i="21"/>
  <c r="AB23" i="21"/>
  <c r="AC27" i="21"/>
  <c r="AA27" i="21"/>
  <c r="E106" i="21"/>
  <c r="H34" i="21"/>
  <c r="AB34" i="21"/>
  <c r="H13" i="33"/>
  <c r="AB13" i="33"/>
  <c r="F13" i="33"/>
  <c r="AA13" i="33"/>
  <c r="W15" i="34"/>
  <c r="AC15" i="34"/>
  <c r="W18" i="35"/>
  <c r="AC18" i="35"/>
  <c r="F12" i="36"/>
  <c r="AA12" i="36"/>
  <c r="J12" i="36"/>
  <c r="AC12" i="36"/>
  <c r="F24" i="36"/>
  <c r="AA24" i="36"/>
  <c r="J24" i="36"/>
  <c r="AC24" i="36"/>
  <c r="BA314" i="3"/>
  <c r="BA315" i="3"/>
  <c r="AZ315" i="3"/>
  <c r="BL319" i="3"/>
  <c r="AZ319" i="3"/>
  <c r="BL328" i="3"/>
  <c r="BL331" i="3"/>
  <c r="AZ331" i="3"/>
  <c r="G333" i="3"/>
  <c r="BA334" i="3"/>
  <c r="BA335" i="3"/>
  <c r="AZ335" i="3"/>
  <c r="BL340" i="3"/>
  <c r="BA346" i="3"/>
  <c r="BA347" i="3"/>
  <c r="BL351" i="3"/>
  <c r="AZ351" i="3"/>
  <c r="BA358" i="3"/>
  <c r="BA359" i="3"/>
  <c r="AZ359" i="3"/>
  <c r="BL364" i="3"/>
  <c r="BL367" i="3"/>
  <c r="BA374" i="3"/>
  <c r="AZ374" i="3"/>
  <c r="BA375" i="3"/>
  <c r="BL380" i="3"/>
  <c r="BL383" i="3"/>
  <c r="AZ383" i="3"/>
  <c r="BA390" i="3"/>
  <c r="BA391" i="3"/>
  <c r="AZ391" i="3"/>
  <c r="BL396" i="3"/>
  <c r="BL399" i="3"/>
  <c r="BA406" i="3"/>
  <c r="AZ406" i="3"/>
  <c r="BA407" i="3"/>
  <c r="BL412" i="3"/>
  <c r="BL415" i="3"/>
  <c r="BA422" i="3"/>
  <c r="BA423" i="3"/>
  <c r="AZ423" i="3"/>
  <c r="BL428" i="3"/>
  <c r="BL431" i="3"/>
  <c r="AZ431" i="3"/>
  <c r="BA438" i="3"/>
  <c r="BA439" i="3"/>
  <c r="BL444" i="3"/>
  <c r="BA448" i="3"/>
  <c r="BA449" i="3"/>
  <c r="AZ449" i="3"/>
  <c r="BL454" i="3"/>
  <c r="BL457" i="3"/>
  <c r="BA464" i="3"/>
  <c r="AZ464" i="3"/>
  <c r="BA465" i="3"/>
  <c r="BL470" i="3"/>
  <c r="BL473" i="3"/>
  <c r="BA480" i="3"/>
  <c r="BA481" i="3"/>
  <c r="AZ481" i="3"/>
  <c r="BL486" i="3"/>
  <c r="BL489" i="3"/>
  <c r="BA496" i="3"/>
  <c r="BA497" i="3"/>
  <c r="BL502" i="3"/>
  <c r="BL505" i="3"/>
  <c r="BA512" i="3"/>
  <c r="AZ512" i="3"/>
  <c r="BA513" i="3"/>
  <c r="BL518" i="3"/>
  <c r="BL521" i="3"/>
  <c r="BA528" i="3"/>
  <c r="BA529" i="3"/>
  <c r="BL534" i="3"/>
  <c r="BL537" i="3"/>
  <c r="BA544" i="3"/>
  <c r="BA545" i="3"/>
  <c r="BL550" i="3"/>
  <c r="BL553" i="3"/>
  <c r="BA556" i="3"/>
  <c r="BL558" i="3"/>
  <c r="BL561" i="3"/>
  <c r="H34" i="35"/>
  <c r="AB34" i="35"/>
  <c r="F34" i="35"/>
  <c r="AA34" i="35"/>
  <c r="J33" i="36"/>
  <c r="AC33" i="36"/>
  <c r="BA290" i="3"/>
  <c r="BA291" i="3"/>
  <c r="BL295" i="3"/>
  <c r="G296" i="3"/>
  <c r="G299" i="3"/>
  <c r="BL304" i="3"/>
  <c r="BL307" i="3"/>
  <c r="G308" i="3"/>
  <c r="G309" i="3"/>
  <c r="BA310" i="3"/>
  <c r="AZ310" i="3"/>
  <c r="BA311" i="3"/>
  <c r="BL316" i="3"/>
  <c r="G319" i="3"/>
  <c r="BA322" i="3"/>
  <c r="AZ322" i="3"/>
  <c r="BA323" i="3"/>
  <c r="BL327" i="3"/>
  <c r="G328" i="3"/>
  <c r="G331" i="3"/>
  <c r="BL336" i="3"/>
  <c r="BL339" i="3"/>
  <c r="G340" i="3"/>
  <c r="G341" i="3"/>
  <c r="BA342" i="3"/>
  <c r="BA343" i="3"/>
  <c r="BL348" i="3"/>
  <c r="G351" i="3"/>
  <c r="BA354" i="3"/>
  <c r="AZ354" i="3"/>
  <c r="BA355" i="3"/>
  <c r="BL360" i="3"/>
  <c r="BL363" i="3"/>
  <c r="G364" i="3"/>
  <c r="G367" i="3"/>
  <c r="BA370" i="3"/>
  <c r="BA371" i="3"/>
  <c r="BL376" i="3"/>
  <c r="BL379" i="3"/>
  <c r="G380" i="3"/>
  <c r="G383" i="3"/>
  <c r="BA386" i="3"/>
  <c r="AZ386" i="3"/>
  <c r="BA387" i="3"/>
  <c r="BL392" i="3"/>
  <c r="BL395" i="3"/>
  <c r="G396" i="3"/>
  <c r="G399" i="3"/>
  <c r="BA402" i="3"/>
  <c r="AZ402" i="3"/>
  <c r="BA403" i="3"/>
  <c r="BL408" i="3"/>
  <c r="BL411" i="3"/>
  <c r="G412" i="3"/>
  <c r="G415" i="3"/>
  <c r="BA418" i="3"/>
  <c r="BA419" i="3"/>
  <c r="BL424" i="3"/>
  <c r="BL427" i="3"/>
  <c r="G428" i="3"/>
  <c r="G431" i="3"/>
  <c r="BA434" i="3"/>
  <c r="AZ434" i="3"/>
  <c r="BA435" i="3"/>
  <c r="BL440" i="3"/>
  <c r="BL443" i="3"/>
  <c r="G444" i="3"/>
  <c r="BA445" i="3"/>
  <c r="BL450" i="3"/>
  <c r="BL453" i="3"/>
  <c r="G454" i="3"/>
  <c r="G457" i="3"/>
  <c r="BA460" i="3"/>
  <c r="AZ460" i="3"/>
  <c r="BA461" i="3"/>
  <c r="BL466" i="3"/>
  <c r="BL469" i="3"/>
  <c r="G470" i="3"/>
  <c r="G473" i="3"/>
  <c r="BA476" i="3"/>
  <c r="BA477" i="3"/>
  <c r="BL482" i="3"/>
  <c r="BL485" i="3"/>
  <c r="G486" i="3"/>
  <c r="G489" i="3"/>
  <c r="BA492" i="3"/>
  <c r="AZ492" i="3"/>
  <c r="BA493" i="3"/>
  <c r="BL498" i="3"/>
  <c r="BL501" i="3"/>
  <c r="G502" i="3"/>
  <c r="G505" i="3"/>
  <c r="BA508" i="3"/>
  <c r="AZ508" i="3"/>
  <c r="BA509" i="3"/>
  <c r="AZ509" i="3"/>
  <c r="BL514" i="3"/>
  <c r="BL517" i="3"/>
  <c r="G518" i="3"/>
  <c r="G521" i="3"/>
  <c r="BA524" i="3"/>
  <c r="BA525" i="3"/>
  <c r="BL530" i="3"/>
  <c r="BL533" i="3"/>
  <c r="G534" i="3"/>
  <c r="G537" i="3"/>
  <c r="BA540" i="3"/>
  <c r="AZ540" i="3"/>
  <c r="BA541" i="3"/>
  <c r="AZ541" i="3"/>
  <c r="BL546" i="3"/>
  <c r="BL549" i="3"/>
  <c r="G550" i="3"/>
  <c r="G553" i="3"/>
  <c r="BA563" i="3"/>
  <c r="BL566" i="3"/>
  <c r="BL569" i="3"/>
  <c r="AZ569" i="3"/>
  <c r="G570" i="3"/>
  <c r="BA572" i="3"/>
  <c r="AZ572" i="3"/>
  <c r="BL574" i="3"/>
  <c r="BL577" i="3"/>
  <c r="G587" i="3"/>
  <c r="B11" i="1"/>
  <c r="E11" i="1"/>
  <c r="D6" i="74"/>
  <c r="D22" i="15"/>
  <c r="J46" i="21"/>
  <c r="H46" i="21"/>
  <c r="AB46" i="21"/>
  <c r="J29" i="33"/>
  <c r="H29" i="33"/>
  <c r="AB29" i="33"/>
  <c r="H44" i="33"/>
  <c r="AB44" i="33"/>
  <c r="F44" i="33"/>
  <c r="AA44" i="33"/>
  <c r="U43" i="34"/>
  <c r="AB43" i="34"/>
  <c r="H14" i="39"/>
  <c r="AB14" i="39"/>
  <c r="J14" i="40"/>
  <c r="AC14" i="40"/>
  <c r="F38" i="37"/>
  <c r="AA38" i="37"/>
  <c r="F34" i="36"/>
  <c r="AA34" i="36"/>
  <c r="AC37" i="40"/>
  <c r="BL557" i="3"/>
  <c r="AZ557" i="3"/>
  <c r="G558" i="3"/>
  <c r="G561" i="3"/>
  <c r="BA564" i="3"/>
  <c r="BA565" i="3"/>
  <c r="AZ565" i="3"/>
  <c r="BL570" i="3"/>
  <c r="BL573" i="3"/>
  <c r="G574" i="3"/>
  <c r="G577" i="3"/>
  <c r="BA580" i="3"/>
  <c r="BA581" i="3"/>
  <c r="BL586" i="3"/>
  <c r="G12" i="1"/>
  <c r="H31" i="33"/>
  <c r="AB31" i="33"/>
  <c r="AC8" i="34"/>
  <c r="AC10" i="37"/>
  <c r="J38" i="37"/>
  <c r="AC38" i="37"/>
  <c r="AC14" i="35"/>
  <c r="B3" i="36"/>
  <c r="J34" i="36"/>
  <c r="AC34" i="36"/>
  <c r="J12" i="40"/>
  <c r="AC12" i="40"/>
  <c r="AA14" i="40"/>
  <c r="M5" i="43"/>
  <c r="U6" i="79"/>
  <c r="S7" i="79"/>
  <c r="U8" i="79"/>
  <c r="R9" i="79"/>
  <c r="V9" i="79"/>
  <c r="S10" i="79"/>
  <c r="S11" i="79"/>
  <c r="T12" i="79"/>
  <c r="W12" i="79"/>
  <c r="T28" i="79"/>
  <c r="W28" i="79"/>
  <c r="U30" i="79"/>
  <c r="S32" i="79"/>
  <c r="X19" i="71"/>
  <c r="Y19" i="71"/>
  <c r="Z19" i="71"/>
  <c r="AB22" i="71"/>
  <c r="AA24" i="71"/>
  <c r="X25" i="71"/>
  <c r="Y27" i="71"/>
  <c r="Z27" i="71"/>
  <c r="Y29" i="71"/>
  <c r="Z29" i="71"/>
  <c r="X30" i="71"/>
  <c r="X31" i="71"/>
  <c r="Y31" i="71"/>
  <c r="Z31" i="71"/>
  <c r="E71" i="71"/>
  <c r="E70" i="71"/>
  <c r="M1" i="43"/>
  <c r="M2" i="43"/>
  <c r="M7" i="43"/>
  <c r="C5" i="11"/>
  <c r="U5" i="79"/>
  <c r="R8" i="79"/>
  <c r="V8" i="79"/>
  <c r="U28" i="79"/>
  <c r="U29" i="79"/>
  <c r="AD30" i="79"/>
  <c r="S31" i="79"/>
  <c r="AB9" i="71"/>
  <c r="AB10" i="71"/>
  <c r="AA12" i="71"/>
  <c r="AA13" i="71"/>
  <c r="AA14" i="71"/>
  <c r="AA15" i="71"/>
  <c r="Y16" i="71"/>
  <c r="Z16" i="71"/>
  <c r="Y17" i="71"/>
  <c r="Z17" i="71"/>
  <c r="Y18" i="71"/>
  <c r="Z18" i="71"/>
  <c r="X20" i="71"/>
  <c r="X22" i="71"/>
  <c r="Y25" i="71"/>
  <c r="Z25" i="71"/>
  <c r="X26" i="71"/>
  <c r="B27" i="71"/>
  <c r="AA27" i="71"/>
  <c r="X32" i="71"/>
  <c r="AA34" i="71"/>
  <c r="E63" i="71"/>
  <c r="E64" i="71"/>
  <c r="U64" i="71"/>
  <c r="P65" i="71"/>
  <c r="C21" i="69"/>
  <c r="H83" i="43"/>
  <c r="H85" i="43"/>
  <c r="S3" i="79"/>
  <c r="R5" i="79"/>
  <c r="V5" i="79"/>
  <c r="S6" i="79"/>
  <c r="U7" i="79"/>
  <c r="S8" i="79"/>
  <c r="P8" i="79"/>
  <c r="U10" i="79"/>
  <c r="U11" i="79"/>
  <c r="R12" i="79"/>
  <c r="V12" i="79"/>
  <c r="B23" i="71"/>
  <c r="E50" i="43"/>
  <c r="B48" i="43"/>
  <c r="T26" i="79"/>
  <c r="W26" i="79"/>
  <c r="S28" i="79"/>
  <c r="S29" i="79"/>
  <c r="T30" i="79"/>
  <c r="W30" i="79"/>
  <c r="U31" i="79"/>
  <c r="Y9" i="71"/>
  <c r="Z9" i="71"/>
  <c r="Y10" i="71"/>
  <c r="Z10" i="71"/>
  <c r="Y11" i="71"/>
  <c r="Z11" i="71"/>
  <c r="X12" i="71"/>
  <c r="X13" i="71"/>
  <c r="X14" i="71"/>
  <c r="X15" i="71"/>
  <c r="AB16" i="71"/>
  <c r="AB17" i="71"/>
  <c r="AB18" i="71"/>
  <c r="AA21" i="71"/>
  <c r="AA22" i="71"/>
  <c r="Y23" i="71"/>
  <c r="Z23" i="71"/>
  <c r="Y28" i="71"/>
  <c r="Z28" i="71"/>
  <c r="B31" i="71"/>
  <c r="B32" i="71"/>
  <c r="S32" i="71"/>
  <c r="AB30" i="71"/>
  <c r="Y33" i="71"/>
  <c r="Z33" i="71"/>
  <c r="X34" i="71"/>
  <c r="X35" i="71"/>
  <c r="X36" i="71"/>
  <c r="B63" i="71"/>
  <c r="B64" i="71"/>
  <c r="S64" i="71"/>
  <c r="C71" i="71"/>
  <c r="E75" i="71"/>
  <c r="E74" i="71"/>
  <c r="E79" i="71"/>
  <c r="E78" i="71"/>
  <c r="C87" i="71"/>
  <c r="G13" i="3"/>
  <c r="BA42" i="3"/>
  <c r="BA46" i="3"/>
  <c r="AZ46" i="3"/>
  <c r="BA318" i="3"/>
  <c r="BA327" i="3"/>
  <c r="AZ327" i="3"/>
  <c r="D33" i="43"/>
  <c r="D1" i="43"/>
  <c r="E19" i="6"/>
  <c r="E32" i="6"/>
  <c r="R12" i="1"/>
  <c r="S12" i="1"/>
  <c r="AR12" i="1"/>
  <c r="B12" i="1"/>
  <c r="E12" i="1"/>
  <c r="E11" i="77"/>
  <c r="E7" i="77"/>
  <c r="C27" i="77"/>
  <c r="AA8" i="21"/>
  <c r="S8" i="21"/>
  <c r="AC8" i="21"/>
  <c r="W8" i="21"/>
  <c r="I54" i="21"/>
  <c r="J54" i="21"/>
  <c r="J9" i="21"/>
  <c r="AC9" i="21"/>
  <c r="F9" i="21"/>
  <c r="AA9" i="21"/>
  <c r="AB45" i="21"/>
  <c r="AA45" i="21"/>
  <c r="U8" i="33"/>
  <c r="C15" i="78"/>
  <c r="BN5" i="3"/>
  <c r="BP5" i="3"/>
  <c r="BR5" i="3"/>
  <c r="BT5" i="3"/>
  <c r="BA36" i="3"/>
  <c r="B4" i="62"/>
  <c r="B71" i="72"/>
  <c r="B15" i="78"/>
  <c r="G25" i="78"/>
  <c r="BM5" i="3"/>
  <c r="BL13" i="3"/>
  <c r="G14" i="3"/>
  <c r="D124" i="9"/>
  <c r="M49" i="9"/>
  <c r="L68" i="9"/>
  <c r="M68" i="9"/>
  <c r="H9" i="21"/>
  <c r="AB9" i="21"/>
  <c r="W40" i="33"/>
  <c r="J12" i="33"/>
  <c r="AC12" i="33"/>
  <c r="F12" i="33"/>
  <c r="AA12" i="33"/>
  <c r="J14" i="33"/>
  <c r="AC14" i="33"/>
  <c r="F14" i="33"/>
  <c r="AA14" i="33"/>
  <c r="U39" i="34"/>
  <c r="AB39" i="34"/>
  <c r="J9" i="34"/>
  <c r="AC9" i="34"/>
  <c r="F9" i="34"/>
  <c r="AA9" i="34"/>
  <c r="H12" i="37"/>
  <c r="AB12" i="37"/>
  <c r="F12" i="37"/>
  <c r="J12" i="37"/>
  <c r="H14" i="37"/>
  <c r="AB14" i="37"/>
  <c r="J14" i="37"/>
  <c r="C79" i="35"/>
  <c r="H26" i="35"/>
  <c r="H9" i="35"/>
  <c r="AB9" i="35"/>
  <c r="J9" i="35"/>
  <c r="AC9" i="35"/>
  <c r="H12" i="35"/>
  <c r="J12" i="35"/>
  <c r="AC12" i="35"/>
  <c r="H23" i="35"/>
  <c r="AB23" i="35"/>
  <c r="F23" i="35"/>
  <c r="AA23" i="35"/>
  <c r="H25" i="35"/>
  <c r="AB25" i="35"/>
  <c r="F25" i="35"/>
  <c r="AA25" i="35"/>
  <c r="H13" i="39"/>
  <c r="AB13" i="39"/>
  <c r="F13" i="39"/>
  <c r="AA13" i="39"/>
  <c r="W23" i="40"/>
  <c r="J39" i="40"/>
  <c r="AC39" i="40"/>
  <c r="F39" i="40"/>
  <c r="AA39" i="40"/>
  <c r="H39" i="40"/>
  <c r="AB39" i="40"/>
  <c r="BL49" i="3"/>
  <c r="G50" i="3"/>
  <c r="BA50" i="3"/>
  <c r="AZ50" i="3"/>
  <c r="BL51" i="3"/>
  <c r="AZ51" i="3"/>
  <c r="G52" i="3"/>
  <c r="BA52" i="3"/>
  <c r="BL53" i="3"/>
  <c r="AZ53" i="3"/>
  <c r="G54" i="3"/>
  <c r="BA54" i="3"/>
  <c r="AZ54" i="3"/>
  <c r="BL55" i="3"/>
  <c r="G56" i="3"/>
  <c r="BA56" i="3"/>
  <c r="BL57" i="3"/>
  <c r="G58" i="3"/>
  <c r="BA58" i="3"/>
  <c r="AZ58" i="3"/>
  <c r="BL59" i="3"/>
  <c r="G60" i="3"/>
  <c r="BA60" i="3"/>
  <c r="BL61" i="3"/>
  <c r="AZ61" i="3"/>
  <c r="G62" i="3"/>
  <c r="BA62" i="3"/>
  <c r="BL63" i="3"/>
  <c r="G64" i="3"/>
  <c r="BA64" i="3"/>
  <c r="AZ64" i="3"/>
  <c r="BL65" i="3"/>
  <c r="G66" i="3"/>
  <c r="BA66" i="3"/>
  <c r="BL67" i="3"/>
  <c r="G68" i="3"/>
  <c r="BA68" i="3"/>
  <c r="AZ68" i="3"/>
  <c r="BL69" i="3"/>
  <c r="G70" i="3"/>
  <c r="BA70" i="3"/>
  <c r="AZ70" i="3"/>
  <c r="BL71" i="3"/>
  <c r="G72" i="3"/>
  <c r="BA72" i="3"/>
  <c r="AZ72" i="3"/>
  <c r="BL73" i="3"/>
  <c r="G74" i="3"/>
  <c r="BA74" i="3"/>
  <c r="AZ74" i="3"/>
  <c r="BL75" i="3"/>
  <c r="G76" i="3"/>
  <c r="BA76" i="3"/>
  <c r="BL77" i="3"/>
  <c r="G78" i="3"/>
  <c r="BA78" i="3"/>
  <c r="BL79" i="3"/>
  <c r="G80" i="3"/>
  <c r="BA80" i="3"/>
  <c r="AZ80" i="3"/>
  <c r="BL81" i="3"/>
  <c r="G82" i="3"/>
  <c r="BA82" i="3"/>
  <c r="AZ82" i="3"/>
  <c r="BL83" i="3"/>
  <c r="G84" i="3"/>
  <c r="BA84" i="3"/>
  <c r="BL85" i="3"/>
  <c r="G86" i="3"/>
  <c r="BA86" i="3"/>
  <c r="AZ86" i="3"/>
  <c r="BL87" i="3"/>
  <c r="G88" i="3"/>
  <c r="BA88" i="3"/>
  <c r="AZ88" i="3"/>
  <c r="BL89" i="3"/>
  <c r="G90" i="3"/>
  <c r="BA90" i="3"/>
  <c r="AZ90" i="3"/>
  <c r="BL91" i="3"/>
  <c r="AZ91" i="3"/>
  <c r="G92" i="3"/>
  <c r="BA92" i="3"/>
  <c r="BL93" i="3"/>
  <c r="AZ93" i="3"/>
  <c r="G94" i="3"/>
  <c r="BA94" i="3"/>
  <c r="BL95" i="3"/>
  <c r="G96" i="3"/>
  <c r="BA96" i="3"/>
  <c r="AZ96" i="3"/>
  <c r="BL97" i="3"/>
  <c r="G98" i="3"/>
  <c r="BA98" i="3"/>
  <c r="BL99" i="3"/>
  <c r="G100" i="3"/>
  <c r="BA100" i="3"/>
  <c r="AZ100" i="3"/>
  <c r="BL101" i="3"/>
  <c r="G102" i="3"/>
  <c r="BA102" i="3"/>
  <c r="AZ102" i="3"/>
  <c r="BL103" i="3"/>
  <c r="G104" i="3"/>
  <c r="BA104" i="3"/>
  <c r="BL105" i="3"/>
  <c r="G106" i="3"/>
  <c r="BA106" i="3"/>
  <c r="AZ106" i="3"/>
  <c r="BL107" i="3"/>
  <c r="AZ107" i="3"/>
  <c r="G108" i="3"/>
  <c r="BA108" i="3"/>
  <c r="BL109" i="3"/>
  <c r="G110" i="3"/>
  <c r="BA110" i="3"/>
  <c r="BL111" i="3"/>
  <c r="G112" i="3"/>
  <c r="BA112" i="3"/>
  <c r="AZ112" i="3"/>
  <c r="BL113" i="3"/>
  <c r="G114" i="3"/>
  <c r="BA114" i="3"/>
  <c r="AZ114" i="3"/>
  <c r="BL115" i="3"/>
  <c r="AZ115" i="3"/>
  <c r="G116" i="3"/>
  <c r="BA116" i="3"/>
  <c r="BL117" i="3"/>
  <c r="G118" i="3"/>
  <c r="BA118" i="3"/>
  <c r="AZ118" i="3"/>
  <c r="BL119" i="3"/>
  <c r="G120" i="3"/>
  <c r="BA120" i="3"/>
  <c r="AZ120" i="3"/>
  <c r="BL121" i="3"/>
  <c r="G122" i="3"/>
  <c r="BA122" i="3"/>
  <c r="AZ122" i="3"/>
  <c r="BL123" i="3"/>
  <c r="G124" i="3"/>
  <c r="BA124" i="3"/>
  <c r="BL125" i="3"/>
  <c r="G126" i="3"/>
  <c r="BA126" i="3"/>
  <c r="BL127" i="3"/>
  <c r="G128" i="3"/>
  <c r="BA128" i="3"/>
  <c r="AZ128" i="3"/>
  <c r="BL129" i="3"/>
  <c r="G130" i="3"/>
  <c r="BA130" i="3"/>
  <c r="BL131" i="3"/>
  <c r="G132" i="3"/>
  <c r="BA132" i="3"/>
  <c r="AZ132" i="3"/>
  <c r="BL133" i="3"/>
  <c r="G134" i="3"/>
  <c r="BA134" i="3"/>
  <c r="AZ134" i="3"/>
  <c r="BL135" i="3"/>
  <c r="G136" i="3"/>
  <c r="BA136" i="3"/>
  <c r="AZ136" i="3"/>
  <c r="BL137" i="3"/>
  <c r="G138" i="3"/>
  <c r="BA138" i="3"/>
  <c r="AZ138" i="3"/>
  <c r="BL139" i="3"/>
  <c r="G140" i="3"/>
  <c r="BA140" i="3"/>
  <c r="BL141" i="3"/>
  <c r="G142" i="3"/>
  <c r="BA142" i="3"/>
  <c r="BL143" i="3"/>
  <c r="G144" i="3"/>
  <c r="BA144" i="3"/>
  <c r="AZ144" i="3"/>
  <c r="BL145" i="3"/>
  <c r="G146" i="3"/>
  <c r="BA146" i="3"/>
  <c r="AZ146" i="3"/>
  <c r="BL147" i="3"/>
  <c r="AZ147" i="3"/>
  <c r="G148" i="3"/>
  <c r="BA148" i="3"/>
  <c r="BL149" i="3"/>
  <c r="G150" i="3"/>
  <c r="BA150" i="3"/>
  <c r="AZ150" i="3"/>
  <c r="BL151" i="3"/>
  <c r="G152" i="3"/>
  <c r="BA152" i="3"/>
  <c r="AZ152" i="3"/>
  <c r="BL153" i="3"/>
  <c r="G154" i="3"/>
  <c r="BA154" i="3"/>
  <c r="AZ154" i="3"/>
  <c r="BL155" i="3"/>
  <c r="G156" i="3"/>
  <c r="BA156" i="3"/>
  <c r="BL157" i="3"/>
  <c r="AZ157" i="3"/>
  <c r="G158" i="3"/>
  <c r="BA158" i="3"/>
  <c r="AZ158" i="3"/>
  <c r="BL159" i="3"/>
  <c r="G160" i="3"/>
  <c r="BA160" i="3"/>
  <c r="AZ160" i="3"/>
  <c r="BL161" i="3"/>
  <c r="G162" i="3"/>
  <c r="BA162" i="3"/>
  <c r="BL163" i="3"/>
  <c r="AZ163" i="3"/>
  <c r="G164" i="3"/>
  <c r="BA164" i="3"/>
  <c r="BL165" i="3"/>
  <c r="G166" i="3"/>
  <c r="BA168" i="3"/>
  <c r="AZ168" i="3"/>
  <c r="BL169" i="3"/>
  <c r="G170" i="3"/>
  <c r="BA172" i="3"/>
  <c r="AZ172" i="3"/>
  <c r="BL173" i="3"/>
  <c r="G174" i="3"/>
  <c r="BA176" i="3"/>
  <c r="AZ176" i="3"/>
  <c r="BL177" i="3"/>
  <c r="AZ177" i="3"/>
  <c r="G178" i="3"/>
  <c r="BA180" i="3"/>
  <c r="AZ180" i="3"/>
  <c r="BL181" i="3"/>
  <c r="G182" i="3"/>
  <c r="BA184" i="3"/>
  <c r="BL185" i="3"/>
  <c r="G186" i="3"/>
  <c r="BA188" i="3"/>
  <c r="AZ188" i="3"/>
  <c r="BL189" i="3"/>
  <c r="G190" i="3"/>
  <c r="BA192" i="3"/>
  <c r="BL193" i="3"/>
  <c r="G194" i="3"/>
  <c r="BA196" i="3"/>
  <c r="AZ196" i="3"/>
  <c r="BL197" i="3"/>
  <c r="G198" i="3"/>
  <c r="BA200" i="3"/>
  <c r="AZ200" i="3"/>
  <c r="BL201" i="3"/>
  <c r="G202" i="3"/>
  <c r="BA204" i="3"/>
  <c r="AZ204" i="3"/>
  <c r="BL205" i="3"/>
  <c r="G206" i="3"/>
  <c r="BA208" i="3"/>
  <c r="AZ208" i="3"/>
  <c r="BL209" i="3"/>
  <c r="G210" i="3"/>
  <c r="BA212" i="3"/>
  <c r="AZ212" i="3"/>
  <c r="BL213" i="3"/>
  <c r="G214" i="3"/>
  <c r="BA216" i="3"/>
  <c r="BL217" i="3"/>
  <c r="G218" i="3"/>
  <c r="BA220" i="3"/>
  <c r="AZ220" i="3"/>
  <c r="BL221" i="3"/>
  <c r="G222" i="3"/>
  <c r="BA224" i="3"/>
  <c r="AZ224" i="3"/>
  <c r="BL225" i="3"/>
  <c r="AZ225" i="3"/>
  <c r="G226" i="3"/>
  <c r="BA228" i="3"/>
  <c r="AZ228" i="3"/>
  <c r="BL229" i="3"/>
  <c r="G230" i="3"/>
  <c r="BA232" i="3"/>
  <c r="BL233" i="3"/>
  <c r="G234" i="3"/>
  <c r="BA236" i="3"/>
  <c r="BL237" i="3"/>
  <c r="G238" i="3"/>
  <c r="BA240" i="3"/>
  <c r="AZ240" i="3"/>
  <c r="BL241" i="3"/>
  <c r="G242" i="3"/>
  <c r="BA244" i="3"/>
  <c r="AZ244" i="3"/>
  <c r="BL245" i="3"/>
  <c r="G246" i="3"/>
  <c r="BA248" i="3"/>
  <c r="AZ248" i="3"/>
  <c r="BL249" i="3"/>
  <c r="G250" i="3"/>
  <c r="BA252" i="3"/>
  <c r="BL253" i="3"/>
  <c r="G254" i="3"/>
  <c r="BA256" i="3"/>
  <c r="BL257" i="3"/>
  <c r="G258" i="3"/>
  <c r="BA260" i="3"/>
  <c r="BL261" i="3"/>
  <c r="G262" i="3"/>
  <c r="BA264" i="3"/>
  <c r="AZ264" i="3"/>
  <c r="BL265" i="3"/>
  <c r="G266" i="3"/>
  <c r="BA268" i="3"/>
  <c r="AZ268" i="3"/>
  <c r="BL269" i="3"/>
  <c r="G270" i="3"/>
  <c r="BA272" i="3"/>
  <c r="AZ272" i="3"/>
  <c r="BL273" i="3"/>
  <c r="AZ273" i="3"/>
  <c r="G274" i="3"/>
  <c r="BA276" i="3"/>
  <c r="BL277" i="3"/>
  <c r="AZ277" i="3"/>
  <c r="G278" i="3"/>
  <c r="BA280" i="3"/>
  <c r="AZ280" i="3"/>
  <c r="BL281" i="3"/>
  <c r="G282" i="3"/>
  <c r="BA284" i="3"/>
  <c r="BL285" i="3"/>
  <c r="G286" i="3"/>
  <c r="BA288" i="3"/>
  <c r="AZ288" i="3"/>
  <c r="BL289" i="3"/>
  <c r="AZ289" i="3"/>
  <c r="G290" i="3"/>
  <c r="BA292" i="3"/>
  <c r="AZ292" i="3"/>
  <c r="BL293" i="3"/>
  <c r="AZ293" i="3"/>
  <c r="G294" i="3"/>
  <c r="BA296" i="3"/>
  <c r="AZ296" i="3"/>
  <c r="BL297" i="3"/>
  <c r="G298" i="3"/>
  <c r="BA300" i="3"/>
  <c r="AZ300" i="3"/>
  <c r="BL301" i="3"/>
  <c r="G302" i="3"/>
  <c r="BA304" i="3"/>
  <c r="AZ304" i="3"/>
  <c r="BL305" i="3"/>
  <c r="AZ305" i="3"/>
  <c r="G306" i="3"/>
  <c r="BA308" i="3"/>
  <c r="AZ308" i="3"/>
  <c r="BL309" i="3"/>
  <c r="G310" i="3"/>
  <c r="BA312" i="3"/>
  <c r="AZ312" i="3"/>
  <c r="BL313" i="3"/>
  <c r="G314" i="3"/>
  <c r="BA316" i="3"/>
  <c r="AZ316" i="3"/>
  <c r="BL317" i="3"/>
  <c r="G318" i="3"/>
  <c r="BA320" i="3"/>
  <c r="AZ320" i="3"/>
  <c r="BL321" i="3"/>
  <c r="G322" i="3"/>
  <c r="BA324" i="3"/>
  <c r="AZ324" i="3"/>
  <c r="BL325" i="3"/>
  <c r="G326" i="3"/>
  <c r="BA328" i="3"/>
  <c r="BL329" i="3"/>
  <c r="G330" i="3"/>
  <c r="BA332" i="3"/>
  <c r="BL333" i="3"/>
  <c r="G334" i="3"/>
  <c r="BA336" i="3"/>
  <c r="BL337" i="3"/>
  <c r="AZ337" i="3"/>
  <c r="G338" i="3"/>
  <c r="BA340" i="3"/>
  <c r="BL341" i="3"/>
  <c r="G342" i="3"/>
  <c r="BA344" i="3"/>
  <c r="AZ344" i="3"/>
  <c r="BL345" i="3"/>
  <c r="G346" i="3"/>
  <c r="BA348" i="3"/>
  <c r="BL349" i="3"/>
  <c r="G350" i="3"/>
  <c r="BA352" i="3"/>
  <c r="AZ352" i="3"/>
  <c r="BL353" i="3"/>
  <c r="G354" i="3"/>
  <c r="BA356" i="3"/>
  <c r="BL357" i="3"/>
  <c r="G358" i="3"/>
  <c r="BA360" i="3"/>
  <c r="BL361" i="3"/>
  <c r="AZ361" i="3"/>
  <c r="G362" i="3"/>
  <c r="BA364" i="3"/>
  <c r="BL365" i="3"/>
  <c r="G366" i="3"/>
  <c r="BA368" i="3"/>
  <c r="AZ368" i="3"/>
  <c r="BL369" i="3"/>
  <c r="G370" i="3"/>
  <c r="BA372" i="3"/>
  <c r="AZ372" i="3"/>
  <c r="BL373" i="3"/>
  <c r="AZ373" i="3"/>
  <c r="G374" i="3"/>
  <c r="BA376" i="3"/>
  <c r="BL377" i="3"/>
  <c r="G378" i="3"/>
  <c r="BA380" i="3"/>
  <c r="AZ380" i="3"/>
  <c r="BL381" i="3"/>
  <c r="G382" i="3"/>
  <c r="BA384" i="3"/>
  <c r="AZ384" i="3"/>
  <c r="BL385" i="3"/>
  <c r="AZ385" i="3"/>
  <c r="G386" i="3"/>
  <c r="BA388" i="3"/>
  <c r="BL389" i="3"/>
  <c r="G390" i="3"/>
  <c r="BA392" i="3"/>
  <c r="BL393" i="3"/>
  <c r="AZ393" i="3"/>
  <c r="G394" i="3"/>
  <c r="BA396" i="3"/>
  <c r="AZ396" i="3"/>
  <c r="BL397" i="3"/>
  <c r="AZ397" i="3"/>
  <c r="G398" i="3"/>
  <c r="BA400" i="3"/>
  <c r="AZ400" i="3"/>
  <c r="BL401" i="3"/>
  <c r="G402" i="3"/>
  <c r="BA404" i="3"/>
  <c r="BL405" i="3"/>
  <c r="AZ405" i="3"/>
  <c r="G406" i="3"/>
  <c r="BA408" i="3"/>
  <c r="BL409" i="3"/>
  <c r="G410" i="3"/>
  <c r="BA412" i="3"/>
  <c r="AZ412" i="3"/>
  <c r="BL413" i="3"/>
  <c r="G414" i="3"/>
  <c r="BA416" i="3"/>
  <c r="AZ416" i="3"/>
  <c r="BL417" i="3"/>
  <c r="AZ417" i="3"/>
  <c r="G418" i="3"/>
  <c r="BA420" i="3"/>
  <c r="AZ420" i="3"/>
  <c r="BL421" i="3"/>
  <c r="G422" i="3"/>
  <c r="BA424" i="3"/>
  <c r="BL425" i="3"/>
  <c r="AZ425" i="3"/>
  <c r="G426" i="3"/>
  <c r="BA428" i="3"/>
  <c r="AZ428" i="3"/>
  <c r="BL429" i="3"/>
  <c r="G430" i="3"/>
  <c r="BA432" i="3"/>
  <c r="AZ432" i="3"/>
  <c r="BL433" i="3"/>
  <c r="G434" i="3"/>
  <c r="BA436" i="3"/>
  <c r="BL437" i="3"/>
  <c r="AZ437" i="3"/>
  <c r="G438" i="3"/>
  <c r="BA440" i="3"/>
  <c r="BL441" i="3"/>
  <c r="G442" i="3"/>
  <c r="BA444" i="3"/>
  <c r="AZ444" i="3"/>
  <c r="S9" i="1"/>
  <c r="T9" i="1"/>
  <c r="R9" i="1"/>
  <c r="B9" i="1"/>
  <c r="E9" i="1"/>
  <c r="G13" i="1"/>
  <c r="D78" i="9"/>
  <c r="D93" i="9"/>
  <c r="B41" i="1"/>
  <c r="F32" i="67"/>
  <c r="F60" i="67"/>
  <c r="C40" i="68"/>
  <c r="C21" i="68"/>
  <c r="J12" i="21"/>
  <c r="AC12" i="21"/>
  <c r="F12" i="21"/>
  <c r="AA12" i="21"/>
  <c r="J28" i="21"/>
  <c r="AC28" i="21"/>
  <c r="H28" i="21"/>
  <c r="AB28" i="21"/>
  <c r="J30" i="21"/>
  <c r="AC30" i="21"/>
  <c r="H30" i="21"/>
  <c r="AB30" i="21"/>
  <c r="H12" i="33"/>
  <c r="AB12" i="33"/>
  <c r="H14" i="33"/>
  <c r="AB14" i="33"/>
  <c r="F28" i="33"/>
  <c r="AA28" i="33"/>
  <c r="J30" i="33"/>
  <c r="AC30" i="33"/>
  <c r="W44" i="33"/>
  <c r="J46" i="33"/>
  <c r="AC46" i="33"/>
  <c r="F46" i="33"/>
  <c r="AA46" i="33"/>
  <c r="H9" i="34"/>
  <c r="AB9" i="34"/>
  <c r="AB11" i="34"/>
  <c r="AA34" i="34"/>
  <c r="U35" i="34"/>
  <c r="AB35" i="34"/>
  <c r="J12" i="34"/>
  <c r="F12" i="34"/>
  <c r="AA12" i="34"/>
  <c r="H14" i="34"/>
  <c r="AB14" i="34"/>
  <c r="J14" i="34"/>
  <c r="AC14" i="34"/>
  <c r="H28" i="34"/>
  <c r="AB28" i="34"/>
  <c r="J28" i="34"/>
  <c r="AC28" i="34"/>
  <c r="H30" i="34"/>
  <c r="F30" i="34"/>
  <c r="AA30" i="34"/>
  <c r="H32" i="34"/>
  <c r="AB32" i="34"/>
  <c r="J32" i="34"/>
  <c r="W34" i="37"/>
  <c r="H25" i="37"/>
  <c r="J25" i="37"/>
  <c r="AC25" i="37"/>
  <c r="H27" i="37"/>
  <c r="J27" i="37"/>
  <c r="AC27" i="37"/>
  <c r="F9" i="35"/>
  <c r="S9" i="35"/>
  <c r="J23" i="35"/>
  <c r="J13" i="39"/>
  <c r="AC13" i="39"/>
  <c r="U39" i="39"/>
  <c r="AB39" i="39"/>
  <c r="J31" i="39"/>
  <c r="F31" i="39"/>
  <c r="AA31" i="39"/>
  <c r="H31" i="39"/>
  <c r="AB31" i="39"/>
  <c r="J44" i="39"/>
  <c r="F44" i="39"/>
  <c r="AA44" i="39"/>
  <c r="H44" i="39"/>
  <c r="AB44" i="39"/>
  <c r="AA8" i="40"/>
  <c r="S8" i="40"/>
  <c r="AC8" i="40"/>
  <c r="W8" i="40"/>
  <c r="W19" i="40"/>
  <c r="U36" i="40"/>
  <c r="AB36" i="40"/>
  <c r="H13" i="40"/>
  <c r="F13" i="40"/>
  <c r="AA13" i="40"/>
  <c r="BA446" i="3"/>
  <c r="BL447" i="3"/>
  <c r="G448" i="3"/>
  <c r="BA450" i="3"/>
  <c r="BL451" i="3"/>
  <c r="G452" i="3"/>
  <c r="BA454" i="3"/>
  <c r="BL455" i="3"/>
  <c r="G456" i="3"/>
  <c r="BA458" i="3"/>
  <c r="BL459" i="3"/>
  <c r="AZ459" i="3"/>
  <c r="G460" i="3"/>
  <c r="BA462" i="3"/>
  <c r="BL463" i="3"/>
  <c r="AZ463" i="3"/>
  <c r="G464" i="3"/>
  <c r="BA466" i="3"/>
  <c r="BL467" i="3"/>
  <c r="AZ467" i="3"/>
  <c r="G468" i="3"/>
  <c r="BA470" i="3"/>
  <c r="BL471" i="3"/>
  <c r="G472" i="3"/>
  <c r="BA474" i="3"/>
  <c r="BL475" i="3"/>
  <c r="G476" i="3"/>
  <c r="BA478" i="3"/>
  <c r="AZ478" i="3"/>
  <c r="BL479" i="3"/>
  <c r="G480" i="3"/>
  <c r="BA482" i="3"/>
  <c r="BL483" i="3"/>
  <c r="G484" i="3"/>
  <c r="BA486" i="3"/>
  <c r="BL487" i="3"/>
  <c r="AZ487" i="3"/>
  <c r="G488" i="3"/>
  <c r="BA490" i="3"/>
  <c r="BL491" i="3"/>
  <c r="AZ491" i="3"/>
  <c r="G492" i="3"/>
  <c r="BA494" i="3"/>
  <c r="BL495" i="3"/>
  <c r="AZ495" i="3"/>
  <c r="G496" i="3"/>
  <c r="BA498" i="3"/>
  <c r="BL499" i="3"/>
  <c r="G500" i="3"/>
  <c r="BA502" i="3"/>
  <c r="BL503" i="3"/>
  <c r="AZ503" i="3"/>
  <c r="G504" i="3"/>
  <c r="BA506" i="3"/>
  <c r="AZ506" i="3"/>
  <c r="BL507" i="3"/>
  <c r="AZ507" i="3"/>
  <c r="G508" i="3"/>
  <c r="BA510" i="3"/>
  <c r="AZ510" i="3"/>
  <c r="BL511" i="3"/>
  <c r="G512" i="3"/>
  <c r="BA514" i="3"/>
  <c r="BL515" i="3"/>
  <c r="AZ515" i="3"/>
  <c r="G516" i="3"/>
  <c r="BA518" i="3"/>
  <c r="BL519" i="3"/>
  <c r="G520" i="3"/>
  <c r="BA522" i="3"/>
  <c r="BL523" i="3"/>
  <c r="AZ523" i="3"/>
  <c r="G524" i="3"/>
  <c r="BA526" i="3"/>
  <c r="BL527" i="3"/>
  <c r="G528" i="3"/>
  <c r="BA530" i="3"/>
  <c r="BL531" i="3"/>
  <c r="AZ531" i="3"/>
  <c r="G532" i="3"/>
  <c r="BA534" i="3"/>
  <c r="BL535" i="3"/>
  <c r="G536" i="3"/>
  <c r="BA538" i="3"/>
  <c r="AZ538" i="3"/>
  <c r="BL539" i="3"/>
  <c r="AZ539" i="3"/>
  <c r="G540" i="3"/>
  <c r="BA542" i="3"/>
  <c r="AZ542" i="3"/>
  <c r="BL543" i="3"/>
  <c r="G544" i="3"/>
  <c r="BA546" i="3"/>
  <c r="BL547" i="3"/>
  <c r="G548" i="3"/>
  <c r="BA550" i="3"/>
  <c r="BL551" i="3"/>
  <c r="G552" i="3"/>
  <c r="BA554" i="3"/>
  <c r="BL555" i="3"/>
  <c r="G556" i="3"/>
  <c r="BA558" i="3"/>
  <c r="BL559" i="3"/>
  <c r="G560" i="3"/>
  <c r="BA562" i="3"/>
  <c r="AZ562" i="3"/>
  <c r="BL563" i="3"/>
  <c r="G564" i="3"/>
  <c r="BA566" i="3"/>
  <c r="AZ566" i="3"/>
  <c r="BL567" i="3"/>
  <c r="AZ567" i="3"/>
  <c r="G568" i="3"/>
  <c r="BA570" i="3"/>
  <c r="AZ570" i="3"/>
  <c r="BL571" i="3"/>
  <c r="G572" i="3"/>
  <c r="BA574" i="3"/>
  <c r="AZ574" i="3"/>
  <c r="BL575" i="3"/>
  <c r="G576" i="3"/>
  <c r="BA578" i="3"/>
  <c r="AZ578" i="3"/>
  <c r="BL579" i="3"/>
  <c r="G580" i="3"/>
  <c r="BA582" i="3"/>
  <c r="BL583" i="3"/>
  <c r="AZ583" i="3"/>
  <c r="G584" i="3"/>
  <c r="BA586" i="3"/>
  <c r="AZ586" i="3"/>
  <c r="BL587" i="3"/>
  <c r="P27" i="6"/>
  <c r="K7" i="1"/>
  <c r="M7" i="1"/>
  <c r="B24" i="1"/>
  <c r="F34" i="11"/>
  <c r="D7" i="74"/>
  <c r="R14" i="77"/>
  <c r="R25" i="77"/>
  <c r="K145" i="21"/>
  <c r="U8" i="34"/>
  <c r="W27" i="34"/>
  <c r="AA42" i="34"/>
  <c r="H27" i="34"/>
  <c r="U27" i="34"/>
  <c r="F27" i="34"/>
  <c r="AB9" i="37"/>
  <c r="W30" i="37"/>
  <c r="W38" i="37"/>
  <c r="J40" i="37"/>
  <c r="W40" i="37"/>
  <c r="F40" i="37"/>
  <c r="W28" i="35"/>
  <c r="W32" i="35"/>
  <c r="AA8" i="36"/>
  <c r="S8" i="36"/>
  <c r="H11" i="36"/>
  <c r="F11" i="36"/>
  <c r="AA11" i="36"/>
  <c r="H13" i="36"/>
  <c r="AB13" i="36"/>
  <c r="J13" i="36"/>
  <c r="AC13" i="36"/>
  <c r="H23" i="36"/>
  <c r="F23" i="36"/>
  <c r="AA23" i="36"/>
  <c r="H25" i="36"/>
  <c r="AB25" i="36"/>
  <c r="J25" i="36"/>
  <c r="AC25" i="36"/>
  <c r="J32" i="36"/>
  <c r="AC32" i="36"/>
  <c r="F32" i="36"/>
  <c r="AA32" i="36"/>
  <c r="U8" i="39"/>
  <c r="J36" i="39"/>
  <c r="F36" i="39"/>
  <c r="AA36" i="39"/>
  <c r="W21" i="40"/>
  <c r="W25" i="40"/>
  <c r="J32" i="40"/>
  <c r="AC32" i="40"/>
  <c r="F32" i="40"/>
  <c r="AA32" i="40"/>
  <c r="U8" i="37"/>
  <c r="AA32" i="37"/>
  <c r="B3" i="35"/>
  <c r="W8" i="35"/>
  <c r="F40" i="69"/>
  <c r="H26" i="43"/>
  <c r="N4" i="43"/>
  <c r="M6" i="43"/>
  <c r="C21" i="11"/>
  <c r="P10" i="79"/>
  <c r="R13" i="79"/>
  <c r="V13" i="79"/>
  <c r="P14" i="79"/>
  <c r="S25" i="79"/>
  <c r="U25" i="79"/>
  <c r="U26" i="79"/>
  <c r="T29" i="79"/>
  <c r="W29" i="79"/>
  <c r="AD31" i="79"/>
  <c r="T31" i="79"/>
  <c r="W31" i="79"/>
  <c r="AD32" i="79"/>
  <c r="T32" i="79"/>
  <c r="W32" i="79"/>
  <c r="F22" i="71"/>
  <c r="F21" i="71"/>
  <c r="F20" i="71"/>
  <c r="F19" i="71"/>
  <c r="F18" i="71"/>
  <c r="F17" i="71"/>
  <c r="F16" i="71"/>
  <c r="F15" i="71"/>
  <c r="F14" i="71"/>
  <c r="F13" i="71"/>
  <c r="F12" i="71"/>
  <c r="F11" i="71"/>
  <c r="F10" i="71"/>
  <c r="F9" i="71"/>
  <c r="F8" i="71"/>
  <c r="F7" i="71"/>
  <c r="F6" i="71"/>
  <c r="F5" i="71"/>
  <c r="B22" i="71"/>
  <c r="B21" i="71"/>
  <c r="B20" i="71"/>
  <c r="B26" i="71"/>
  <c r="AA29" i="71"/>
  <c r="AA37" i="71"/>
  <c r="B59" i="71"/>
  <c r="B60" i="71"/>
  <c r="S60" i="71"/>
  <c r="E59" i="71"/>
  <c r="E60" i="71"/>
  <c r="U60" i="71"/>
  <c r="T68" i="71"/>
  <c r="T72" i="71"/>
  <c r="D76" i="71"/>
  <c r="D80" i="71"/>
  <c r="E61" i="43"/>
  <c r="B59" i="43"/>
  <c r="D72" i="43"/>
  <c r="X23" i="71"/>
  <c r="F26" i="71"/>
  <c r="AA33" i="71"/>
  <c r="C18" i="78"/>
  <c r="J50" i="40"/>
  <c r="J55" i="39"/>
  <c r="H5" i="3"/>
  <c r="F29" i="6"/>
  <c r="G24" i="78"/>
  <c r="BA14" i="3"/>
  <c r="AZ14" i="3"/>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c r="A118" i="9"/>
  <c r="A2" i="9"/>
  <c r="M56" i="9"/>
  <c r="J56" i="9"/>
  <c r="J57" i="9"/>
  <c r="J59" i="9"/>
  <c r="J61" i="9"/>
  <c r="N56" i="9"/>
  <c r="K56" i="9"/>
  <c r="I4" i="6"/>
  <c r="AZ443" i="3"/>
  <c r="AZ471" i="3"/>
  <c r="AZ559" i="3"/>
  <c r="AR8" i="1"/>
  <c r="AQ8" i="1"/>
  <c r="T8" i="1"/>
  <c r="C18" i="9"/>
  <c r="D18" i="9"/>
  <c r="C94" i="9"/>
  <c r="C92" i="9"/>
  <c r="H89" i="21"/>
  <c r="I89" i="21"/>
  <c r="J89" i="21"/>
  <c r="K89" i="21"/>
  <c r="L89" i="21"/>
  <c r="M89" i="21"/>
  <c r="AR10" i="1"/>
  <c r="AQ10" i="1"/>
  <c r="T10" i="1"/>
  <c r="AB13" i="21"/>
  <c r="U13" i="21"/>
  <c r="S37" i="21"/>
  <c r="F127" i="21"/>
  <c r="J44" i="21"/>
  <c r="H44" i="21"/>
  <c r="AC46" i="21"/>
  <c r="W46" i="21"/>
  <c r="W27" i="33"/>
  <c r="AC29" i="33"/>
  <c r="W29" i="33"/>
  <c r="AC31" i="33"/>
  <c r="W31" i="33"/>
  <c r="AB45" i="33"/>
  <c r="U45" i="33"/>
  <c r="B6" i="1"/>
  <c r="E6" i="1"/>
  <c r="O16" i="1"/>
  <c r="G7" i="1"/>
  <c r="B8" i="1"/>
  <c r="E8" i="1"/>
  <c r="K8" i="1"/>
  <c r="M8" i="1"/>
  <c r="R8" i="1"/>
  <c r="G9" i="1"/>
  <c r="B10" i="1"/>
  <c r="E10" i="1"/>
  <c r="K10" i="1"/>
  <c r="M10" i="1"/>
  <c r="R10" i="1"/>
  <c r="K11" i="1"/>
  <c r="M11" i="1"/>
  <c r="K12" i="1"/>
  <c r="M12" i="1"/>
  <c r="K13" i="1"/>
  <c r="M13" i="1"/>
  <c r="T13" i="1"/>
  <c r="AQ13" i="1"/>
  <c r="E19" i="11"/>
  <c r="E19" i="69"/>
  <c r="B72" i="43"/>
  <c r="C15" i="39"/>
  <c r="B61" i="43"/>
  <c r="C19" i="39"/>
  <c r="B90" i="43"/>
  <c r="C21" i="40"/>
  <c r="B97" i="43"/>
  <c r="B75" i="43"/>
  <c r="B65" i="43"/>
  <c r="B54" i="43"/>
  <c r="B14" i="74"/>
  <c r="B1" i="74"/>
  <c r="L63" i="9"/>
  <c r="M63" i="9"/>
  <c r="M69" i="9"/>
  <c r="N69" i="9"/>
  <c r="L64" i="9"/>
  <c r="M64" i="9"/>
  <c r="L65" i="9"/>
  <c r="M65" i="9"/>
  <c r="L66" i="9"/>
  <c r="M66" i="9"/>
  <c r="L67" i="9"/>
  <c r="M67" i="9"/>
  <c r="H110" i="9"/>
  <c r="D18" i="53"/>
  <c r="B35" i="72"/>
  <c r="H111" i="9"/>
  <c r="G1" i="68"/>
  <c r="G41" i="68"/>
  <c r="K1" i="12"/>
  <c r="G1" i="15"/>
  <c r="P74" i="67"/>
  <c r="E23" i="77"/>
  <c r="D26" i="77"/>
  <c r="C29" i="77"/>
  <c r="R35" i="77"/>
  <c r="U34" i="77"/>
  <c r="U8" i="21"/>
  <c r="U9" i="21"/>
  <c r="S10" i="21"/>
  <c r="W10" i="21"/>
  <c r="U11" i="21"/>
  <c r="S14" i="21"/>
  <c r="F15" i="21"/>
  <c r="J15" i="21"/>
  <c r="F17" i="21"/>
  <c r="J17" i="21"/>
  <c r="F19" i="21"/>
  <c r="J19" i="21"/>
  <c r="S21" i="21"/>
  <c r="W21" i="21"/>
  <c r="F23" i="21"/>
  <c r="J23" i="21"/>
  <c r="U25" i="21"/>
  <c r="F28" i="21"/>
  <c r="AA28" i="21"/>
  <c r="F30" i="21"/>
  <c r="U31" i="21"/>
  <c r="U32" i="21"/>
  <c r="U39"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c r="U10" i="21"/>
  <c r="S11" i="21"/>
  <c r="W11" i="21"/>
  <c r="U12" i="21"/>
  <c r="W13" i="21"/>
  <c r="U14" i="21"/>
  <c r="U15" i="21"/>
  <c r="U17" i="21"/>
  <c r="U21" i="21"/>
  <c r="U23" i="21"/>
  <c r="S25" i="21"/>
  <c r="W25" i="21"/>
  <c r="U30" i="21"/>
  <c r="W31" i="21"/>
  <c r="S39" i="21"/>
  <c r="W39" i="21"/>
  <c r="U40" i="21"/>
  <c r="S41" i="21"/>
  <c r="W41" i="21"/>
  <c r="W45" i="21"/>
  <c r="R47" i="21"/>
  <c r="V47" i="21"/>
  <c r="G54" i="21"/>
  <c r="H54" i="2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c r="M3" i="79"/>
  <c r="P3" i="79"/>
  <c r="V3" i="79"/>
  <c r="O3" i="79"/>
  <c r="T5" i="79"/>
  <c r="W5" i="79"/>
  <c r="Y3" i="79"/>
  <c r="AD5" i="79"/>
  <c r="AA3" i="79"/>
  <c r="AD3" i="79"/>
  <c r="AC3" i="79"/>
  <c r="R6" i="79"/>
  <c r="T6" i="79"/>
  <c r="W6" i="79"/>
  <c r="V6" i="79"/>
  <c r="T7" i="79"/>
  <c r="W7" i="79"/>
  <c r="T23" i="79"/>
  <c r="W23" i="79"/>
  <c r="M23" i="79"/>
  <c r="P23" i="79"/>
  <c r="P25" i="79"/>
  <c r="S27" i="79"/>
  <c r="U27" i="79"/>
  <c r="T27" i="79"/>
  <c r="W27" i="79"/>
  <c r="P33" i="79"/>
  <c r="P35" i="79"/>
  <c r="H52" i="43"/>
  <c r="H63" i="43"/>
  <c r="D73" i="43"/>
  <c r="D76" i="43"/>
  <c r="D78" i="43"/>
  <c r="D80" i="43"/>
  <c r="H84" i="43"/>
  <c r="H86" i="43"/>
  <c r="H88" i="43"/>
  <c r="H93" i="43"/>
  <c r="H94" i="43"/>
  <c r="H97" i="43"/>
  <c r="H98" i="43"/>
  <c r="T9" i="79"/>
  <c r="W9" i="79"/>
  <c r="T11" i="79"/>
  <c r="W11" i="79"/>
  <c r="T13" i="79"/>
  <c r="W13" i="79"/>
  <c r="T15" i="79"/>
  <c r="W15" i="79"/>
  <c r="S33" i="79"/>
  <c r="U33" i="79"/>
  <c r="AD34" i="79"/>
  <c r="T34" i="79"/>
  <c r="W34" i="79"/>
  <c r="S20" i="71"/>
  <c r="B19" i="71"/>
  <c r="B18" i="71"/>
  <c r="B17" i="71"/>
  <c r="B16" i="71"/>
  <c r="V24" i="71"/>
  <c r="E23" i="71"/>
  <c r="E22" i="71"/>
  <c r="E21" i="71"/>
  <c r="E20" i="71"/>
  <c r="S24" i="71"/>
  <c r="X24" i="71"/>
  <c r="T28" i="71"/>
  <c r="D28" i="71"/>
  <c r="U28" i="71"/>
  <c r="C27" i="71"/>
  <c r="F30" i="71"/>
  <c r="F31" i="71"/>
  <c r="F32" i="71"/>
  <c r="V32" i="71"/>
  <c r="AB29" i="71"/>
  <c r="C30" i="71"/>
  <c r="F34" i="71"/>
  <c r="F35" i="71"/>
  <c r="F36" i="71"/>
  <c r="V36" i="71"/>
  <c r="AB33" i="71"/>
  <c r="C34" i="71"/>
  <c r="F38" i="71"/>
  <c r="F39" i="71"/>
  <c r="F40" i="71"/>
  <c r="V40" i="71"/>
  <c r="AB37" i="71"/>
  <c r="C38" i="71"/>
  <c r="C56" i="71"/>
  <c r="D55" i="71"/>
  <c r="C60" i="71"/>
  <c r="D59" i="71"/>
  <c r="P26" i="79"/>
  <c r="P28" i="79"/>
  <c r="P30" i="79"/>
  <c r="P32" i="79"/>
  <c r="P34" i="79"/>
  <c r="AB19" i="71"/>
  <c r="AA19" i="71"/>
  <c r="AA20" i="71"/>
  <c r="AB20" i="71"/>
  <c r="X21" i="71"/>
  <c r="Y22" i="71"/>
  <c r="Z22" i="71"/>
  <c r="AB23" i="71"/>
  <c r="AA23" i="71"/>
  <c r="T24" i="71"/>
  <c r="D24" i="71"/>
  <c r="U24" i="71"/>
  <c r="C23" i="71"/>
  <c r="Y24" i="71"/>
  <c r="Z24" i="71"/>
  <c r="AB25" i="71"/>
  <c r="AA25" i="71"/>
  <c r="AA26" i="71"/>
  <c r="AB26" i="71"/>
  <c r="X27" i="71"/>
  <c r="V28" i="71"/>
  <c r="E27" i="71"/>
  <c r="E26" i="71"/>
  <c r="AA28" i="71"/>
  <c r="X28" i="71"/>
  <c r="AB28" i="71"/>
  <c r="E31" i="71"/>
  <c r="E32" i="71"/>
  <c r="U32" i="71"/>
  <c r="Y30" i="71"/>
  <c r="Z30" i="71"/>
  <c r="AB31" i="71"/>
  <c r="AA31" i="71"/>
  <c r="AA32" i="71"/>
  <c r="AB32" i="71"/>
  <c r="E35" i="71"/>
  <c r="E36" i="71"/>
  <c r="U36" i="71"/>
  <c r="Y34" i="71"/>
  <c r="Z34" i="71"/>
  <c r="AB35" i="71"/>
  <c r="AA35" i="71"/>
  <c r="AA36" i="71"/>
  <c r="AB36" i="71"/>
  <c r="B39" i="71"/>
  <c r="B40" i="71"/>
  <c r="S40" i="71"/>
  <c r="E39" i="71"/>
  <c r="E40" i="71"/>
  <c r="U40" i="71"/>
  <c r="C43" i="71"/>
  <c r="D42" i="71"/>
  <c r="C47" i="71"/>
  <c r="D47" i="71"/>
  <c r="D46" i="71"/>
  <c r="C52" i="71"/>
  <c r="D51" i="71"/>
  <c r="C64" i="71"/>
  <c r="D63" i="71"/>
  <c r="D50" i="71"/>
  <c r="D58" i="71"/>
  <c r="O67" i="71"/>
  <c r="D67" i="71"/>
  <c r="C66" i="71"/>
  <c r="S68" i="71"/>
  <c r="N68" i="71"/>
  <c r="B67" i="71"/>
  <c r="Q68" i="71"/>
  <c r="V68" i="71"/>
  <c r="D75" i="71"/>
  <c r="S76" i="71"/>
  <c r="B75" i="71"/>
  <c r="B74" i="71"/>
  <c r="V76" i="71"/>
  <c r="D83" i="71"/>
  <c r="C82" i="71"/>
  <c r="D82" i="71"/>
  <c r="X29" i="71"/>
  <c r="X33" i="71"/>
  <c r="X37" i="71"/>
  <c r="D54" i="71"/>
  <c r="D62" i="71"/>
  <c r="F66" i="71"/>
  <c r="P67" i="71"/>
  <c r="D71" i="71"/>
  <c r="C70" i="71"/>
  <c r="D70" i="71"/>
  <c r="S72" i="71"/>
  <c r="B71" i="71"/>
  <c r="B70" i="71"/>
  <c r="V72" i="71"/>
  <c r="C78" i="71"/>
  <c r="D78" i="71"/>
  <c r="S80" i="71"/>
  <c r="B79" i="71"/>
  <c r="B78" i="71"/>
  <c r="V80" i="71"/>
  <c r="D87" i="71"/>
  <c r="C86" i="71"/>
  <c r="D86" i="71"/>
  <c r="P68" i="71"/>
  <c r="F123" i="21"/>
  <c r="J42" i="21"/>
  <c r="AC42" i="21"/>
  <c r="F42" i="21"/>
  <c r="AA42" i="21"/>
  <c r="G123" i="21"/>
  <c r="H123" i="21"/>
  <c r="I123" i="21"/>
  <c r="J123" i="21"/>
  <c r="K123" i="21"/>
  <c r="L123" i="21"/>
  <c r="M123" i="21"/>
  <c r="H42" i="21"/>
  <c r="AB42" i="21"/>
  <c r="F35" i="21"/>
  <c r="J35" i="21"/>
  <c r="AC35" i="21"/>
  <c r="AB35" i="21"/>
  <c r="G125" i="21"/>
  <c r="J43" i="21"/>
  <c r="AC43" i="21"/>
  <c r="F43" i="21"/>
  <c r="AA43" i="21"/>
  <c r="H43" i="21"/>
  <c r="AB43" i="21"/>
  <c r="U36" i="21"/>
  <c r="S36" i="21"/>
  <c r="W36" i="21"/>
  <c r="S38" i="21"/>
  <c r="W38" i="21"/>
  <c r="U38" i="21"/>
  <c r="S32" i="21"/>
  <c r="AB27" i="21"/>
  <c r="U28" i="21"/>
  <c r="S28" i="21"/>
  <c r="M20" i="67"/>
  <c r="F34" i="67"/>
  <c r="F62" i="67"/>
  <c r="M20" i="15"/>
  <c r="A18" i="51"/>
  <c r="B13" i="72"/>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c r="C27" i="67"/>
  <c r="F64" i="67"/>
  <c r="F65" i="67"/>
  <c r="F66" i="67"/>
  <c r="Q71" i="67"/>
  <c r="B4" i="49"/>
  <c r="D4" i="49"/>
  <c r="F4" i="49"/>
  <c r="H4" i="49"/>
  <c r="B5" i="49"/>
  <c r="D5" i="49"/>
  <c r="F5" i="49"/>
  <c r="H5" i="49"/>
  <c r="B6" i="49"/>
  <c r="D6" i="49"/>
  <c r="F6" i="49"/>
  <c r="H6" i="49"/>
  <c r="B7" i="49"/>
  <c r="D7" i="49"/>
  <c r="F7" i="49"/>
  <c r="H7" i="49"/>
  <c r="F15" i="49"/>
  <c r="H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F7" i="67"/>
  <c r="D7" i="73"/>
  <c r="L48" i="67"/>
  <c r="F6" i="73"/>
  <c r="S40" i="21"/>
  <c r="AZ271" i="3"/>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c r="W11" i="35"/>
  <c r="AR7" i="1"/>
  <c r="AZ573" i="3"/>
  <c r="AZ370" i="3"/>
  <c r="AB9" i="33"/>
  <c r="U9" i="33"/>
  <c r="AC36" i="35"/>
  <c r="W36" i="35"/>
  <c r="AZ584" i="3"/>
  <c r="AA29" i="34"/>
  <c r="S29" i="34"/>
  <c r="C5" i="78"/>
  <c r="D5" i="78"/>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c r="F26" i="21"/>
  <c r="AA26" i="21"/>
  <c r="AQ9" i="1"/>
  <c r="AZ13" i="3"/>
  <c r="S29" i="21"/>
  <c r="U45" i="21"/>
  <c r="F30" i="69"/>
  <c r="F48" i="69"/>
  <c r="M18" i="15"/>
  <c r="K6" i="1"/>
  <c r="M6" i="1"/>
  <c r="AR9" i="1"/>
  <c r="AZ451" i="3"/>
  <c r="AZ133" i="3"/>
  <c r="AZ309" i="3"/>
  <c r="AZ261" i="3"/>
  <c r="AZ197" i="3"/>
  <c r="AZ117" i="3"/>
  <c r="AZ109" i="3"/>
  <c r="U9" i="35"/>
  <c r="W30" i="33"/>
  <c r="S14" i="33"/>
  <c r="F30" i="11"/>
  <c r="C48" i="11"/>
  <c r="AB27" i="34"/>
  <c r="S12" i="21"/>
  <c r="M18" i="67"/>
  <c r="F53" i="9"/>
  <c r="T11" i="1"/>
  <c r="H26" i="21"/>
  <c r="AB26" i="21"/>
  <c r="AZ530" i="3"/>
  <c r="AZ498" i="3"/>
  <c r="AZ466" i="3"/>
  <c r="AZ419" i="3"/>
  <c r="AZ387" i="3"/>
  <c r="AZ355" i="3"/>
  <c r="AZ343" i="3"/>
  <c r="AZ529" i="3"/>
  <c r="AZ497" i="3"/>
  <c r="AZ504" i="3"/>
  <c r="AZ439" i="3"/>
  <c r="S32" i="36"/>
  <c r="U23" i="35"/>
  <c r="S30" i="33"/>
  <c r="W9" i="21"/>
  <c r="F54" i="9"/>
  <c r="F32" i="15"/>
  <c r="F60" i="15"/>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c r="F48" i="9"/>
  <c r="O52" i="9"/>
  <c r="W14" i="34"/>
  <c r="U9" i="34"/>
  <c r="F28" i="15"/>
  <c r="D68" i="9"/>
  <c r="AQ12" i="1"/>
  <c r="AZ554" i="3"/>
  <c r="AZ490" i="3"/>
  <c r="AZ474" i="3"/>
  <c r="AZ458" i="3"/>
  <c r="AZ433" i="3"/>
  <c r="AZ369" i="3"/>
  <c r="AZ348" i="3"/>
  <c r="AZ332" i="3"/>
  <c r="AZ236" i="3"/>
  <c r="AZ104" i="3"/>
  <c r="AZ56" i="3"/>
  <c r="AZ403" i="3"/>
  <c r="AZ371" i="3"/>
  <c r="AZ170" i="3"/>
  <c r="F11" i="12"/>
  <c r="C23" i="12"/>
  <c r="S45" i="21"/>
  <c r="W29" i="21"/>
  <c r="U29" i="21"/>
  <c r="T12" i="1"/>
  <c r="AQ11" i="1"/>
  <c r="S13" i="39"/>
  <c r="S11" i="36"/>
  <c r="W9" i="35"/>
  <c r="U46" i="21"/>
  <c r="U12" i="33"/>
  <c r="C32" i="77"/>
  <c r="C38" i="77"/>
  <c r="C39" i="77"/>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c r="M7" i="67"/>
  <c r="J6" i="67"/>
  <c r="F31" i="67"/>
  <c r="G5" i="3"/>
  <c r="B3" i="3"/>
  <c r="E317" i="3"/>
  <c r="AZ477" i="3"/>
  <c r="AZ445" i="3"/>
  <c r="C33" i="21"/>
  <c r="AB33" i="21"/>
  <c r="F106" i="21"/>
  <c r="G106" i="21"/>
  <c r="H106" i="21"/>
  <c r="I106" i="21"/>
  <c r="J106" i="21"/>
  <c r="K106" i="21"/>
  <c r="L106" i="21"/>
  <c r="M106" i="21"/>
  <c r="F34" i="21"/>
  <c r="J34" i="21"/>
  <c r="AC34" i="21"/>
  <c r="U37" i="21"/>
  <c r="W37" i="21"/>
  <c r="AA37" i="21"/>
  <c r="E8" i="6"/>
  <c r="AZ364" i="3"/>
  <c r="AZ311" i="3"/>
  <c r="AZ338" i="3"/>
  <c r="AZ275" i="3"/>
  <c r="AZ303" i="3"/>
  <c r="E17" i="43"/>
  <c r="AB37" i="21"/>
  <c r="J26" i="21"/>
  <c r="AC26" i="21"/>
  <c r="S27" i="21"/>
  <c r="W42" i="21"/>
  <c r="W27" i="21"/>
  <c r="E13" i="6"/>
  <c r="E58" i="40"/>
  <c r="E10" i="6"/>
  <c r="F72" i="43"/>
  <c r="H80" i="43"/>
  <c r="U33" i="21"/>
  <c r="C15" i="12"/>
  <c r="E5" i="6"/>
  <c r="D19" i="12"/>
  <c r="C19" i="12"/>
  <c r="E12" i="6"/>
  <c r="E57" i="40"/>
  <c r="J26" i="35"/>
  <c r="AZ561" i="3"/>
  <c r="AZ553" i="3"/>
  <c r="AZ521" i="3"/>
  <c r="AZ167" i="3"/>
  <c r="AZ294" i="3"/>
  <c r="AZ191" i="3"/>
  <c r="AZ299" i="3"/>
  <c r="AZ195" i="3"/>
  <c r="E14" i="6"/>
  <c r="BL5" i="3"/>
  <c r="G29" i="6"/>
  <c r="G30" i="6"/>
  <c r="G31" i="6"/>
  <c r="AZ577" i="3"/>
  <c r="AZ427" i="3"/>
  <c r="AZ411" i="3"/>
  <c r="AZ395" i="3"/>
  <c r="AZ379" i="3"/>
  <c r="AZ363" i="3"/>
  <c r="AZ537" i="3"/>
  <c r="AZ505" i="3"/>
  <c r="AZ306" i="3"/>
  <c r="E11" i="6"/>
  <c r="E56" i="40"/>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c r="D10" i="52"/>
  <c r="S43" i="21"/>
  <c r="E72" i="43"/>
  <c r="B70" i="43"/>
  <c r="C28" i="43"/>
  <c r="C7" i="43"/>
  <c r="W36" i="39"/>
  <c r="AC36" i="39"/>
  <c r="S40" i="37"/>
  <c r="AA40" i="37"/>
  <c r="W31" i="39"/>
  <c r="AC31" i="39"/>
  <c r="AC23" i="35"/>
  <c r="W23" i="35"/>
  <c r="AB30" i="34"/>
  <c r="U30" i="34"/>
  <c r="AC12" i="34"/>
  <c r="W12" i="34"/>
  <c r="F26" i="35"/>
  <c r="T56" i="71"/>
  <c r="D56" i="71"/>
  <c r="C35" i="71"/>
  <c r="D34" i="71"/>
  <c r="D27" i="71"/>
  <c r="C26" i="71"/>
  <c r="D26" i="7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c r="S28" i="37"/>
  <c r="AA28" i="37"/>
  <c r="AA9" i="37"/>
  <c r="S9" i="37"/>
  <c r="AA31" i="33"/>
  <c r="S31" i="33"/>
  <c r="AA29" i="33"/>
  <c r="S29" i="33"/>
  <c r="AA27" i="33"/>
  <c r="S27" i="33"/>
  <c r="AA23" i="21"/>
  <c r="S23" i="21"/>
  <c r="AA19" i="21"/>
  <c r="S19" i="21"/>
  <c r="AA17" i="21"/>
  <c r="S17" i="21"/>
  <c r="AA15" i="21"/>
  <c r="S15" i="21"/>
  <c r="E26" i="77"/>
  <c r="E38" i="77"/>
  <c r="E39" i="77"/>
  <c r="C40" i="77"/>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c r="E17" i="71"/>
  <c r="E16" i="71"/>
  <c r="S16" i="71"/>
  <c r="B15" i="71"/>
  <c r="B14" i="71"/>
  <c r="B13" i="71"/>
  <c r="B12" i="71"/>
  <c r="D26" i="43"/>
  <c r="C2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G121" i="43"/>
  <c r="H121"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c r="U42" i="21"/>
  <c r="S42" i="21"/>
  <c r="W35" i="21"/>
  <c r="S35" i="21"/>
  <c r="AA35" i="21"/>
  <c r="W43" i="21"/>
  <c r="U43" i="21"/>
  <c r="U27" i="21"/>
  <c r="L58" i="67"/>
  <c r="Q73" i="67"/>
  <c r="I24" i="43"/>
  <c r="C24" i="43"/>
  <c r="G6" i="1"/>
  <c r="C7" i="40"/>
  <c r="C63" i="40"/>
  <c r="C7" i="39"/>
  <c r="C67" i="39"/>
  <c r="G23" i="43"/>
  <c r="C7" i="36"/>
  <c r="C46" i="36"/>
  <c r="C7" i="34"/>
  <c r="C59" i="34"/>
  <c r="J51" i="67"/>
  <c r="L60" i="67"/>
  <c r="Q66" i="67"/>
  <c r="M47" i="9"/>
  <c r="C7" i="35"/>
  <c r="C48" i="35"/>
  <c r="C7" i="37"/>
  <c r="C52" i="37"/>
  <c r="C7" i="33"/>
  <c r="C58" i="33"/>
  <c r="C7" i="21"/>
  <c r="C58" i="21"/>
  <c r="C42" i="1"/>
  <c r="J15" i="15"/>
  <c r="M29" i="15"/>
  <c r="F41" i="15"/>
  <c r="F5" i="73"/>
  <c r="M6" i="15"/>
  <c r="C36" i="69"/>
  <c r="F42" i="15"/>
  <c r="D6" i="73"/>
  <c r="M26" i="15"/>
  <c r="M22" i="15"/>
  <c r="F40" i="15"/>
  <c r="M28" i="15"/>
  <c r="D3" i="73"/>
  <c r="F3" i="73"/>
  <c r="C76" i="15"/>
  <c r="F26" i="15"/>
  <c r="F4" i="73"/>
  <c r="D5" i="73"/>
  <c r="M27" i="15"/>
  <c r="M8" i="15"/>
  <c r="L47" i="15"/>
  <c r="F6" i="15"/>
  <c r="L48" i="15"/>
  <c r="F36" i="15"/>
  <c r="M23" i="15"/>
  <c r="F7" i="15"/>
  <c r="F43" i="67"/>
  <c r="F43" i="15"/>
  <c r="F35" i="15"/>
  <c r="C14" i="15"/>
  <c r="F8" i="15"/>
  <c r="M9" i="15"/>
  <c r="F16" i="15"/>
  <c r="D4" i="73"/>
  <c r="M21" i="15"/>
  <c r="F9" i="15"/>
  <c r="M24" i="15"/>
  <c r="F7" i="73"/>
  <c r="F38" i="15"/>
  <c r="M29" i="67"/>
  <c r="F13" i="15"/>
  <c r="F37" i="15"/>
  <c r="C30" i="11"/>
  <c r="Q16" i="1"/>
  <c r="F27" i="68"/>
  <c r="E101" i="3"/>
  <c r="E60" i="40"/>
  <c r="E86" i="3"/>
  <c r="E22" i="3"/>
  <c r="G16" i="1"/>
  <c r="J10" i="39"/>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c r="F59" i="67"/>
  <c r="C59" i="67"/>
  <c r="J18" i="67"/>
  <c r="C31" i="67"/>
  <c r="E67" i="3"/>
  <c r="E544" i="3"/>
  <c r="E460" i="3"/>
  <c r="E503" i="3"/>
  <c r="E403" i="3"/>
  <c r="E356" i="3"/>
  <c r="E228" i="3"/>
  <c r="E338" i="3"/>
  <c r="E250" i="3"/>
  <c r="E166" i="3"/>
  <c r="E83" i="3"/>
  <c r="P6" i="3"/>
  <c r="W34" i="21"/>
  <c r="S34" i="21"/>
  <c r="AA34" i="21"/>
  <c r="E330" i="3"/>
  <c r="J19" i="67"/>
  <c r="D9" i="11"/>
  <c r="C9" i="11"/>
  <c r="W26" i="21"/>
  <c r="H79" i="43"/>
  <c r="D9" i="68"/>
  <c r="C9" i="68"/>
  <c r="E32" i="77"/>
  <c r="H77" i="43"/>
  <c r="AZ5" i="3"/>
  <c r="E3" i="6"/>
  <c r="E6" i="6"/>
  <c r="H73" i="43"/>
  <c r="H75" i="43"/>
  <c r="H74" i="43"/>
  <c r="H76" i="43"/>
  <c r="W26" i="35"/>
  <c r="AC26" i="35"/>
  <c r="D9" i="53"/>
  <c r="B25" i="72"/>
  <c r="B24" i="72"/>
  <c r="D6" i="52"/>
  <c r="D121" i="9"/>
  <c r="D7" i="52"/>
  <c r="K120" i="9"/>
  <c r="E29" i="6"/>
  <c r="AA26" i="35"/>
  <c r="S26" i="35"/>
  <c r="C27" i="15"/>
  <c r="J20" i="15"/>
  <c r="C18" i="15"/>
  <c r="C15" i="15"/>
  <c r="F64" i="15"/>
  <c r="F65" i="15"/>
  <c r="F69" i="15"/>
  <c r="F66" i="15"/>
  <c r="J57" i="15"/>
  <c r="J55" i="15"/>
  <c r="J58" i="15"/>
  <c r="Q50" i="15"/>
  <c r="J53" i="15"/>
  <c r="I54" i="15"/>
  <c r="Q71" i="15"/>
  <c r="F63" i="15"/>
  <c r="F31" i="15"/>
  <c r="C6" i="15"/>
  <c r="F51" i="15"/>
  <c r="M59" i="15"/>
  <c r="L59" i="15"/>
  <c r="N59" i="15"/>
  <c r="L58" i="15"/>
  <c r="F71" i="15"/>
  <c r="F68" i="15"/>
  <c r="F50" i="15"/>
  <c r="M7" i="15"/>
  <c r="J6" i="15"/>
  <c r="I1" i="73"/>
  <c r="B39" i="1"/>
  <c r="M11" i="67"/>
  <c r="J10" i="67"/>
  <c r="J5" i="67"/>
  <c r="B2" i="77"/>
  <c r="B3" i="77"/>
  <c r="C41" i="77"/>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K14" i="1"/>
  <c r="E30" i="6"/>
  <c r="E31" i="6"/>
  <c r="F27" i="11"/>
  <c r="F28" i="12"/>
  <c r="C32" i="71"/>
  <c r="D31" i="71"/>
  <c r="C40" i="71"/>
  <c r="D39" i="71"/>
  <c r="T44" i="71"/>
  <c r="D44" i="71"/>
  <c r="D20" i="53"/>
  <c r="B40" i="72"/>
  <c r="B38" i="72"/>
  <c r="N66" i="71"/>
  <c r="N65" i="71"/>
  <c r="C36" i="71"/>
  <c r="D35" i="71"/>
  <c r="S12" i="71"/>
  <c r="B11" i="71"/>
  <c r="B10" i="71"/>
  <c r="B9" i="71"/>
  <c r="B8" i="71"/>
  <c r="B7" i="71"/>
  <c r="B6" i="71"/>
  <c r="B5" i="71"/>
  <c r="V16" i="71"/>
  <c r="E15" i="71"/>
  <c r="E14" i="71"/>
  <c r="E13" i="71"/>
  <c r="E12" i="71"/>
  <c r="M23" i="43"/>
  <c r="D22" i="71"/>
  <c r="C21" i="71"/>
  <c r="F31" i="6"/>
  <c r="T59" i="21"/>
  <c r="U59" i="21"/>
  <c r="V59" i="21"/>
  <c r="D127" i="9"/>
  <c r="D13" i="52"/>
  <c r="D12" i="52"/>
  <c r="D116" i="43"/>
  <c r="Q57" i="67"/>
  <c r="Q60" i="67"/>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D52" i="37"/>
  <c r="E52" i="37"/>
  <c r="F52" i="37"/>
  <c r="G52" i="37"/>
  <c r="H52" i="37"/>
  <c r="I52" i="37"/>
  <c r="J52" i="37"/>
  <c r="K52" i="37"/>
  <c r="L52" i="37"/>
  <c r="M52" i="37"/>
  <c r="N52" i="37"/>
  <c r="O52" i="37"/>
  <c r="D59" i="34"/>
  <c r="E59" i="34"/>
  <c r="F59" i="34"/>
  <c r="G59" i="34"/>
  <c r="H59" i="34"/>
  <c r="I59" i="34"/>
  <c r="J59" i="34"/>
  <c r="K59" i="34"/>
  <c r="L59" i="34"/>
  <c r="M59" i="34"/>
  <c r="N59" i="34"/>
  <c r="O59" i="34"/>
  <c r="A1" i="79"/>
  <c r="P29" i="43"/>
  <c r="P25" i="43"/>
  <c r="O23" i="43"/>
  <c r="C23" i="43"/>
  <c r="P28" i="43"/>
  <c r="B66" i="40"/>
  <c r="P27" i="43"/>
  <c r="B70" i="39"/>
  <c r="P26" i="43"/>
  <c r="C65" i="40"/>
  <c r="D63" i="40"/>
  <c r="C36" i="11"/>
  <c r="C48" i="69"/>
  <c r="C30" i="69"/>
  <c r="C28" i="67"/>
  <c r="C28" i="15"/>
  <c r="C48" i="68"/>
  <c r="C31" i="12"/>
  <c r="C24" i="12"/>
  <c r="C13" i="12"/>
  <c r="C30" i="68"/>
  <c r="C77" i="9"/>
  <c r="C74" i="9"/>
  <c r="C36" i="68"/>
  <c r="D58" i="33"/>
  <c r="E58" i="33"/>
  <c r="F58" i="33"/>
  <c r="G58" i="33"/>
  <c r="H58" i="33"/>
  <c r="I58" i="33"/>
  <c r="J58" i="33"/>
  <c r="K58" i="33"/>
  <c r="L58" i="33"/>
  <c r="M58" i="33"/>
  <c r="N58" i="33"/>
  <c r="O58" i="33"/>
  <c r="D48" i="35"/>
  <c r="E48" i="35"/>
  <c r="F48" i="35"/>
  <c r="G48" i="35"/>
  <c r="H48" i="35"/>
  <c r="I48" i="35"/>
  <c r="J48" i="35"/>
  <c r="K48" i="35"/>
  <c r="L48" i="35"/>
  <c r="M48" i="35"/>
  <c r="N48" i="35"/>
  <c r="O48" i="35"/>
  <c r="L59" i="67"/>
  <c r="J57" i="67"/>
  <c r="J55" i="67"/>
  <c r="J58" i="67"/>
  <c r="Q50" i="67"/>
  <c r="J59" i="67"/>
  <c r="M59" i="67"/>
  <c r="N59" i="67"/>
  <c r="J53" i="67"/>
  <c r="J60" i="67"/>
  <c r="Q48" i="67"/>
  <c r="D46" i="36"/>
  <c r="E46" i="36"/>
  <c r="F46" i="36"/>
  <c r="G46" i="36"/>
  <c r="H46" i="36"/>
  <c r="I46" i="36"/>
  <c r="J46" i="36"/>
  <c r="K46" i="36"/>
  <c r="L46" i="36"/>
  <c r="M46" i="36"/>
  <c r="N46" i="36"/>
  <c r="O46" i="36"/>
  <c r="C69" i="39"/>
  <c r="D67" i="39"/>
  <c r="J10" i="40"/>
  <c r="H10" i="39"/>
  <c r="L56" i="67"/>
  <c r="C17" i="15"/>
  <c r="C16" i="67"/>
  <c r="C16" i="15"/>
  <c r="F27" i="69"/>
  <c r="D9" i="69"/>
  <c r="G1" i="73"/>
  <c r="C9" i="69"/>
  <c r="B29" i="1"/>
  <c r="C8" i="68"/>
  <c r="C5" i="68"/>
  <c r="H6" i="3"/>
  <c r="F10" i="40"/>
  <c r="AA10" i="40"/>
  <c r="H10" i="40"/>
  <c r="U10" i="40"/>
  <c r="F10" i="39"/>
  <c r="S10" i="39"/>
  <c r="AC6" i="3"/>
  <c r="E65" i="39"/>
  <c r="B40" i="1"/>
  <c r="F22" i="11"/>
  <c r="C23" i="11"/>
  <c r="AY6" i="3"/>
  <c r="AY585" i="3"/>
  <c r="H7" i="35"/>
  <c r="AB7" i="35"/>
  <c r="T38" i="35"/>
  <c r="G38" i="35"/>
  <c r="D37" i="11"/>
  <c r="C37" i="11"/>
  <c r="D19" i="11"/>
  <c r="C19" i="11"/>
  <c r="C20" i="11"/>
  <c r="D3" i="33"/>
  <c r="B3" i="33"/>
  <c r="D3" i="37"/>
  <c r="B3" i="37"/>
  <c r="D14" i="12"/>
  <c r="C14" i="12"/>
  <c r="C16" i="12"/>
  <c r="D3" i="34"/>
  <c r="B3" i="34"/>
  <c r="C17" i="4"/>
  <c r="B4" i="52"/>
  <c r="B43" i="72"/>
  <c r="E6" i="3"/>
  <c r="J7" i="34"/>
  <c r="W7" i="34"/>
  <c r="M11" i="15"/>
  <c r="J10" i="15"/>
  <c r="J5" i="15"/>
  <c r="F7" i="33"/>
  <c r="AA7" i="33"/>
  <c r="R48" i="33"/>
  <c r="L18" i="9"/>
  <c r="M18" i="9"/>
  <c r="B118" i="9"/>
  <c r="K15" i="1"/>
  <c r="K16" i="1"/>
  <c r="L19" i="6"/>
  <c r="L27" i="6"/>
  <c r="C29" i="12"/>
  <c r="D28" i="12"/>
  <c r="H7" i="33"/>
  <c r="U7" i="33"/>
  <c r="J7" i="21"/>
  <c r="J24" i="67"/>
  <c r="F11" i="67"/>
  <c r="C53" i="67"/>
  <c r="C48" i="67"/>
  <c r="C66" i="67"/>
  <c r="F11" i="15"/>
  <c r="C53" i="15"/>
  <c r="F59" i="15"/>
  <c r="C31" i="15"/>
  <c r="C19" i="15"/>
  <c r="C20" i="15"/>
  <c r="X59" i="21"/>
  <c r="Y59" i="21"/>
  <c r="W59" i="21"/>
  <c r="D21" i="71"/>
  <c r="C20" i="71"/>
  <c r="D10" i="11"/>
  <c r="C10" i="11"/>
  <c r="D10" i="68"/>
  <c r="D20" i="12"/>
  <c r="C20" i="12"/>
  <c r="T40" i="71"/>
  <c r="D40" i="71"/>
  <c r="T32" i="71"/>
  <c r="D32" i="71"/>
  <c r="C29" i="11"/>
  <c r="D27" i="11"/>
  <c r="C47" i="11"/>
  <c r="D45" i="11"/>
  <c r="K27" i="6"/>
  <c r="S6" i="1"/>
  <c r="J19" i="15"/>
  <c r="J18" i="15"/>
  <c r="H7" i="21"/>
  <c r="U7" i="21"/>
  <c r="V12" i="71"/>
  <c r="E11" i="71"/>
  <c r="E10" i="71"/>
  <c r="E9" i="71"/>
  <c r="E8" i="71"/>
  <c r="E7" i="71"/>
  <c r="E6" i="71"/>
  <c r="E5" i="71"/>
  <c r="T36" i="71"/>
  <c r="D36" i="71"/>
  <c r="C29" i="68"/>
  <c r="D27" i="68"/>
  <c r="F45" i="68"/>
  <c r="C47" i="68"/>
  <c r="D45" i="68"/>
  <c r="C47" i="69"/>
  <c r="D45" i="69"/>
  <c r="C29" i="69"/>
  <c r="D27" i="69"/>
  <c r="F45" i="69"/>
  <c r="M14" i="1"/>
  <c r="M17" i="15"/>
  <c r="J17" i="15"/>
  <c r="Q73" i="15"/>
  <c r="Q60" i="15"/>
  <c r="Q61" i="15"/>
  <c r="Q74" i="15"/>
  <c r="C49" i="15"/>
  <c r="L56" i="15"/>
  <c r="Q52" i="15"/>
  <c r="F1" i="15"/>
  <c r="AB10" i="39"/>
  <c r="U10" i="39"/>
  <c r="AC10" i="40"/>
  <c r="W10" i="40"/>
  <c r="D69" i="39"/>
  <c r="E67" i="39"/>
  <c r="H7" i="36"/>
  <c r="F7" i="36"/>
  <c r="Q61" i="67"/>
  <c r="Q74" i="67"/>
  <c r="F7" i="35"/>
  <c r="J7" i="35"/>
  <c r="J7" i="33"/>
  <c r="T7" i="43"/>
  <c r="V7" i="43"/>
  <c r="C33" i="43"/>
  <c r="T2" i="43"/>
  <c r="V2" i="43"/>
  <c r="T10" i="43"/>
  <c r="V10" i="43"/>
  <c r="T5" i="43"/>
  <c r="V5" i="43"/>
  <c r="T8" i="43"/>
  <c r="V8" i="43"/>
  <c r="T13" i="43"/>
  <c r="V13" i="43"/>
  <c r="T15" i="43"/>
  <c r="V15" i="43"/>
  <c r="C37" i="43"/>
  <c r="C39" i="43"/>
  <c r="C41" i="43"/>
  <c r="T11" i="43"/>
  <c r="V11" i="43"/>
  <c r="T4" i="43"/>
  <c r="V4" i="43"/>
  <c r="T12" i="43"/>
  <c r="V12" i="43"/>
  <c r="T3" i="43"/>
  <c r="V3" i="43"/>
  <c r="T6" i="43"/>
  <c r="V6" i="43"/>
  <c r="T9" i="43"/>
  <c r="V9" i="43"/>
  <c r="T14" i="43"/>
  <c r="V14" i="43"/>
  <c r="T16" i="43"/>
  <c r="V16" i="43"/>
  <c r="C38" i="43"/>
  <c r="C40" i="43"/>
  <c r="C42" i="43"/>
  <c r="F7" i="34"/>
  <c r="H7" i="34"/>
  <c r="H7" i="37"/>
  <c r="F7" i="37"/>
  <c r="F7" i="21"/>
  <c r="AC10" i="39"/>
  <c r="W10" i="39"/>
  <c r="J7" i="36"/>
  <c r="Q52" i="67"/>
  <c r="F1" i="67"/>
  <c r="D65" i="40"/>
  <c r="E63" i="40"/>
  <c r="AC7" i="34"/>
  <c r="V49" i="34"/>
  <c r="I49" i="34"/>
  <c r="J7" i="37"/>
  <c r="C14" i="67"/>
  <c r="AE6" i="1"/>
  <c r="D10" i="69"/>
  <c r="C34" i="69"/>
  <c r="C17" i="67"/>
  <c r="S10" i="40"/>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c r="G48" i="33"/>
  <c r="C25" i="11"/>
  <c r="C26" i="11"/>
  <c r="D22" i="11"/>
  <c r="F25" i="12"/>
  <c r="C26" i="12"/>
  <c r="D25" i="12"/>
  <c r="F22" i="69"/>
  <c r="C24" i="69"/>
  <c r="F24" i="67"/>
  <c r="C24" i="67"/>
  <c r="F22" i="68"/>
  <c r="C26" i="68"/>
  <c r="D22" i="68"/>
  <c r="F24" i="15"/>
  <c r="C24" i="15"/>
  <c r="L36" i="43"/>
  <c r="Q36" i="43"/>
  <c r="C44" i="11"/>
  <c r="D41" i="11"/>
  <c r="AY371" i="3"/>
  <c r="AY411" i="3"/>
  <c r="AY187" i="3"/>
  <c r="AY235" i="3"/>
  <c r="AY275" i="3"/>
  <c r="AY315" i="3"/>
  <c r="AY362" i="3"/>
  <c r="AY402" i="3"/>
  <c r="AY442" i="3"/>
  <c r="AY490" i="3"/>
  <c r="AY530" i="3"/>
  <c r="AY570" i="3"/>
  <c r="AY461" i="3"/>
  <c r="AY501" i="3"/>
  <c r="AY541" i="3"/>
  <c r="D3" i="6"/>
  <c r="D11"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c r="C18" i="12"/>
  <c r="AB7" i="21"/>
  <c r="T48" i="21"/>
  <c r="G48" i="21"/>
  <c r="G52" i="21"/>
  <c r="H52" i="21"/>
  <c r="C10" i="67"/>
  <c r="C5" i="67"/>
  <c r="C38" i="67"/>
  <c r="C10" i="15"/>
  <c r="C5" i="15"/>
  <c r="C38" i="15"/>
  <c r="C26" i="15"/>
  <c r="J26" i="15"/>
  <c r="J29" i="15"/>
  <c r="J24" i="15"/>
  <c r="C18" i="67"/>
  <c r="C15" i="67"/>
  <c r="C35" i="69"/>
  <c r="C38" i="69"/>
  <c r="I19" i="6"/>
  <c r="C10" i="69"/>
  <c r="C8" i="69"/>
  <c r="D19" i="69"/>
  <c r="D37" i="69"/>
  <c r="C37" i="69"/>
  <c r="Z59" i="21"/>
  <c r="AA59" i="21"/>
  <c r="AB59" i="21"/>
  <c r="M16" i="1"/>
  <c r="S16" i="1"/>
  <c r="AR6" i="1"/>
  <c r="AQ6" i="1"/>
  <c r="T6" i="1"/>
  <c r="T16" i="1"/>
  <c r="E6" i="70"/>
  <c r="E2" i="70"/>
  <c r="C28" i="11"/>
  <c r="C27" i="11"/>
  <c r="C10" i="68"/>
  <c r="D19" i="68"/>
  <c r="T20" i="71"/>
  <c r="D20" i="71"/>
  <c r="U20" i="71"/>
  <c r="C19" i="71"/>
  <c r="C48" i="15"/>
  <c r="C66" i="15"/>
  <c r="AC7" i="37"/>
  <c r="V42" i="37"/>
  <c r="I42" i="37"/>
  <c r="W7" i="37"/>
  <c r="R49" i="33"/>
  <c r="E48" i="33"/>
  <c r="S7" i="21"/>
  <c r="AA7" i="21"/>
  <c r="R48" i="21"/>
  <c r="U7" i="37"/>
  <c r="AB7" i="37"/>
  <c r="T42" i="37"/>
  <c r="G42" i="37"/>
  <c r="S7" i="34"/>
  <c r="AA7" i="34"/>
  <c r="R49" i="34"/>
  <c r="E40" i="43"/>
  <c r="G40" i="43"/>
  <c r="I40" i="43"/>
  <c r="E41" i="43"/>
  <c r="G41" i="43"/>
  <c r="I41" i="43"/>
  <c r="E37" i="43"/>
  <c r="G37" i="43"/>
  <c r="I37" i="43"/>
  <c r="AC7" i="33"/>
  <c r="V48" i="33"/>
  <c r="I48" i="33"/>
  <c r="W7" i="33"/>
  <c r="AA7" i="35"/>
  <c r="R38" i="35"/>
  <c r="S7" i="35"/>
  <c r="U7" i="36"/>
  <c r="AB7" i="36"/>
  <c r="T36" i="36"/>
  <c r="G36" i="36"/>
  <c r="I53" i="34"/>
  <c r="J53" i="34"/>
  <c r="E65" i="40"/>
  <c r="F63" i="40"/>
  <c r="G52" i="33"/>
  <c r="H52" i="33"/>
  <c r="G42" i="35"/>
  <c r="H42" i="35"/>
  <c r="AC7" i="36"/>
  <c r="V36" i="36"/>
  <c r="I36" i="36"/>
  <c r="W7" i="36"/>
  <c r="W7" i="21"/>
  <c r="AC7" i="21"/>
  <c r="AA7" i="37"/>
  <c r="R42" i="37"/>
  <c r="S7" i="37"/>
  <c r="AB7" i="34"/>
  <c r="T49" i="34"/>
  <c r="G49" i="34"/>
  <c r="U7" i="34"/>
  <c r="E42" i="43"/>
  <c r="G42" i="43"/>
  <c r="I42" i="43"/>
  <c r="E38" i="43"/>
  <c r="G38" i="43"/>
  <c r="I38" i="43"/>
  <c r="E39" i="43"/>
  <c r="G39" i="43"/>
  <c r="I39" i="43"/>
  <c r="E33" i="43"/>
  <c r="C34" i="43"/>
  <c r="E34" i="43"/>
  <c r="AC7" i="35"/>
  <c r="V38" i="35"/>
  <c r="I38" i="35"/>
  <c r="W7" i="35"/>
  <c r="AA7" i="36"/>
  <c r="R36" i="36"/>
  <c r="S7" i="36"/>
  <c r="E69" i="39"/>
  <c r="F67" i="39"/>
  <c r="F41" i="67"/>
  <c r="D25" i="6"/>
  <c r="G53" i="33"/>
  <c r="H53" i="33"/>
  <c r="V48" i="21"/>
  <c r="I48" i="21"/>
  <c r="D15" i="6"/>
  <c r="D21" i="6"/>
  <c r="D8" i="6"/>
  <c r="D23" i="6"/>
  <c r="F41" i="68"/>
  <c r="M36" i="43"/>
  <c r="C22" i="11"/>
  <c r="C31" i="11"/>
  <c r="C23" i="15"/>
  <c r="C29" i="15"/>
  <c r="Q49" i="15"/>
  <c r="O36" i="43"/>
  <c r="C44" i="69"/>
  <c r="D41" i="69"/>
  <c r="P36" i="43"/>
  <c r="F41" i="69"/>
  <c r="C44" i="68"/>
  <c r="D41" i="68"/>
  <c r="C23" i="68"/>
  <c r="C26" i="69"/>
  <c r="D22" i="69"/>
  <c r="L37" i="43"/>
  <c r="Q37" i="43"/>
  <c r="N36" i="43"/>
  <c r="D28" i="6"/>
  <c r="D20" i="6"/>
  <c r="D29" i="6"/>
  <c r="H24" i="6"/>
  <c r="D22" i="6"/>
  <c r="D9" i="6"/>
  <c r="D14" i="6"/>
  <c r="D6" i="6"/>
  <c r="H26" i="6"/>
  <c r="D24" i="6"/>
  <c r="H21" i="6"/>
  <c r="D5" i="6"/>
  <c r="D13" i="6"/>
  <c r="C18" i="4"/>
  <c r="H22" i="6"/>
  <c r="E61" i="40"/>
  <c r="D26" i="6"/>
  <c r="R26" i="6"/>
  <c r="H23" i="6"/>
  <c r="H20" i="6"/>
  <c r="L19" i="9"/>
  <c r="D12" i="6"/>
  <c r="M19" i="9"/>
  <c r="C118" i="9"/>
  <c r="H25" i="6"/>
  <c r="R25" i="6"/>
  <c r="D19" i="6"/>
  <c r="D10" i="6"/>
  <c r="C21" i="12"/>
  <c r="C22" i="12"/>
  <c r="C27" i="12"/>
  <c r="C25" i="12"/>
  <c r="C30" i="43"/>
  <c r="B2" i="43"/>
  <c r="C31" i="43"/>
  <c r="C19" i="67"/>
  <c r="C20" i="67"/>
  <c r="C23" i="67"/>
  <c r="C33" i="69"/>
  <c r="C39" i="69"/>
  <c r="C43" i="69"/>
  <c r="C19" i="68"/>
  <c r="D37" i="68"/>
  <c r="C37" i="68"/>
  <c r="N16" i="1"/>
  <c r="L16" i="1"/>
  <c r="C34" i="68"/>
  <c r="C34" i="11"/>
  <c r="I27" i="6"/>
  <c r="S19" i="6"/>
  <c r="S27" i="6"/>
  <c r="H19" i="6"/>
  <c r="C18" i="71"/>
  <c r="D19" i="71"/>
  <c r="F69" i="67"/>
  <c r="F65" i="40"/>
  <c r="G63" i="40"/>
  <c r="E38" i="35"/>
  <c r="I43" i="35"/>
  <c r="J43" i="35"/>
  <c r="R39" i="35"/>
  <c r="I53" i="33"/>
  <c r="J53" i="33"/>
  <c r="I52" i="33"/>
  <c r="J52" i="33"/>
  <c r="C48" i="33"/>
  <c r="C49" i="33"/>
  <c r="I46" i="37"/>
  <c r="J46" i="37"/>
  <c r="F69" i="39"/>
  <c r="G67" i="39"/>
  <c r="R37" i="36"/>
  <c r="E36" i="36"/>
  <c r="I41" i="36"/>
  <c r="J41" i="36"/>
  <c r="I42" i="35"/>
  <c r="J42" i="35"/>
  <c r="C7" i="69"/>
  <c r="C5" i="69"/>
  <c r="G54" i="34"/>
  <c r="H54" i="34"/>
  <c r="G53" i="34"/>
  <c r="H53" i="34"/>
  <c r="R43" i="37"/>
  <c r="E42" i="37"/>
  <c r="I40" i="36"/>
  <c r="J40" i="36"/>
  <c r="G43" i="35"/>
  <c r="H43" i="35"/>
  <c r="G41" i="36"/>
  <c r="H41" i="36"/>
  <c r="G40" i="36"/>
  <c r="H40" i="36"/>
  <c r="R50" i="34"/>
  <c r="E49" i="34"/>
  <c r="G47" i="37"/>
  <c r="H47" i="37"/>
  <c r="G46" i="37"/>
  <c r="H46" i="37"/>
  <c r="E48" i="21"/>
  <c r="E53" i="33"/>
  <c r="F53" i="33"/>
  <c r="E52" i="33"/>
  <c r="F52" i="33"/>
  <c r="E6" i="76"/>
  <c r="B6" i="76"/>
  <c r="R49" i="21"/>
  <c r="C48" i="21"/>
  <c r="G53" i="21"/>
  <c r="H53" i="21"/>
  <c r="I52" i="21"/>
  <c r="J52" i="21"/>
  <c r="R21" i="6"/>
  <c r="D16" i="6"/>
  <c r="R23" i="6"/>
  <c r="R24" i="6"/>
  <c r="O37" i="43"/>
  <c r="P37" i="43"/>
  <c r="M37" i="43"/>
  <c r="N37" i="43"/>
  <c r="R20" i="6"/>
  <c r="R22" i="6"/>
  <c r="D30" i="6"/>
  <c r="D27" i="6"/>
  <c r="A10" i="51"/>
  <c r="B9" i="72"/>
  <c r="C4" i="52"/>
  <c r="B45" i="72"/>
  <c r="A7" i="51"/>
  <c r="B7" i="72"/>
  <c r="C30" i="12"/>
  <c r="C28" i="12"/>
  <c r="C32" i="12"/>
  <c r="B2" i="12"/>
  <c r="B3" i="12"/>
  <c r="J14" i="15"/>
  <c r="J22" i="15"/>
  <c r="E2" i="76"/>
  <c r="J59" i="15"/>
  <c r="J60" i="15"/>
  <c r="Q48" i="15"/>
  <c r="C57" i="15"/>
  <c r="C64" i="15"/>
  <c r="C13" i="15"/>
  <c r="C37" i="15"/>
  <c r="C36" i="15"/>
  <c r="C42" i="69"/>
  <c r="C41" i="69"/>
  <c r="C26" i="67"/>
  <c r="C29" i="67"/>
  <c r="D18" i="71"/>
  <c r="C17" i="71"/>
  <c r="C35" i="11"/>
  <c r="C38" i="11"/>
  <c r="C46" i="69"/>
  <c r="C45" i="69"/>
  <c r="H27" i="6"/>
  <c r="R19" i="6"/>
  <c r="C35" i="68"/>
  <c r="C38" i="68"/>
  <c r="F50" i="69"/>
  <c r="F50" i="68"/>
  <c r="F50" i="11"/>
  <c r="C20" i="68"/>
  <c r="C28" i="68"/>
  <c r="C27" i="68"/>
  <c r="C24" i="68"/>
  <c r="B2" i="76"/>
  <c r="C50" i="34"/>
  <c r="C49" i="34"/>
  <c r="C42" i="37"/>
  <c r="C43" i="37"/>
  <c r="C20" i="69"/>
  <c r="C25" i="69"/>
  <c r="C23" i="69"/>
  <c r="E41" i="36"/>
  <c r="F41" i="36"/>
  <c r="E40" i="36"/>
  <c r="F40" i="36"/>
  <c r="E53" i="21"/>
  <c r="F53" i="21"/>
  <c r="E52" i="21"/>
  <c r="F52" i="21"/>
  <c r="E54" i="34"/>
  <c r="F54" i="34"/>
  <c r="E53" i="34"/>
  <c r="F53" i="34"/>
  <c r="I54" i="34"/>
  <c r="J54" i="34"/>
  <c r="E47" i="37"/>
  <c r="F47" i="37"/>
  <c r="E46" i="37"/>
  <c r="F46" i="37"/>
  <c r="B3" i="43"/>
  <c r="C36" i="36"/>
  <c r="C37" i="36"/>
  <c r="I47" i="37"/>
  <c r="J47" i="37"/>
  <c r="C38" i="35"/>
  <c r="C39" i="35"/>
  <c r="M3" i="35"/>
  <c r="G65" i="40"/>
  <c r="H63" i="40"/>
  <c r="G69" i="39"/>
  <c r="H67" i="39"/>
  <c r="E43" i="35"/>
  <c r="F43" i="35"/>
  <c r="E42" i="35"/>
  <c r="F42" i="35"/>
  <c r="I53" i="21"/>
  <c r="J53" i="21"/>
  <c r="C49" i="21"/>
  <c r="D31" i="6"/>
  <c r="B3" i="76"/>
  <c r="J13" i="15"/>
  <c r="J23" i="15"/>
  <c r="J16" i="15"/>
  <c r="J25" i="15"/>
  <c r="Q70" i="15"/>
  <c r="C33" i="11"/>
  <c r="C39" i="11"/>
  <c r="C30" i="15"/>
  <c r="C39" i="15"/>
  <c r="Q69" i="15"/>
  <c r="C75" i="15"/>
  <c r="C56" i="15"/>
  <c r="C65" i="15"/>
  <c r="C58" i="15"/>
  <c r="C67" i="15"/>
  <c r="C68" i="15"/>
  <c r="C71" i="15"/>
  <c r="L46" i="15"/>
  <c r="C28" i="69"/>
  <c r="C27" i="69"/>
  <c r="C49" i="69"/>
  <c r="C51" i="69"/>
  <c r="C33" i="68"/>
  <c r="C39" i="68"/>
  <c r="C43" i="68"/>
  <c r="R6" i="1"/>
  <c r="R27" i="6"/>
  <c r="C25" i="68"/>
  <c r="C22" i="68"/>
  <c r="C31" i="68"/>
  <c r="D17" i="71"/>
  <c r="C16" i="71"/>
  <c r="C57" i="67"/>
  <c r="C64" i="67"/>
  <c r="C36" i="67"/>
  <c r="C13" i="67"/>
  <c r="Q49" i="67"/>
  <c r="J14" i="67"/>
  <c r="C22" i="69"/>
  <c r="B2" i="21"/>
  <c r="H69" i="39"/>
  <c r="I67" i="39"/>
  <c r="H65" i="40"/>
  <c r="I63" i="40"/>
  <c r="F35" i="67"/>
  <c r="M21" i="67"/>
  <c r="D19" i="9"/>
  <c r="B3" i="21"/>
  <c r="I6" i="6"/>
  <c r="I5" i="6"/>
  <c r="Q68" i="15"/>
  <c r="C40" i="15"/>
  <c r="Q56" i="15"/>
  <c r="C43" i="11"/>
  <c r="C46" i="11"/>
  <c r="C45" i="11"/>
  <c r="C42" i="11"/>
  <c r="C80" i="15"/>
  <c r="C79" i="15"/>
  <c r="C31" i="69"/>
  <c r="C52" i="69"/>
  <c r="B2" i="69"/>
  <c r="C42" i="68"/>
  <c r="C41" i="68"/>
  <c r="C46" i="68"/>
  <c r="C45" i="68"/>
  <c r="J20" i="67"/>
  <c r="F63" i="67"/>
  <c r="J22" i="67"/>
  <c r="J13" i="67"/>
  <c r="J23" i="67"/>
  <c r="C75" i="67"/>
  <c r="Q70" i="67"/>
  <c r="C37" i="67"/>
  <c r="C30" i="67"/>
  <c r="C39" i="67"/>
  <c r="C56" i="67"/>
  <c r="C65" i="67"/>
  <c r="C58" i="67"/>
  <c r="C67" i="67"/>
  <c r="C68" i="67"/>
  <c r="R16" i="1"/>
  <c r="T16" i="71"/>
  <c r="D16" i="71"/>
  <c r="U16" i="71"/>
  <c r="C15" i="71"/>
  <c r="D21" i="9"/>
  <c r="D102" i="9"/>
  <c r="I65" i="40"/>
  <c r="J63" i="40"/>
  <c r="I69" i="39"/>
  <c r="J67" i="39"/>
  <c r="L51" i="15"/>
  <c r="D20" i="9"/>
  <c r="B3" i="69"/>
  <c r="D103" i="9"/>
  <c r="Q65" i="15"/>
  <c r="C41" i="11"/>
  <c r="C49" i="11"/>
  <c r="C51" i="11"/>
  <c r="C52" i="11"/>
  <c r="B2" i="11"/>
  <c r="B3" i="11"/>
  <c r="C83" i="15"/>
  <c r="C82" i="15"/>
  <c r="C43" i="15"/>
  <c r="C46" i="15"/>
  <c r="Q47" i="15"/>
  <c r="Q53" i="15"/>
  <c r="B2" i="15"/>
  <c r="B3" i="15"/>
  <c r="L57" i="15"/>
  <c r="L60" i="15"/>
  <c r="Q67" i="15"/>
  <c r="C49" i="68"/>
  <c r="C51" i="68"/>
  <c r="C52" i="68"/>
  <c r="B2" i="68"/>
  <c r="B3" i="68"/>
  <c r="C57" i="69"/>
  <c r="C56" i="69"/>
  <c r="J16" i="67"/>
  <c r="J25" i="67"/>
  <c r="J26" i="67"/>
  <c r="J29" i="67"/>
  <c r="C71" i="67"/>
  <c r="D15" i="71"/>
  <c r="C14" i="71"/>
  <c r="C40" i="67"/>
  <c r="Q69" i="67"/>
  <c r="Q68" i="67"/>
  <c r="C80" i="67"/>
  <c r="C79" i="67"/>
  <c r="J69" i="39"/>
  <c r="K67" i="39"/>
  <c r="J65" i="40"/>
  <c r="K63" i="40"/>
  <c r="L51" i="67"/>
  <c r="Q66" i="15"/>
  <c r="Q75" i="15"/>
  <c r="Q57" i="15"/>
  <c r="Q62" i="15"/>
  <c r="C57" i="68"/>
  <c r="C56" i="68"/>
  <c r="C56" i="11"/>
  <c r="C57" i="11"/>
  <c r="L57" i="67"/>
  <c r="Q67" i="67"/>
  <c r="C43" i="67"/>
  <c r="Q65" i="67"/>
  <c r="Q75" i="67"/>
  <c r="D2" i="67"/>
  <c r="Q56" i="67"/>
  <c r="Q62" i="67"/>
  <c r="C83" i="67"/>
  <c r="C82" i="67"/>
  <c r="Q47" i="67"/>
  <c r="Q53" i="67"/>
  <c r="D14" i="71"/>
  <c r="C13" i="71"/>
  <c r="C45" i="67"/>
  <c r="C46" i="67"/>
  <c r="K65" i="40"/>
  <c r="L63" i="40"/>
  <c r="K69" i="39"/>
  <c r="L67" i="39"/>
  <c r="D13" i="71"/>
  <c r="C12" i="71"/>
  <c r="B2" i="67"/>
  <c r="B3" i="67"/>
  <c r="L69" i="39"/>
  <c r="M67" i="39"/>
  <c r="L65" i="40"/>
  <c r="M63" i="40"/>
  <c r="C20" i="9"/>
  <c r="AO6" i="1"/>
  <c r="C19" i="9"/>
  <c r="G20" i="9"/>
  <c r="C103" i="9"/>
  <c r="B6" i="70"/>
  <c r="B2" i="70"/>
  <c r="B3" i="70"/>
  <c r="C21" i="9"/>
  <c r="C102" i="9"/>
  <c r="D22" i="9"/>
  <c r="T12" i="71"/>
  <c r="D12" i="71"/>
  <c r="U12" i="71"/>
  <c r="C11" i="71"/>
  <c r="M65" i="40"/>
  <c r="N63" i="40"/>
  <c r="M69" i="39"/>
  <c r="N67" i="39"/>
  <c r="I20" i="9"/>
  <c r="I21" i="9"/>
  <c r="G19" i="9"/>
  <c r="E14" i="74"/>
  <c r="D14" i="74"/>
  <c r="C32" i="9"/>
  <c r="C35" i="9"/>
  <c r="C34" i="9"/>
  <c r="D11" i="71"/>
  <c r="C10" i="71"/>
  <c r="N69" i="39"/>
  <c r="O67" i="39"/>
  <c r="O69" i="39"/>
  <c r="N65" i="40"/>
  <c r="O63" i="40"/>
  <c r="O65" i="40"/>
  <c r="D30" i="9"/>
  <c r="C30" i="9"/>
  <c r="D10" i="71"/>
  <c r="C9" i="71"/>
  <c r="G24" i="9"/>
  <c r="F14" i="74"/>
  <c r="B5" i="74"/>
  <c r="D5" i="74"/>
  <c r="G21" i="9"/>
  <c r="F7" i="39"/>
  <c r="H7" i="39"/>
  <c r="J7" i="39"/>
  <c r="J7" i="40"/>
  <c r="F7" i="40"/>
  <c r="H7" i="40"/>
  <c r="D9" i="71"/>
  <c r="C8" i="71"/>
  <c r="U7" i="40"/>
  <c r="AB7" i="40"/>
  <c r="T42" i="40"/>
  <c r="G42" i="40"/>
  <c r="AC7" i="40"/>
  <c r="V42" i="40"/>
  <c r="I42" i="40"/>
  <c r="W7" i="40"/>
  <c r="AB7" i="39"/>
  <c r="T47" i="39"/>
  <c r="G47" i="39"/>
  <c r="U7" i="39"/>
  <c r="AA7" i="40"/>
  <c r="R42" i="40"/>
  <c r="S7" i="40"/>
  <c r="W7" i="39"/>
  <c r="AC7" i="39"/>
  <c r="V47" i="39"/>
  <c r="I47" i="39"/>
  <c r="S7" i="39"/>
  <c r="AA7" i="39"/>
  <c r="R47" i="39"/>
  <c r="D8" i="71"/>
  <c r="C7" i="71"/>
  <c r="R48" i="39"/>
  <c r="E47" i="39"/>
  <c r="I52" i="39"/>
  <c r="J52" i="39"/>
  <c r="I51" i="39"/>
  <c r="J51" i="39"/>
  <c r="G46" i="40"/>
  <c r="H46" i="40"/>
  <c r="G47" i="40"/>
  <c r="H47" i="40"/>
  <c r="R43" i="40"/>
  <c r="E42" i="40"/>
  <c r="I47" i="40"/>
  <c r="J47" i="40"/>
  <c r="G52" i="39"/>
  <c r="H52" i="39"/>
  <c r="G51" i="39"/>
  <c r="H51" i="39"/>
  <c r="I46" i="40"/>
  <c r="J46" i="40"/>
  <c r="D7" i="71"/>
  <c r="C6" i="71"/>
  <c r="E47" i="40"/>
  <c r="F47" i="40"/>
  <c r="E46" i="40"/>
  <c r="F46" i="40"/>
  <c r="E52" i="39"/>
  <c r="F52" i="39"/>
  <c r="E51" i="39"/>
  <c r="F51" i="39"/>
  <c r="C43" i="40"/>
  <c r="C42" i="40"/>
  <c r="C48" i="39"/>
  <c r="C47" i="39"/>
  <c r="D6" i="71"/>
  <c r="C5" i="71"/>
  <c r="B64" i="39"/>
  <c r="F64" i="39"/>
  <c r="B63" i="39"/>
  <c r="F63" i="39"/>
  <c r="B62" i="39"/>
  <c r="F62" i="39"/>
  <c r="B61" i="39"/>
  <c r="F61" i="39"/>
  <c r="B60" i="39"/>
  <c r="F60" i="39"/>
  <c r="B58" i="39"/>
  <c r="F58" i="39"/>
  <c r="B56" i="39"/>
  <c r="F56" i="39"/>
  <c r="F65" i="39"/>
  <c r="B2" i="39"/>
  <c r="B3" i="39"/>
  <c r="B59" i="39"/>
  <c r="F59" i="39"/>
  <c r="B57" i="39"/>
  <c r="F57" i="39"/>
  <c r="B60" i="40"/>
  <c r="F60" i="40"/>
  <c r="B59" i="40"/>
  <c r="F59" i="40"/>
  <c r="B58" i="40"/>
  <c r="F58" i="40"/>
  <c r="B57" i="40"/>
  <c r="F57" i="40"/>
  <c r="B56" i="40"/>
  <c r="F56" i="40"/>
  <c r="B53" i="40"/>
  <c r="F53" i="40"/>
  <c r="B51" i="40"/>
  <c r="F51" i="40"/>
  <c r="F61" i="40"/>
  <c r="B2" i="40"/>
  <c r="B3" i="40"/>
  <c r="B54" i="40"/>
  <c r="F54" i="40"/>
  <c r="B52" i="40"/>
  <c r="F52" i="40"/>
  <c r="D5" i="71"/>
  <c r="M24" i="43"/>
  <c r="C5" i="74"/>
  <c r="N61" i="9"/>
  <c r="N59" i="9"/>
  <c r="N60" i="9"/>
  <c r="I4" i="52"/>
  <c r="C105" i="9"/>
  <c r="P57" i="9"/>
  <c r="D55" i="9"/>
  <c r="M53" i="9"/>
  <c r="N57" i="9"/>
  <c r="N58" i="9"/>
  <c r="C86" i="9"/>
  <c r="C93" i="9"/>
  <c r="D52" i="9"/>
  <c r="D53" i="9"/>
  <c r="B31" i="72"/>
  <c r="D15" i="53"/>
  <c r="C96" i="9"/>
  <c r="E96" i="9"/>
  <c r="E97" i="9"/>
  <c r="D8" i="52"/>
  <c r="B20" i="72"/>
  <c r="M48" i="9"/>
  <c r="C104" i="9"/>
  <c r="H4" i="52"/>
  <c r="H108" i="9"/>
  <c r="C6" i="74"/>
  <c r="H119" i="9"/>
  <c r="H5" i="52"/>
  <c r="D59" i="9"/>
  <c r="M55" i="9"/>
  <c r="D119" i="9"/>
  <c r="D5" i="52"/>
  <c r="B49" i="72"/>
  <c r="F4" i="52"/>
  <c r="B51" i="72"/>
  <c r="C85" i="9"/>
  <c r="C95" i="9"/>
  <c r="C97" i="9"/>
  <c r="D58" i="9"/>
  <c r="D56" i="9"/>
  <c r="M54" i="9"/>
  <c r="C81" i="9"/>
  <c r="C64" i="9"/>
  <c r="C63" i="9"/>
  <c r="C67" i="9"/>
  <c r="C68" i="9"/>
  <c r="D54" i="9"/>
  <c r="B48" i="72"/>
  <c r="E4" i="52"/>
  <c r="F119" i="9"/>
  <c r="F5" i="52"/>
  <c r="B53" i="72"/>
  <c r="B30" i="72"/>
  <c r="H102" i="9"/>
  <c r="D7" i="53"/>
  <c r="B21" i="72"/>
  <c r="D122" i="9"/>
  <c r="D123" i="9"/>
  <c r="D9" i="52"/>
  <c r="E118" i="9"/>
  <c r="D118" i="9"/>
  <c r="D4" i="52"/>
  <c r="B47" i="72"/>
  <c r="D5" i="53"/>
  <c r="D6" i="53"/>
  <c r="B22" i="72"/>
  <c r="F118" i="9"/>
  <c r="G118" i="9"/>
  <c r="G4" i="52"/>
  <c r="B52" i="72"/>
  <c r="C78" i="9"/>
  <c r="C73" i="9"/>
  <c r="H107" i="9"/>
  <c r="D13" i="53"/>
  <c r="D14" i="53"/>
  <c r="B32"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<sst xmlns="http://schemas.openxmlformats.org/spreadsheetml/2006/main" count="8490" uniqueCount="3844">
  <si>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</si>
  <si>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</si>
  <si>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</si>
  <si>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</si>
  <si>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</si>
  <si>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</si>
  <si>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</si>
  <si>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</si>
  <si>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</si>
  <si>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</si>
  <si>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</si>
  <si>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</si>
  <si>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</si>
  <si>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</si>
  <si>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</si>
  <si>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</si>
  <si>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</si>
  <si>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</si>
  <si>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</si>
  <si>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</si>
  <si>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</si>
  <si>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</si>
  <si>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</si>
  <si>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</si>
  <si>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</si>
  <si>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</si>
  <si>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</si>
  <si>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</si>
  <si>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</si>
  <si>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</si>
  <si>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</si>
  <si>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</si>
  <si>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</si>
  <si>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</si>
  <si>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</si>
  <si>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</si>
  <si>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</si>
  <si>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</si>
  <si>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</si>
  <si>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</si>
  <si>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</si>
  <si>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</si>
  <si>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</si>
  <si>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</si>
  <si>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</si>
  <si>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</si>
  <si>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</si>
  <si>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</si>
  <si>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</si>
  <si>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</si>
  <si>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</si>
  <si>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</si>
  <si>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</si>
  <si>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</si>
  <si>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</si>
  <si>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</si>
  <si>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</si>
  <si>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</si>
  <si>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</si>
  <si>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</si>
  <si>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</si>
  <si>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</si>
  <si>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</si>
  <si>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</si>
  <si>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</si>
  <si>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</si>
  <si>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</si>
  <si>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</si>
  <si>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</si>
  <si>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</si>
  <si>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</si>
  <si>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</si>
  <si>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</si>
  <si>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</si>
  <si>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</si>
  <si>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</si>
  <si>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</si>
  <si>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</si>
  <si>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</si>
  <si>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</si>
  <si>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</si>
  <si>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</si>
  <si>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</si>
  <si>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</si>
  <si>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</si>
  <si>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</si>
  <si>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</si>
  <si>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</si>
  <si>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</si>
  <si>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</si>
  <si>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</si>
  <si>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</si>
  <si>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</si>
  <si>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</si>
  <si>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</si>
  <si>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</si>
  <si>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</si>
  <si>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</si>
  <si>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</si>
  <si>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</si>
  <si>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</si>
  <si>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</si>
  <si>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</si>
  <si>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</si>
  <si>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</si>
  <si>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</si>
  <si>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</si>
  <si>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</si>
  <si>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</si>
  <si>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</si>
  <si>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</si>
  <si>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</si>
  <si>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</si>
  <si>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</si>
  <si>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</si>
  <si>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</si>
  <si>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</si>
  <si>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</si>
  <si>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</si>
  <si>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</si>
  <si>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</si>
  <si>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</si>
  <si>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</si>
  <si>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</si>
  <si>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</si>
  <si>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</si>
  <si>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</si>
  <si>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</si>
  <si>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</si>
  <si>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</si>
  <si>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</si>
  <si>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</si>
  <si>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</si>
  <si>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</si>
  <si>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</si>
  <si>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</si>
  <si>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</si>
  <si>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</si>
  <si>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</si>
  <si>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</si>
  <si>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</si>
  <si>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</si>
  <si>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</si>
  <si>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</si>
  <si>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</si>
  <si>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</si>
  <si>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</si>
  <si>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</si>
  <si>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</si>
  <si>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</si>
  <si>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</si>
  <si>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</si>
  <si>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</si>
  <si>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</si>
  <si>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</si>
  <si>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</si>
  <si>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</si>
  <si>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</si>
  <si>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</si>
  <si>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</si>
  <si>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</si>
  <si>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</si>
  <si>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</si>
  <si>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</si>
  <si>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</si>
  <si>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</si>
  <si>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</si>
  <si>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</si>
  <si>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</si>
  <si>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</si>
  <si>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</si>
  <si>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</si>
  <si>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</si>
  <si>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</si>
  <si>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</si>
  <si>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</si>
  <si>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</si>
  <si>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</si>
  <si>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</si>
  <si>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</si>
  <si>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</si>
  <si>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</si>
  <si>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</si>
  <si>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</si>
  <si>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</si>
  <si>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</si>
  <si>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</si>
  <si>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</si>
  <si>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</si>
  <si>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</si>
  <si>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</si>
  <si>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</si>
  <si>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</si>
  <si>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</si>
  <si>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</si>
  <si>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</si>
  <si>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</si>
  <si>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</si>
  <si>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</si>
  <si>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</si>
  <si>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</si>
  <si>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</si>
  <si>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</si>
  <si>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</si>
  <si>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</si>
  <si>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</si>
  <si>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</si>
  <si>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</si>
  <si>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</si>
  <si>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</si>
  <si>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</si>
  <si>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</si>
  <si>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</si>
  <si>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</si>
  <si>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</si>
  <si>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</si>
  <si>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</si>
  <si>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</si>
  <si>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</si>
  <si>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</si>
  <si>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</si>
  <si>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</si>
  <si>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</si>
  <si>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</si>
  <si>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</si>
  <si>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</si>
  <si>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</si>
  <si>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</si>
  <si>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</si>
  <si>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</si>
  <si>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</si>
  <si>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</si>
  <si>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</si>
  <si>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</si>
  <si>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</si>
  <si>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</si>
  <si>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</si>
  <si>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</si>
  <si>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</si>
  <si>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</si>
  <si>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</si>
  <si>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</si>
  <si>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</si>
  <si>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</si>
  <si>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</si>
  <si>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</si>
  <si>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</si>
  <si>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</si>
  <si>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</si>
  <si>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</si>
  <si>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</si>
  <si>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</si>
  <si>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</si>
  <si>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</si>
  <si>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</si>
  <si>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</si>
  <si>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</si>
  <si>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</si>
  <si>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</si>
  <si>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</si>
  <si>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</si>
  <si>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</si>
  <si>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</si>
  <si>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</si>
  <si>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</si>
  <si>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</si>
  <si>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</si>
  <si>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</si>
  <si>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</si>
  <si>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</si>
  <si>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</si>
  <si>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</si>
  <si>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</si>
  <si>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</si>
  <si>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</si>
  <si>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</si>
  <si>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</si>
  <si>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</si>
  <si>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</si>
  <si>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</si>
  <si>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</si>
  <si>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</si>
  <si>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</si>
  <si>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</si>
  <si>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</si>
  <si>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</si>
  <si>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</si>
  <si>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</si>
  <si>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</si>
  <si>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</si>
  <si>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</si>
  <si>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</si>
  <si>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</si>
  <si>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</si>
  <si>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</si>
  <si>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</si>
  <si>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</si>
  <si>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</si>
  <si>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</si>
  <si>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</si>
  <si>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</si>
  <si>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</si>
  <si>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</si>
  <si>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</si>
  <si>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</si>
  <si>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</si>
  <si>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</si>
  <si>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</si>
  <si>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</si>
  <si>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</si>
  <si>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</si>
  <si>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</si>
  <si>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</si>
  <si>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</si>
  <si>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</si>
  <si>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</si>
  <si>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</si>
  <si>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</si>
  <si>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</si>
  <si>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</si>
  <si>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</si>
  <si>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</si>
  <si>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</si>
  <si>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</si>
  <si>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</si>
  <si>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</si>
  <si>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</si>
  <si>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</si>
  <si>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</si>
  <si>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</si>
  <si>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</si>
  <si>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</si>
  <si>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</si>
  <si>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</si>
  <si>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</si>
  <si>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</si>
  <si>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</si>
  <si>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</si>
  <si>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</si>
  <si>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</si>
  <si>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</si>
  <si>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</si>
  <si>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</si>
  <si>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</si>
  <si>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</si>
  <si>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</si>
  <si>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</si>
  <si>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</si>
  <si>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</si>
  <si>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</si>
  <si>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</si>
  <si>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</si>
  <si>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</si>
  <si>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</si>
  <si>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</si>
  <si>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</si>
  <si>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</si>
  <si>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</si>
  <si>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</si>
  <si>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</si>
  <si>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</si>
  <si>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</si>
  <si>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</si>
  <si>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</si>
  <si>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</si>
  <si>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</si>
  <si>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</si>
  <si>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</si>
  <si>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</si>
  <si>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</si>
  <si>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</si>
  <si>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</si>
  <si>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</si>
  <si>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</si>
  <si>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</si>
  <si>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</si>
  <si>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</si>
  <si>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</si>
  <si>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</si>
  <si>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</si>
  <si>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</si>
  <si>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</si>
  <si>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</si>
  <si>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</si>
  <si>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</si>
  <si>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</si>
  <si>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</si>
  <si>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</si>
  <si>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</si>
  <si>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</si>
  <si>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</si>
  <si>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</si>
  <si>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</si>
  <si>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</si>
  <si>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</si>
  <si>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</si>
  <si>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</si>
  <si>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</si>
  <si>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</si>
  <si>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</si>
  <si>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</si>
  <si>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</si>
  <si>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</si>
  <si>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</si>
  <si>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</si>
  <si>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</si>
  <si>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</si>
  <si>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</si>
  <si>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</si>
  <si>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</si>
  <si>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</si>
  <si>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</si>
  <si>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</si>
  <si>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</si>
  <si>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</si>
  <si>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</si>
  <si>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</si>
  <si>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</si>
  <si>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</si>
  <si>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</si>
  <si>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</si>
  <si>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</si>
  <si>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</si>
  <si>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</si>
  <si>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</si>
  <si>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</si>
  <si>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</si>
  <si>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</si>
  <si>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</si>
  <si>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</si>
  <si>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</si>
  <si>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</si>
  <si>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</si>
  <si>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</si>
  <si>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</si>
  <si>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</si>
  <si>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</si>
  <si>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</si>
  <si>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</si>
  <si>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</si>
  <si>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</si>
  <si>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</si>
  <si>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</si>
  <si>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</si>
  <si>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</si>
  <si>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</si>
  <si>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</si>
  <si>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</si>
  <si>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</si>
  <si>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</si>
  <si>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</si>
  <si>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</si>
  <si>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</si>
  <si>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</si>
  <si>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</si>
  <si>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</si>
  <si>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</si>
  <si>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</si>
  <si>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</si>
  <si>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</si>
  <si>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</si>
  <si>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</si>
  <si>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</si>
  <si>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</si>
  <si>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</si>
  <si>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</si>
  <si>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</si>
  <si>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</si>
  <si>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</si>
  <si>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</si>
  <si>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</si>
  <si>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</si>
  <si>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</si>
  <si>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</si>
  <si>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</si>
  <si>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</si>
  <si>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</si>
  <si>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</si>
  <si>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</si>
  <si>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</si>
  <si>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</si>
  <si>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</si>
  <si>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</si>
  <si>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</si>
  <si>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</si>
  <si>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</si>
  <si>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</si>
  <si>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</si>
  <si>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</si>
  <si>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</si>
  <si>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</si>
  <si>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</si>
  <si>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</si>
  <si>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</si>
  <si>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</si>
  <si>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</si>
  <si>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</si>
  <si>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</si>
  <si>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</si>
  <si>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</si>
  <si>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</si>
  <si>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</si>
  <si>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</si>
  <si>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</si>
  <si>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</si>
  <si>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</si>
  <si>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</si>
  <si>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</si>
  <si>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</si>
  <si>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</si>
  <si>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</si>
  <si>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</si>
  <si>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</si>
  <si>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</si>
  <si>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</si>
  <si>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</si>
  <si>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</si>
  <si>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</si>
  <si>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</si>
  <si>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</si>
  <si>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</si>
  <si>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</si>
  <si>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</si>
  <si>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</si>
  <si>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</si>
  <si>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</si>
  <si>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</si>
  <si>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</si>
  <si>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</si>
  <si>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</si>
  <si>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</si>
  <si>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</si>
  <si>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</si>
  <si>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</si>
  <si>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</si>
  <si>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</si>
  <si>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</si>
  <si>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</si>
  <si>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</si>
  <si>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</si>
  <si>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</si>
  <si>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</si>
  <si>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</si>
  <si>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</si>
  <si>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</si>
  <si>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</si>
  <si>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</si>
  <si>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</si>
  <si>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</si>
  <si>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</si>
  <si>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</si>
  <si>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</si>
  <si>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</si>
  <si>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</si>
  <si>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</si>
  <si>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</si>
  <si>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</si>
  <si>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</si>
  <si>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</si>
  <si>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</si>
  <si>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</si>
  <si>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</si>
  <si>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</si>
  <si>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</si>
  <si>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</si>
  <si>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</si>
  <si>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</si>
  <si>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</si>
  <si>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</si>
  <si>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</si>
  <si>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</si>
  <si>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</si>
  <si>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</si>
  <si>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</si>
  <si>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</si>
  <si>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</si>
  <si>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</si>
  <si>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</si>
  <si>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</si>
  <si>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</si>
  <si>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</si>
  <si>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</si>
  <si>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</si>
  <si>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</si>
  <si>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</si>
  <si>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</si>
  <si>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</si>
  <si>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</si>
  <si>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</si>
  <si>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</si>
  <si>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</si>
  <si>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</si>
  <si>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</si>
  <si>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</si>
  <si>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</si>
  <si>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</si>
  <si>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</si>
  <si>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</si>
  <si>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</si>
  <si>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</si>
  <si>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</si>
  <si>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</si>
  <si>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</si>
  <si>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</si>
  <si>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</si>
  <si>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</si>
  <si>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</si>
  <si>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</si>
  <si>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</si>
  <si>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</si>
  <si>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</si>
  <si>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</si>
  <si>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</si>
  <si>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</si>
  <si>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</si>
  <si>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</si>
  <si>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</si>
  <si>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</si>
  <si>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</si>
  <si>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</si>
  <si>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</si>
  <si>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</si>
  <si>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</si>
  <si>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</si>
  <si>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</si>
  <si>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</si>
  <si>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</si>
  <si>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</si>
  <si>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</si>
  <si>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</si>
  <si>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</si>
  <si>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</si>
  <si>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</si>
  <si>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</si>
  <si>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</si>
  <si>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</si>
  <si>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</si>
  <si>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</si>
  <si>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</si>
  <si>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</si>
  <si>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</si>
  <si>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</si>
  <si>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</si>
  <si>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</si>
  <si>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</si>
  <si>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</si>
  <si>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</si>
  <si>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</si>
  <si>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</si>
  <si>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</si>
  <si>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</si>
  <si>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</si>
  <si>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</si>
  <si>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</si>
  <si>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</si>
  <si>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</si>
  <si>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</si>
  <si>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</si>
  <si>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</si>
  <si>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</si>
  <si>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</si>
  <si>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</si>
  <si>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</si>
  <si>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</si>
  <si>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</si>
  <si>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</si>
  <si>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</si>
  <si>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</si>
  <si>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</si>
  <si>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</si>
  <si>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</si>
  <si>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</si>
  <si>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</si>
  <si>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</si>
  <si>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</si>
  <si>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</si>
  <si>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</si>
  <si>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</si>
  <si>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</si>
  <si>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</si>
  <si>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</si>
  <si>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</si>
  <si>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</si>
  <si>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</si>
  <si>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</si>
  <si>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</si>
  <si>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</si>
  <si>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</si>
  <si>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</si>
  <si>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</si>
  <si>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</si>
  <si>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</si>
  <si>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</si>
  <si>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</si>
  <si>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</si>
  <si>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</si>
  <si>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</si>
  <si>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</si>
  <si>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</si>
  <si>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</si>
  <si>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</si>
  <si>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</si>
  <si>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</si>
  <si>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</si>
  <si>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</si>
  <si>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</si>
  <si>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</si>
  <si>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</si>
  <si>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</si>
  <si>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</si>
  <si>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</si>
  <si>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</si>
  <si>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</si>
  <si>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</si>
  <si>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</si>
  <si>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</si>
  <si>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</si>
  <si>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</si>
  <si>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</si>
  <si>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</si>
  <si>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</si>
  <si>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</si>
  <si>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</si>
  <si>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</si>
  <si>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</si>
  <si>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</si>
  <si>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</si>
  <si>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</si>
  <si>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</si>
  <si>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</si>
  <si>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</si>
  <si>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</si>
  <si>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</si>
  <si>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</si>
  <si>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</si>
  <si>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</si>
  <si>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</si>
  <si>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</si>
  <si>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</si>
  <si>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</si>
  <si>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</si>
  <si>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</si>
  <si>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</si>
  <si>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</si>
  <si>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</si>
  <si>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</si>
  <si>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</si>
  <si>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</si>
  <si>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</si>
  <si>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</si>
  <si>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</si>
  <si>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</si>
  <si>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</si>
  <si>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</si>
  <si>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</si>
  <si>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</si>
  <si>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</si>
  <si>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</si>
  <si>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</si>
  <si>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</si>
  <si>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</si>
  <si>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</si>
  <si>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</si>
  <si>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</si>
  <si>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</si>
  <si>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</si>
  <si>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</si>
  <si>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</si>
  <si>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</si>
  <si>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</si>
  <si>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</si>
  <si>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</si>
  <si>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</si>
  <si>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</si>
  <si>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</si>
  <si>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</si>
  <si>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</si>
  <si>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</si>
  <si>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</si>
  <si>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</si>
  <si>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</si>
  <si>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</si>
  <si>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</si>
  <si>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</si>
  <si>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</si>
  <si>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</si>
  <si>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</si>
  <si>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</si>
  <si>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</si>
  <si>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</si>
  <si>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</si>
  <si>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</si>
  <si>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</si>
  <si>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</si>
  <si>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</si>
  <si>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</si>
  <si>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</si>
  <si>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</si>
  <si>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</si>
  <si>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</si>
  <si>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</si>
  <si>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</si>
  <si>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</si>
  <si>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</si>
  <si>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</si>
  <si>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</si>
  <si>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</si>
  <si>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</si>
  <si>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</si>
  <si>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</si>
  <si>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</si>
  <si>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</si>
  <si>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</si>
  <si>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</si>
  <si>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</si>
  <si>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</si>
  <si>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</si>
  <si>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</si>
  <si>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</si>
  <si>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</si>
  <si>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</si>
  <si>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</si>
  <si>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</si>
  <si>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</si>
  <si>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</si>
  <si>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</si>
  <si>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</si>
  <si>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</si>
  <si>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</si>
  <si>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</si>
  <si>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</si>
  <si>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</si>
  <si>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</si>
  <si>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</si>
  <si>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</si>
  <si>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</si>
  <si>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</si>
  <si>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</si>
  <si>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</si>
  <si>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</si>
  <si>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</si>
  <si>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</si>
  <si>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</si>
  <si>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</si>
  <si>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</si>
  <si>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</si>
  <si>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</si>
  <si>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</si>
  <si>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</si>
  <si>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</si>
  <si>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</si>
  <si>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</si>
  <si>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</si>
  <si>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</si>
  <si>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</si>
  <si>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</si>
  <si>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</si>
  <si>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</si>
  <si>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</si>
  <si>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</si>
  <si>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</si>
  <si>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</si>
  <si>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</si>
  <si>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</si>
  <si>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</si>
  <si>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</si>
  <si>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</si>
  <si>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</si>
  <si>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</si>
  <si>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</si>
  <si>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</si>
  <si>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</si>
  <si>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</si>
  <si>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</si>
  <si>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</si>
  <si>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</si>
  <si>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</si>
  <si>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</si>
  <si>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</si>
  <si>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</si>
  <si>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</si>
  <si>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</si>
  <si>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</si>
  <si>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</si>
  <si>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</si>
  <si>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</si>
  <si>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</si>
  <si>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</si>
  <si>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</si>
  <si>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</si>
  <si>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</si>
  <si>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</si>
  <si>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</si>
  <si>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</si>
  <si>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</si>
  <si>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</si>
  <si>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</si>
  <si>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</si>
  <si>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</si>
  <si>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</si>
  <si>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</si>
  <si>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</si>
  <si>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</si>
  <si>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</si>
  <si>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</si>
  <si>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</si>
  <si>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</si>
  <si>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</si>
  <si>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</si>
  <si>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</si>
  <si>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</si>
  <si>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</si>
  <si>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</si>
  <si>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</si>
  <si>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</si>
  <si>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</si>
  <si>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</si>
  <si>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</si>
  <si>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</si>
  <si>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</si>
  <si>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</si>
  <si>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</si>
  <si>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</si>
  <si>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</si>
  <si>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</si>
  <si>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</si>
  <si>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</si>
  <si>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</si>
  <si>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</si>
  <si>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</si>
  <si>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</si>
  <si>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</si>
  <si>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</si>
  <si>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</si>
  <si>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</si>
  <si>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</si>
  <si>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</si>
  <si>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</si>
  <si>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</si>
  <si>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</si>
  <si>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</si>
  <si>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</si>
  <si>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</si>
  <si>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</si>
  <si>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</si>
  <si>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</si>
  <si>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</si>
  <si>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</si>
  <si>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</si>
  <si>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</si>
  <si>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</si>
  <si>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</si>
  <si>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</si>
  <si>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</si>
  <si>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</si>
  <si>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</si>
  <si>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</si>
  <si>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</si>
  <si>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</si>
  <si>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</si>
  <si>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</si>
  <si>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</si>
  <si>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</si>
  <si>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</si>
  <si>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</si>
  <si>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</si>
  <si>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</si>
  <si>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</si>
  <si>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</si>
  <si>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</si>
  <si>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</si>
  <si>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</si>
  <si>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</si>
  <si>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</si>
  <si>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</si>
  <si>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</si>
  <si>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</si>
  <si>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</si>
  <si>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</si>
  <si>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</si>
  <si>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</si>
  <si>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</si>
  <si>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</si>
  <si>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</si>
  <si>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</si>
  <si>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</si>
  <si>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</si>
  <si>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</si>
  <si>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</si>
  <si>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</si>
  <si>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</si>
  <si>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</si>
  <si>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</si>
  <si>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</si>
  <si>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</si>
  <si>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</si>
  <si>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</si>
  <si>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</si>
  <si>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</si>
  <si>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</si>
  <si>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</si>
  <si>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</si>
  <si>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</si>
  <si>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</si>
  <si>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</si>
  <si>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</si>
  <si>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</si>
  <si>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</si>
  <si>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</si>
  <si>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</si>
  <si>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</si>
  <si>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</si>
  <si>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</si>
  <si>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</si>
  <si>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</si>
  <si>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</si>
  <si>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</si>
  <si>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</si>
  <si>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</si>
  <si>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</si>
  <si>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</si>
  <si>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</si>
  <si>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</si>
  <si>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</si>
  <si>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</si>
  <si>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</si>
  <si>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</si>
  <si>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</si>
  <si>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</si>
  <si>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</si>
  <si>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</si>
  <si>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</si>
  <si>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</si>
  <si>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</si>
  <si>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</si>
  <si>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</si>
  <si>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</si>
  <si>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</si>
  <si>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</si>
  <si>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</si>
  <si>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</si>
  <si>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</si>
  <si>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</si>
  <si>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</si>
  <si>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</si>
  <si>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</si>
  <si>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</si>
  <si>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</si>
  <si>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</si>
  <si>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</si>
  <si>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</si>
  <si>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</si>
  <si>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</si>
  <si>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</si>
  <si>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</si>
  <si>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</si>
  <si>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</si>
  <si>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</si>
  <si>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</si>
  <si>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</si>
  <si>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</si>
  <si>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</si>
  <si>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</si>
  <si>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</si>
  <si>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</si>
  <si>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</si>
  <si>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</si>
  <si>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</si>
  <si>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</si>
  <si>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</si>
  <si>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</si>
  <si>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</si>
  <si>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</si>
  <si>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</si>
  <si>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</si>
  <si>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</si>
  <si>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</si>
  <si>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</si>
  <si>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</si>
  <si>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</si>
  <si>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</si>
  <si>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</si>
  <si>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</si>
  <si>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</si>
  <si>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</si>
  <si>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</si>
  <si>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</si>
  <si>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</si>
  <si>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</si>
  <si>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</si>
  <si>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</si>
  <si>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</si>
  <si>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</si>
  <si>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</si>
  <si>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</si>
  <si>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</si>
  <si>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</si>
  <si>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</si>
  <si>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</si>
  <si>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</si>
  <si>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</si>
  <si>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</si>
  <si>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</si>
  <si>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</si>
  <si>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</si>
  <si>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</si>
  <si>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</si>
  <si>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</si>
  <si>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</si>
  <si>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</si>
  <si>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</si>
  <si>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</si>
  <si>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</si>
  <si>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</si>
  <si>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</si>
  <si>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</si>
  <si>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</si>
  <si>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</si>
  <si>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</si>
  <si>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</si>
  <si>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</si>
  <si>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</si>
  <si>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</si>
  <si>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</si>
  <si>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</si>
  <si>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</si>
  <si>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</si>
  <si>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</si>
  <si>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</si>
  <si>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</si>
  <si>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</si>
  <si>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</si>
  <si>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</si>
  <si>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</si>
  <si>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</si>
  <si>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</si>
  <si>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</si>
  <si>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</si>
  <si>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</si>
  <si>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</si>
  <si>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</si>
  <si>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</si>
  <si>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</si>
  <si>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</si>
  <si>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</si>
  <si>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</si>
  <si>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</si>
  <si>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</si>
  <si>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</si>
  <si>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</si>
  <si>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</si>
  <si>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</si>
  <si>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</si>
  <si>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</si>
  <si>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</si>
  <si>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</si>
  <si>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</si>
  <si>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</si>
  <si>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</si>
  <si>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</si>
  <si>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</si>
  <si>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</si>
  <si>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</si>
  <si>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</si>
  <si>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</si>
  <si>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</si>
  <si>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</si>
  <si>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</si>
  <si>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</si>
  <si>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</si>
  <si>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</si>
  <si>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</si>
  <si>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</si>
  <si>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</si>
  <si>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</si>
  <si>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</si>
  <si>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</si>
  <si>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</si>
  <si>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</si>
  <si>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</si>
  <si>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</si>
  <si>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</si>
  <si>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</si>
  <si>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</si>
  <si>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</si>
  <si>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</si>
  <si>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</si>
  <si>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</si>
  <si>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</si>
  <si>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</si>
  <si>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</si>
  <si>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</si>
  <si>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</si>
  <si>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</si>
  <si>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</si>
  <si>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</si>
  <si>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</si>
  <si>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</si>
  <si>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</si>
  <si>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</si>
  <si>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</si>
  <si>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</si>
  <si>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</si>
  <si>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</si>
  <si>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</si>
  <si>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</si>
  <si>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</si>
  <si>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</si>
  <si>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</si>
  <si>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</si>
  <si>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</si>
  <si>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</si>
  <si>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</si>
  <si>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</si>
  <si>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</si>
  <si>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</si>
  <si>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</si>
  <si>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</si>
  <si>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</si>
  <si>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</si>
  <si>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</si>
  <si>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</si>
  <si>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</si>
  <si>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</si>
  <si>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</si>
  <si>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</si>
  <si>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</si>
  <si>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</si>
  <si>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</si>
  <si>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</si>
  <si>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</si>
  <si>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</si>
  <si>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</si>
  <si>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</si>
  <si>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</si>
  <si>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</si>
  <si>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</si>
  <si>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</si>
  <si>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</si>
  <si>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</si>
  <si>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</si>
  <si>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</si>
  <si>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</si>
  <si>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</si>
  <si>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</si>
  <si>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</si>
  <si>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</si>
  <si>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</si>
  <si>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</si>
  <si>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</si>
  <si>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</si>
  <si>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</si>
  <si>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</si>
  <si>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</si>
  <si>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</si>
  <si>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</si>
  <si>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</si>
  <si>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</si>
  <si>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</si>
  <si>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</si>
  <si>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</si>
  <si>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</si>
  <si>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</si>
  <si>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</si>
  <si>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</si>
  <si>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</si>
  <si>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</si>
  <si>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</si>
  <si>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</si>
  <si>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</si>
  <si>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</si>
  <si>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</si>
  <si>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</si>
  <si>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</si>
  <si>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</si>
  <si>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</si>
  <si>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</si>
  <si>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</si>
  <si>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</si>
  <si>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</si>
  <si>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</si>
  <si>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</si>
  <si>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</si>
  <si>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</si>
  <si>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</si>
  <si>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</si>
  <si>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</si>
  <si>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</si>
  <si>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</si>
  <si>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</si>
  <si>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</si>
  <si>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</si>
  <si>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</si>
  <si>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</si>
  <si>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</si>
  <si>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</si>
  <si>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</si>
  <si>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</si>
  <si>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</si>
  <si>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</si>
  <si>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</si>
  <si>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</si>
  <si>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</si>
  <si>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</si>
  <si>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</si>
  <si>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</si>
  <si>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</si>
  <si>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</si>
  <si>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</si>
  <si>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</si>
  <si>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</si>
  <si>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</si>
  <si>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</si>
  <si>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</si>
  <si>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</si>
  <si>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</si>
  <si>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</si>
  <si>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</si>
  <si>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</si>
  <si>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</si>
  <si>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</si>
  <si>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</si>
  <si>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</si>
  <si>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</si>
  <si>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</si>
  <si>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</si>
  <si>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</si>
  <si>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</si>
  <si>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</si>
  <si>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</si>
  <si>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</si>
  <si>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</si>
  <si>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</si>
  <si>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</si>
  <si>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</si>
  <si>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</si>
  <si>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</si>
  <si>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</si>
  <si>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</si>
  <si>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</si>
  <si>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</si>
  <si>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</si>
  <si>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</si>
  <si>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</si>
  <si>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</si>
  <si>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</si>
  <si>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</si>
  <si>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</si>
  <si>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</si>
  <si>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</si>
  <si>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</si>
  <si>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</si>
  <si>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</si>
  <si>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</si>
  <si>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</si>
  <si>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</si>
  <si>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</si>
  <si>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</si>
  <si>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</si>
  <si>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</si>
  <si>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</si>
  <si>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</si>
  <si>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</si>
  <si>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</si>
  <si>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</si>
  <si>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</si>
  <si>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</si>
  <si>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</si>
  <si>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</si>
  <si>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</si>
  <si>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</si>
  <si>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</si>
  <si>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</si>
  <si>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</si>
  <si>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</si>
  <si>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</si>
  <si>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</si>
  <si>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</si>
  <si>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</si>
  <si>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</si>
  <si>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</si>
  <si>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</si>
  <si>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</si>
  <si>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</si>
  <si>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</si>
  <si>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</si>
  <si>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</si>
  <si>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</si>
  <si>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</si>
  <si>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</si>
  <si>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</si>
  <si>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</si>
  <si>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</si>
  <si>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</si>
  <si>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</si>
  <si>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</si>
  <si>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</si>
  <si>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</si>
  <si>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</si>
  <si>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</si>
  <si>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</si>
  <si>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</si>
  <si>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</si>
  <si>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</si>
  <si>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</si>
  <si>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</si>
  <si>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</si>
  <si>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</si>
  <si>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</si>
  <si>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</si>
  <si>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</si>
  <si>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</si>
  <si>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</si>
  <si>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</si>
  <si>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</si>
  <si>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</si>
  <si>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</si>
  <si>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</si>
  <si>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</si>
  <si>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</si>
  <si>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</si>
  <si>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</si>
  <si>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</si>
  <si>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</si>
  <si>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</si>
  <si>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</si>
  <si>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</si>
  <si>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</si>
  <si>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</si>
  <si>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</si>
  <si>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</si>
  <si>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</si>
  <si>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</si>
  <si>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</si>
  <si>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</si>
  <si>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</si>
  <si>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</si>
  <si>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</si>
  <si>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</si>
  <si>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</si>
  <si>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</si>
  <si>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</si>
  <si>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</si>
  <si>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</si>
  <si>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</si>
  <si>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</si>
  <si>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</si>
  <si>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</si>
  <si>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</si>
  <si>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</si>
  <si>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</si>
  <si>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</si>
  <si>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</si>
  <si>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</si>
  <si>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</si>
  <si>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</si>
  <si>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</si>
  <si>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</si>
  <si>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</si>
  <si>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</si>
  <si>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</si>
  <si>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</si>
  <si>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</si>
  <si>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</si>
  <si>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</si>
  <si>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</si>
  <si>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</si>
  <si>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</si>
  <si>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</si>
  <si>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</si>
  <si>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</si>
  <si>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</si>
  <si>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</si>
  <si>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</si>
  <si>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</si>
  <si>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</si>
  <si>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</si>
  <si>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</si>
  <si>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</si>
  <si>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</si>
  <si>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</si>
  <si>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</si>
  <si>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</si>
  <si>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</si>
  <si>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</si>
  <si>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</si>
  <si>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</si>
  <si>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</si>
  <si>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</si>
  <si>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</si>
  <si>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</si>
  <si>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</si>
  <si>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</si>
  <si>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</si>
  <si>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</si>
  <si>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</si>
  <si>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</si>
  <si>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</si>
  <si>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</si>
  <si>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</si>
  <si>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</si>
  <si>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</si>
  <si>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</si>
  <si>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</si>
  <si>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</si>
  <si>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</si>
  <si>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</si>
  <si>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</si>
  <si>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</si>
  <si>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</si>
  <si>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</si>
  <si>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</si>
  <si>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</si>
  <si>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</si>
  <si>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</si>
  <si>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</si>
  <si>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</si>
  <si>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</si>
  <si>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</si>
  <si>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</si>
  <si>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</si>
  <si>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</si>
  <si>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</si>
  <si>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</si>
  <si>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</si>
  <si>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</si>
  <si>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</si>
  <si>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</si>
  <si>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</si>
  <si>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</si>
  <si>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</si>
  <si>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</si>
  <si>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</si>
  <si>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</si>
  <si>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</si>
  <si>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</si>
  <si>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</si>
  <si>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</si>
  <si>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</si>
  <si>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</si>
  <si>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</si>
  <si>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</si>
  <si>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</si>
  <si>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</si>
  <si>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</si>
  <si>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</si>
  <si>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</si>
  <si>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</si>
  <si>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</si>
  <si>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</si>
  <si>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</si>
  <si>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</si>
  <si>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</si>
  <si>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</si>
  <si>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</si>
  <si>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</si>
  <si>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</si>
  <si>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</si>
  <si>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</si>
  <si>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</si>
  <si>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</si>
  <si>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</si>
  <si>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</si>
  <si>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</si>
  <si>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</si>
  <si>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</si>
  <si>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</si>
  <si>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</si>
  <si>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</si>
  <si>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</si>
  <si>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</si>
  <si>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</si>
  <si>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</si>
  <si>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</si>
  <si>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</si>
  <si>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</si>
  <si>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</si>
  <si>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</si>
  <si>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</si>
  <si>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</si>
  <si>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</si>
  <si>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</si>
  <si>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</si>
  <si>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</si>
  <si>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</si>
  <si>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</si>
  <si>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</si>
  <si>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</si>
  <si>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</si>
  <si>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</si>
  <si>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</si>
  <si>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</si>
  <si>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</si>
  <si>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</si>
  <si>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</si>
  <si>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</si>
  <si>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</si>
  <si>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</si>
  <si>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</si>
  <si>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</si>
  <si>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</si>
  <si>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</si>
  <si>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</si>
  <si>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</si>
  <si>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</si>
  <si>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</si>
  <si>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</si>
  <si>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</si>
  <si>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</si>
  <si>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</si>
  <si>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</si>
  <si>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</si>
  <si>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</si>
  <si>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</si>
  <si>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</si>
  <si>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</si>
  <si>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</si>
  <si>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</si>
  <si>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</si>
  <si>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</si>
  <si>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</si>
  <si>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</si>
  <si>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</si>
  <si>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</si>
  <si>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</si>
  <si>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</si>
  <si>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</si>
  <si>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</si>
  <si>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</si>
  <si>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</si>
  <si>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</si>
  <si>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</si>
  <si>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</si>
  <si>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</si>
  <si>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</si>
  <si>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</si>
  <si>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</si>
  <si>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</si>
  <si>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</si>
  <si>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</si>
  <si>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</si>
  <si>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</si>
  <si>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</si>
  <si>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</si>
  <si>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</si>
  <si>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</si>
  <si>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</si>
  <si>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</si>
  <si>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</si>
  <si>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</si>
  <si>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</si>
  <si>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</si>
  <si>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</si>
  <si>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</si>
  <si>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</si>
  <si>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</si>
  <si>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</si>
  <si>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</si>
  <si>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</si>
  <si>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</si>
  <si>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</si>
  <si>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</si>
  <si>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</si>
  <si>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</si>
  <si>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</si>
  <si>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</si>
  <si>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</si>
  <si>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</si>
  <si>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</si>
  <si>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</si>
  <si>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</si>
  <si>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</si>
  <si>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</si>
  <si>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</si>
  <si>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</si>
  <si>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</si>
  <si>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</si>
  <si>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</si>
  <si>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</si>
  <si>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</si>
  <si>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</si>
  <si>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</si>
  <si>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</si>
  <si>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</si>
  <si>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</si>
  <si>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</si>
  <si>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</si>
  <si>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</si>
  <si>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</si>
  <si>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</si>
  <si>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</si>
  <si>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</si>
  <si>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</si>
  <si>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</si>
  <si>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</si>
  <si>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</si>
  <si>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</si>
  <si>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</si>
  <si>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</si>
  <si>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</si>
  <si>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</si>
  <si>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</si>
  <si>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</si>
  <si>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</si>
  <si>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</si>
  <si>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</si>
  <si>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</si>
  <si>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</si>
  <si>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</si>
  <si>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</si>
  <si>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</si>
  <si>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</si>
  <si>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</si>
  <si>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</si>
  <si>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</si>
  <si>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</si>
  <si>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</si>
  <si>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</si>
  <si>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</si>
  <si>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</si>
  <si>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</si>
  <si>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</si>
  <si>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</si>
  <si>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</si>
  <si>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</si>
  <si>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</si>
  <si>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</si>
  <si>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</si>
  <si>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</si>
  <si>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</si>
  <si>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</si>
  <si>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</si>
  <si>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</si>
  <si>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</si>
  <si>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</si>
  <si>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</si>
  <si>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</si>
  <si>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</si>
  <si>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</si>
  <si>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</si>
  <si>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</si>
  <si>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</si>
  <si>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</si>
  <si>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</si>
  <si>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</si>
  <si>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</si>
  <si>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</si>
  <si>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</si>
  <si>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</si>
  <si>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</si>
  <si>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</si>
  <si>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</si>
  <si>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</si>
  <si>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</si>
  <si>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</si>
  <si>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</si>
  <si>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</si>
  <si>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</si>
  <si>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</si>
  <si>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</si>
  <si>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</si>
  <si>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</si>
  <si>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</si>
  <si>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</si>
  <si>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</si>
  <si>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</si>
  <si>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</si>
  <si>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</si>
  <si>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</si>
  <si>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</si>
  <si>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</si>
  <si>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</si>
  <si>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</si>
  <si>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</si>
  <si>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</si>
  <si>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</si>
  <si>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</si>
  <si>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</si>
  <si>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</si>
  <si>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</si>
  <si>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</si>
  <si>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</si>
  <si>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</si>
  <si>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</si>
  <si>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</si>
  <si>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</si>
  <si>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</si>
  <si>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</si>
  <si>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</si>
  <si>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</si>
  <si>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</si>
  <si>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</si>
  <si>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</si>
  <si>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</si>
  <si>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</si>
  <si>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</si>
  <si>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</si>
  <si>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</si>
  <si>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</si>
  <si>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</si>
  <si>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</si>
  <si>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</si>
  <si>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</si>
  <si>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</si>
  <si>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</si>
  <si>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</si>
  <si>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</si>
  <si>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</si>
  <si>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</si>
  <si>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</si>
  <si>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</si>
  <si>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</si>
  <si>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</si>
  <si>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</si>
  <si>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</si>
  <si>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</si>
  <si>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</si>
  <si>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</si>
  <si>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</si>
  <si>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</si>
  <si>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</si>
  <si>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</si>
  <si>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</si>
  <si>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</si>
  <si>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</si>
  <si>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</si>
  <si>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</si>
  <si>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</si>
  <si>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</si>
  <si>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</si>
  <si>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</si>
  <si>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</si>
  <si>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</si>
  <si>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</si>
  <si>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</si>
  <si>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</si>
  <si>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</si>
  <si>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</si>
  <si>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</si>
  <si>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</si>
  <si>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</si>
  <si>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</si>
  <si>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</si>
  <si>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</si>
  <si>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</si>
  <si>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</si>
  <si>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</si>
  <si>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</si>
  <si>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</si>
  <si>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</si>
  <si>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</si>
  <si>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</si>
  <si>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</si>
  <si>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</si>
  <si>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</si>
  <si>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</si>
  <si>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</si>
  <si>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</si>
  <si>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</si>
  <si>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</si>
  <si>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</si>
  <si>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</si>
  <si>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</si>
  <si>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</si>
  <si>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</si>
  <si>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</si>
  <si>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</si>
  <si>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</si>
  <si>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</si>
  <si>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</si>
  <si>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</si>
  <si>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</si>
  <si>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</si>
  <si>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</si>
  <si>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</si>
  <si>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</si>
  <si>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</si>
  <si>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</si>
  <si>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</si>
  <si>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</si>
  <si>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</si>
  <si>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</si>
  <si>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</si>
  <si>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</si>
  <si>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</si>
  <si>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</si>
  <si>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</si>
  <si>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</si>
  <si>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</si>
  <si>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</si>
  <si>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</si>
  <si>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</si>
  <si>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</si>
  <si>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</si>
  <si>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</si>
  <si>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</si>
  <si>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</si>
  <si>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</si>
  <si>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</si>
  <si>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</si>
  <si>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</si>
  <si>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</si>
  <si>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</si>
  <si>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</si>
  <si>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</si>
  <si>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</si>
  <si>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</si>
  <si>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</si>
  <si>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</si>
  <si>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</si>
  <si>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</si>
  <si>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</si>
  <si>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</si>
  <si>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</si>
  <si>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</si>
  <si>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</si>
  <si>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</si>
  <si>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</si>
  <si>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</si>
  <si>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</si>
  <si>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</si>
  <si>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</si>
  <si>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</si>
  <si>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</si>
  <si>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</si>
  <si>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</si>
  <si>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</si>
  <si>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</si>
  <si>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</si>
  <si>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</si>
  <si>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</si>
  <si>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</si>
  <si>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</si>
  <si>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</si>
  <si>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</si>
  <si>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</si>
  <si>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</si>
  <si>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</si>
  <si>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</si>
  <si>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</si>
  <si>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</si>
  <si>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</si>
  <si>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</si>
  <si>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</si>
  <si>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</si>
  <si>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</si>
  <si>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</si>
  <si>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</si>
  <si>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</si>
  <si>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</si>
  <si>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</si>
  <si>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</si>
  <si>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</si>
  <si>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</si>
  <si>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</si>
  <si>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</si>
  <si>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</si>
  <si>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</si>
  <si>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</si>
  <si>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</si>
  <si>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</si>
  <si>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</si>
  <si>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</si>
  <si>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</si>
  <si>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</si>
  <si>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</si>
  <si>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</si>
  <si>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</si>
  <si>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</si>
  <si>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</si>
  <si>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</si>
  <si>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</si>
  <si>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</si>
  <si>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</si>
  <si>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</si>
  <si>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</si>
  <si>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</si>
  <si>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</si>
  <si>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</si>
  <si>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</si>
  <si>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</si>
  <si>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</si>
  <si>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</si>
  <si>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</si>
  <si>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</si>
  <si>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</si>
  <si>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</si>
  <si>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</si>
  <si>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</si>
  <si>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</si>
  <si>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</si>
  <si>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</si>
  <si>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</si>
  <si>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</si>
  <si>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</si>
  <si>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</si>
  <si>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</si>
  <si>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</si>
  <si>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</si>
  <si>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</si>
  <si>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</si>
  <si>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</si>
  <si>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</si>
  <si>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</si>
  <si>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</si>
  <si>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</si>
  <si>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</si>
  <si>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</si>
  <si>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</si>
  <si>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</si>
  <si>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</si>
  <si>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</si>
  <si>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</si>
  <si>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</si>
  <si>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</si>
  <si>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</si>
  <si>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</si>
  <si>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</si>
  <si>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</si>
  <si>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</si>
  <si>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</si>
  <si>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</si>
  <si>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</si>
  <si>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</si>
  <si>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</si>
  <si>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</si>
  <si>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</si>
  <si>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</si>
  <si>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</si>
  <si>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</si>
  <si>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</si>
  <si>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</si>
  <si>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</si>
  <si>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</si>
  <si>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</si>
  <si>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</si>
  <si>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</si>
  <si>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</si>
  <si>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</si>
  <si>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</si>
  <si>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</si>
  <si>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</si>
  <si>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</si>
  <si>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</si>
  <si>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</si>
  <si>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</si>
  <si>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</si>
  <si>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</si>
  <si>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</si>
  <si>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</si>
  <si>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</si>
  <si>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</si>
  <si>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</si>
  <si>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</si>
  <si>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</si>
  <si>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</si>
  <si>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</si>
  <si>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</si>
  <si>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</si>
  <si>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</si>
  <si>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</si>
  <si>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</si>
  <si>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</si>
  <si>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</si>
  <si>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</si>
  <si>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</si>
  <si>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</si>
  <si>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</si>
  <si>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</si>
  <si>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</si>
  <si>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</si>
  <si>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</si>
  <si>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</si>
  <si>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</si>
  <si>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</si>
  <si>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</si>
  <si>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</si>
  <si>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</si>
  <si>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</si>
  <si>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</si>
  <si>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</si>
  <si>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</si>
  <si>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</si>
  <si>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</si>
  <si>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</si>
  <si>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</si>
  <si>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</si>
  <si>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</si>
  <si>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</si>
  <si>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</si>
  <si>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</si>
  <si>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</si>
  <si>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</si>
  <si>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</si>
  <si>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</si>
  <si>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</si>
  <si>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</si>
  <si>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</si>
  <si>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</si>
  <si>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</si>
  <si>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</si>
  <si>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</si>
  <si>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</si>
  <si>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</si>
  <si>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</si>
  <si>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</si>
  <si>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</si>
  <si>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</si>
  <si>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</si>
  <si>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</si>
  <si>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</si>
  <si>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</si>
  <si>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</si>
  <si>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</si>
  <si>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</si>
  <si>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</si>
  <si>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</si>
  <si>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</si>
  <si>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</si>
  <si>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</si>
  <si>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</si>
  <si>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</si>
  <si>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</si>
  <si>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</si>
  <si>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</si>
  <si>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</si>
  <si>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</si>
  <si>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</si>
  <si>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</si>
  <si>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</si>
  <si>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</si>
  <si>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</si>
  <si>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</si>
  <si>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</si>
  <si>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</si>
  <si>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</si>
  <si>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</si>
  <si>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</si>
  <si>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</si>
  <si>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</si>
  <si>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</si>
  <si>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</si>
  <si>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</si>
  <si>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</si>
  <si>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</si>
  <si>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</si>
  <si>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</si>
  <si>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</si>
  <si>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</si>
  <si>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</si>
  <si>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</si>
  <si>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</si>
  <si>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</si>
  <si>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</si>
  <si>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</si>
  <si>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</si>
  <si>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</si>
  <si>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</si>
  <si>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</si>
  <si>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</si>
  <si>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</si>
  <si>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</si>
  <si>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</si>
  <si>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</si>
  <si>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</si>
  <si>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</si>
  <si>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</si>
  <si>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</si>
  <si>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</si>
  <si>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</si>
  <si>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</si>
  <si>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</si>
  <si>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</si>
  <si>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</si>
  <si>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</si>
  <si>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</si>
  <si>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</si>
  <si>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</si>
  <si>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</si>
  <si>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</si>
  <si>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</si>
  <si>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</si>
  <si>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</si>
  <si>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</si>
  <si>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</si>
  <si>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</si>
  <si>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</si>
  <si>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</si>
  <si>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</si>
  <si>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</si>
  <si>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</si>
  <si>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</si>
  <si>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</si>
  <si>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</si>
  <si>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</si>
  <si>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</si>
  <si>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</si>
  <si>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</si>
  <si>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</si>
  <si>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</si>
  <si>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</si>
  <si>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</si>
  <si>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</si>
  <si>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</si>
  <si>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</si>
  <si>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</si>
  <si>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</si>
  <si>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</si>
  <si>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</si>
  <si>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</si>
  <si>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</si>
  <si>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</si>
  <si>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</si>
  <si>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</si>
  <si>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</si>
  <si>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</si>
  <si>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</si>
  <si>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</si>
  <si>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</si>
  <si>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</si>
  <si>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</si>
  <si>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</si>
  <si>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</si>
  <si>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</si>
  <si>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</si>
  <si>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</si>
  <si>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</si>
  <si>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</si>
  <si>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</si>
  <si>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</si>
  <si>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</si>
  <si>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</si>
  <si>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</si>
  <si>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</si>
  <si>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</si>
  <si>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</si>
  <si>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</si>
  <si>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</si>
  <si>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</si>
  <si>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</si>
  <si>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</si>
  <si>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</si>
  <si>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</si>
  <si>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</si>
  <si>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</si>
  <si>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</si>
  <si>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</si>
  <si>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</si>
  <si>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</si>
  <si>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</si>
  <si>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</si>
  <si>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</si>
  <si>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</si>
  <si>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</si>
  <si>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</si>
  <si>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</si>
  <si>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</si>
  <si>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</si>
  <si>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</si>
  <si>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</si>
  <si>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</si>
  <si>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</si>
  <si>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</si>
  <si>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</si>
  <si>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</si>
  <si>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</si>
  <si>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</si>
  <si>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</si>
  <si>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</si>
  <si>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</si>
  <si>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</si>
  <si>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</si>
  <si>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</si>
  <si>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</si>
  <si>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</si>
  <si>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</si>
  <si>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</si>
  <si>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</si>
  <si>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</si>
  <si>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</si>
  <si>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</si>
  <si>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</si>
  <si>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</si>
  <si>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</si>
  <si>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</si>
  <si>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</si>
  <si>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</si>
  <si>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</si>
  <si>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</si>
  <si>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</si>
  <si>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</si>
  <si>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</si>
  <si>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</si>
  <si>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</si>
  <si>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</si>
  <si>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</si>
  <si>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</si>
  <si>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</si>
  <si>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</si>
  <si>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</si>
  <si>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</si>
  <si>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</si>
  <si>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</si>
  <si>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</si>
  <si>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</si>
  <si>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</si>
  <si>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</si>
  <si>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</si>
  <si>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</si>
  <si>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</si>
  <si>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</si>
  <si>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</si>
  <si>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</si>
  <si>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</si>
  <si>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</si>
  <si>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</si>
  <si>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</si>
  <si>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</si>
  <si>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</si>
  <si>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</si>
  <si>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</si>
  <si>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</si>
  <si>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</si>
  <si>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</si>
  <si>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</si>
  <si>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</si>
  <si>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</si>
  <si>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</si>
  <si>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</si>
  <si>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</si>
  <si>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</si>
  <si>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</si>
  <si>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</si>
  <si>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</si>
  <si>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</si>
  <si>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</si>
  <si>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</si>
  <si>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</si>
  <si>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</si>
  <si>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</si>
  <si>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</si>
  <si>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</si>
  <si>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</si>
  <si>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</si>
  <si>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</si>
  <si>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</si>
  <si>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</si>
  <si>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</si>
  <si>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</si>
  <si>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</si>
  <si>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</si>
  <si>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</si>
  <si>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</si>
  <si>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</si>
  <si>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</si>
  <si>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</si>
  <si>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</si>
  <si>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</si>
  <si>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</si>
  <si>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</si>
  <si>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</si>
  <si>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</si>
  <si>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</si>
  <si>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</si>
  <si>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</si>
  <si>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</si>
  <si>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</si>
  <si>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</si>
  <si>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</si>
  <si>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</si>
  <si>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</si>
  <si>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</si>
  <si>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</si>
  <si>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</si>
  <si>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</si>
  <si>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</si>
  <si>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</si>
  <si>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</si>
  <si>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</si>
  <si>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</si>
  <si>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</si>
  <si>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</si>
  <si>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</si>
  <si>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</si>
  <si>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</si>
  <si>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</si>
  <si>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</si>
  <si>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</si>
  <si>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</si>
  <si>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</si>
  <si>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</si>
  <si>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</si>
  <si>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</si>
  <si>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</si>
  <si>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</si>
  <si>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</si>
  <si>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</si>
  <si>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</si>
  <si>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</si>
  <si>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</si>
  <si>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</si>
  <si>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</si>
  <si>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</si>
  <si>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</si>
  <si>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</si>
  <si>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</si>
  <si>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</si>
  <si>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</si>
  <si>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</si>
  <si>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</si>
  <si>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</si>
  <si>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</si>
  <si>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</si>
  <si>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</si>
  <si>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</si>
  <si>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</si>
  <si>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</si>
  <si>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</si>
  <si>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</si>
  <si>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</si>
  <si>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</si>
  <si>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</si>
  <si>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</si>
  <si>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</si>
  <si>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</si>
  <si>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</si>
  <si>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</si>
  <si>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</si>
  <si>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</si>
  <si>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</si>
  <si>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</si>
  <si>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</si>
  <si>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</si>
  <si>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</si>
  <si>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</si>
  <si>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</si>
  <si>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</si>
  <si>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</si>
  <si>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</si>
  <si>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</si>
  <si>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</si>
  <si>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</si>
  <si>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</si>
  <si>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</si>
  <si>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</si>
  <si>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</si>
  <si>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</si>
  <si>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</si>
  <si>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</si>
  <si>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</si>
  <si>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</si>
  <si>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</si>
  <si>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</si>
  <si>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</si>
  <si>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</si>
  <si>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</si>
  <si>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</si>
  <si>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</si>
  <si>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</si>
  <si>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</si>
  <si>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</si>
  <si>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</si>
  <si>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</si>
  <si>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</si>
  <si>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</si>
  <si>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</si>
  <si>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</si>
  <si>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</si>
  <si>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</si>
  <si>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</si>
  <si>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</si>
  <si>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</si>
  <si>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</si>
  <si>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</si>
  <si>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</si>
  <si>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</si>
  <si>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</si>
  <si>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</si>
  <si>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</si>
  <si>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</si>
  <si>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</si>
  <si>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</si>
  <si>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</si>
  <si>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</si>
  <si>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</si>
  <si>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</si>
  <si>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</si>
  <si>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</si>
  <si>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</si>
  <si>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</si>
  <si>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</si>
  <si>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</si>
  <si>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</si>
  <si>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</si>
  <si>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</si>
  <si>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</si>
  <si>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</si>
  <si>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</si>
  <si>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</si>
  <si>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</si>
  <si>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</si>
  <si>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</si>
  <si>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</si>
  <si>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</si>
  <si>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</si>
  <si>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</si>
  <si>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</si>
  <si>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</si>
  <si>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</si>
  <si>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</si>
  <si>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</si>
  <si>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</si>
  <si>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</si>
  <si>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</si>
  <si>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</si>
  <si>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</si>
  <si>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</si>
  <si>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</si>
  <si>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</si>
  <si>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</si>
  <si>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</si>
  <si>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</si>
  <si>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</si>
  <si>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</si>
  <si>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</si>
  <si>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</si>
  <si>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</si>
  <si>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</si>
  <si>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</si>
  <si>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</si>
  <si>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</si>
  <si>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</si>
  <si>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</si>
  <si>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</si>
  <si>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</si>
  <si>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</si>
  <si>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</si>
  <si>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</si>
  <si>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</si>
  <si>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</si>
  <si>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</si>
  <si>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</si>
  <si>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</si>
  <si>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</si>
  <si>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</si>
  <si>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</si>
  <si>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</si>
  <si>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</si>
  <si>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</si>
  <si>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</si>
  <si>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</si>
  <si>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</si>
  <si>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</si>
  <si>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</si>
  <si>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</si>
  <si>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</si>
  <si>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</si>
  <si>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</si>
  <si>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</si>
  <si>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</si>
  <si>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</si>
  <si>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</si>
  <si>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</si>
  <si>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</si>
  <si>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</si>
  <si>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</si>
  <si>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</si>
  <si>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</si>
  <si>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</si>
  <si>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</si>
  <si>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</si>
  <si>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</si>
  <si>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</si>
  <si>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</si>
  <si>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</si>
  <si>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</si>
  <si>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</si>
  <si>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</si>
  <si>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</si>
  <si>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</si>
  <si>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</si>
  <si>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</si>
  <si>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</si>
  <si>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</si>
  <si>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</si>
  <si>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</si>
  <si>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</si>
  <si>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</si>
  <si>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</si>
  <si>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</si>
  <si>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</si>
  <si>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</si>
  <si>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</si>
  <si>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</si>
  <si>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</si>
  <si>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</si>
  <si>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</si>
  <si>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</si>
  <si>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</si>
  <si>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</si>
  <si>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</si>
  <si>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</si>
  <si>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</si>
  <si>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</si>
  <si>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</si>
  <si>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</si>
  <si>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</si>
  <si>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</si>
  <si>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</si>
  <si>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</si>
  <si>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</si>
  <si>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</si>
  <si>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</si>
  <si>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</si>
  <si>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</si>
  <si>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</si>
  <si>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</si>
  <si>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</si>
  <si>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</si>
  <si>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</si>
  <si>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</si>
  <si>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</si>
  <si>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</si>
  <si>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</si>
  <si>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</si>
  <si>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</si>
  <si>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</si>
  <si>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</si>
  <si>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</si>
  <si>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</si>
  <si>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</si>
  <si>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</si>
  <si>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</si>
  <si>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</si>
  <si>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</si>
  <si>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</si>
  <si>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</si>
  <si>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</si>
  <si>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</si>
  <si>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</si>
  <si>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</si>
  <si>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</si>
  <si>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</si>
  <si>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</si>
  <si>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</si>
  <si>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</si>
  <si>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</si>
  <si>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</si>
  <si>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</si>
  <si>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</si>
  <si>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</si>
  <si>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</si>
  <si>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</si>
  <si>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</si>
  <si>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</si>
  <si>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</si>
  <si>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</si>
  <si>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</si>
  <si>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</si>
  <si>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</si>
  <si>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</si>
  <si>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</si>
  <si>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</si>
  <si>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</si>
  <si>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</si>
  <si>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</si>
  <si>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</si>
  <si>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</si>
  <si>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</si>
  <si>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</si>
  <si>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</si>
  <si>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</si>
  <si>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</si>
  <si>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</si>
  <si>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</si>
  <si>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</si>
  <si>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</si>
  <si>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</si>
  <si>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</si>
  <si>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</si>
  <si>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</si>
  <si>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</si>
  <si>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</si>
  <si>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</si>
  <si>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</si>
  <si>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</si>
  <si>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</si>
  <si>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</si>
  <si>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</si>
  <si>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</si>
  <si>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</si>
  <si>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</si>
  <si>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</si>
  <si>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</si>
  <si>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</si>
  <si>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</si>
  <si>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</si>
  <si>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</si>
  <si>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</si>
  <si>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</si>
  <si>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</si>
  <si>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</si>
  <si>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</si>
  <si>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</si>
  <si>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</si>
  <si>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</si>
  <si>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</si>
  <si>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</si>
  <si>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</si>
  <si>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</si>
  <si>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</si>
  <si>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</si>
  <si>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</si>
  <si>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</si>
  <si>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</si>
  <si>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</si>
  <si>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</si>
  <si>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</si>
  <si>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</si>
  <si>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</si>
  <si>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</si>
  <si>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</si>
  <si>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</si>
  <si>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</si>
  <si>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</si>
  <si>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</si>
  <si>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</si>
  <si>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</si>
  <si>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</si>
  <si>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</si>
  <si>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</si>
  <si>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</si>
  <si>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</si>
  <si>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</si>
  <si>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</si>
  <si>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</si>
  <si>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</si>
  <si>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</si>
  <si>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</si>
  <si>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</si>
  <si>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</si>
  <si>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</si>
  <si>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</si>
  <si>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</si>
  <si>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</si>
  <si>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</si>
  <si>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</si>
  <si>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</si>
  <si>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</si>
  <si>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</si>
  <si>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</si>
  <si>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</si>
  <si>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</si>
  <si>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</si>
  <si>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</si>
  <si>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</si>
  <si>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</si>
  <si>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</si>
  <si>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</si>
  <si>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</si>
  <si>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</si>
  <si>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</si>
  <si>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</si>
  <si>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</si>
  <si>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</si>
  <si>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</si>
  <si>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</si>
  <si>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</si>
  <si>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</si>
  <si>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</si>
  <si>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</si>
  <si>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</si>
  <si>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</si>
  <si>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</si>
  <si>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</si>
  <si>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</si>
  <si>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</si>
  <si>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</si>
  <si>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</si>
  <si>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</si>
  <si>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</si>
  <si>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</si>
  <si>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</si>
  <si>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</si>
  <si>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</si>
  <si>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</si>
  <si>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</si>
  <si>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</si>
  <si>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</si>
  <si>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</si>
  <si>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</si>
  <si>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</si>
  <si>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</si>
  <si>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</si>
  <si>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</si>
  <si>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</si>
  <si>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</si>
  <si>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</si>
  <si>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</si>
  <si>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</si>
  <si>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</si>
  <si>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</si>
  <si>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</si>
  <si>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</si>
  <si>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</si>
  <si>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</si>
  <si>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</si>
  <si>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</si>
  <si>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</si>
  <si>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</si>
  <si>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</si>
  <si>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</si>
  <si>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</si>
  <si>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</si>
  <si>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</si>
  <si>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</si>
  <si>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</si>
  <si>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</si>
  <si>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</si>
  <si>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</si>
  <si>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</si>
  <si>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</si>
  <si>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</si>
  <si>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</si>
  <si>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</si>
  <si>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</si>
  <si>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</si>
  <si>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</si>
  <si>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</si>
  <si>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</si>
  <si>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</si>
  <si>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</si>
  <si>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</si>
  <si>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</si>
  <si>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</si>
  <si>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</si>
  <si>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</si>
  <si>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</si>
  <si>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</si>
  <si>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</si>
  <si>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</si>
  <si>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</si>
  <si>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</si>
  <si>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</si>
  <si>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</si>
  <si>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</si>
  <si>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</si>
  <si>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</si>
  <si>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</si>
  <si>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</si>
  <si>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</si>
  <si>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</si>
  <si>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</si>
  <si>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</si>
  <si>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</si>
  <si>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</si>
  <si>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</si>
  <si>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</si>
  <si>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</si>
  <si>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</si>
  <si>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</si>
  <si>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</si>
  <si>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</si>
  <si>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</si>
  <si>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</si>
  <si>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</si>
  <si>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</si>
  <si>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</si>
  <si>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</si>
  <si>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</si>
  <si>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</si>
  <si>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</si>
  <si>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</si>
  <si>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</si>
  <si>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</si>
  <si>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</si>
  <si>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</si>
  <si>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</si>
  <si>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</si>
  <si>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</si>
  <si>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</si>
  <si>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</si>
  <si>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</si>
  <si>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</si>
  <si>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</si>
  <si>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</si>
  <si>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</si>
  <si>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</si>
  <si>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</si>
  <si>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</si>
  <si>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</si>
  <si>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</si>
  <si>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</si>
  <si>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</si>
  <si>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</si>
  <si>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</si>
  <si>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</si>
  <si>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</si>
  <si>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</si>
  <si>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</si>
  <si>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</si>
  <si>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</si>
  <si>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</si>
  <si>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</si>
  <si>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</si>
  <si>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</si>
  <si>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</si>
  <si>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</si>
  <si>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</si>
  <si>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</si>
  <si>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</si>
  <si>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</si>
  <si>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</si>
  <si>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</si>
  <si>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</si>
  <si>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</si>
  <si>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</si>
  <si>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</si>
  <si>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</si>
  <si>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</si>
  <si>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</si>
  <si>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</si>
  <si>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</si>
  <si>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</si>
  <si>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</si>
  <si>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</si>
  <si>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</si>
  <si>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</si>
  <si>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</si>
  <si>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</si>
  <si>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</si>
  <si>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</si>
  <si>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</si>
  <si>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</si>
  <si>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</si>
  <si>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</si>
  <si>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</si>
  <si>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</si>
  <si>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</si>
  <si>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</si>
  <si>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</si>
  <si>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</si>
  <si>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</si>
  <si>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</si>
  <si>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</si>
  <si>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</si>
  <si>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</si>
  <si>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</si>
  <si>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</si>
  <si>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</si>
  <si>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</si>
  <si>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</si>
  <si>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</si>
  <si>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</si>
  <si>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</si>
  <si>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</si>
  <si>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</si>
  <si>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</si>
  <si>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</si>
  <si>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</si>
  <si>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</si>
  <si>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</si>
  <si>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</si>
  <si>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</si>
  <si>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</si>
  <si>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</si>
  <si>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</si>
  <si>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</si>
  <si>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</si>
  <si>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</si>
  <si>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</si>
  <si>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</si>
  <si>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</si>
  <si>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</si>
  <si>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</si>
  <si>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</si>
  <si>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</si>
  <si>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</si>
  <si>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</si>
  <si>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</si>
  <si>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</si>
  <si>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</si>
  <si>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</si>
  <si>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</si>
  <si>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</si>
  <si>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</si>
  <si>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</si>
  <si>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</si>
  <si>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</si>
  <si>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</si>
  <si>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</si>
  <si>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</si>
  <si>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</si>
  <si>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</si>
  <si>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</si>
  <si>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</si>
  <si>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</si>
  <si>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</si>
  <si>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</si>
  <si>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</si>
  <si>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</si>
  <si>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</si>
  <si>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</si>
  <si>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</si>
  <si>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</si>
  <si>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</si>
  <si>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</si>
  <si>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</si>
  <si>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</si>
  <si>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</si>
  <si>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</si>
  <si>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</si>
  <si>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</si>
  <si>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</si>
  <si>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</si>
  <si>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</si>
  <si>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</si>
  <si>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</si>
  <si>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</si>
  <si>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</si>
  <si>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</si>
  <si>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</si>
  <si>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</si>
  <si>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</si>
  <si>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</si>
  <si>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</si>
  <si>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</si>
  <si>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</si>
  <si>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</si>
  <si>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</si>
  <si>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</si>
  <si>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</si>
  <si>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</si>
  <si>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</si>
  <si>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</si>
  <si>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</si>
  <si>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</si>
  <si>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</si>
  <si>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</si>
  <si>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</si>
  <si>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</si>
  <si>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</si>
  <si>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</si>
  <si>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</si>
  <si>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</si>
  <si>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</si>
  <si>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</si>
  <si>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</si>
  <si>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</si>
  <si>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</si>
  <si>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</si>
  <si>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</si>
  <si>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</si>
  <si>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</si>
  <si>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</si>
  <si>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</si>
  <si>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</si>
  <si>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</si>
  <si>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</si>
  <si>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</si>
  <si>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</si>
  <si>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</si>
  <si>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</si>
  <si>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</si>
  <si>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</si>
  <si>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</si>
  <si>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</si>
  <si>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</si>
  <si>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</si>
  <si>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</si>
  <si>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</si>
  <si>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</si>
  <si>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</si>
  <si>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</si>
  <si>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</si>
  <si>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</si>
  <si>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</si>
  <si>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</si>
  <si>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</si>
  <si>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</si>
  <si>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</si>
  <si>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</si>
  <si>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</si>
  <si>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</si>
  <si>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</si>
  <si>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</si>
  <si>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</si>
  <si>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</si>
  <si>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</si>
  <si>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</si>
  <si>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</si>
  <si>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</si>
  <si>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</si>
  <si>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</si>
  <si>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</si>
  <si>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</si>
  <si>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</si>
  <si>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</si>
  <si>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</si>
  <si>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</si>
  <si>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</si>
  <si>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</si>
  <si>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</si>
  <si>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</si>
  <si>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</si>
  <si>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</si>
  <si>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</si>
  <si>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</si>
  <si>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</si>
  <si>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</si>
  <si>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</si>
  <si>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</si>
  <si>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</si>
  <si>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</si>
  <si>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</si>
  <si>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</si>
  <si>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</si>
  <si>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</si>
  <si>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</si>
  <si>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</si>
  <si>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</si>
  <si>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</si>
  <si>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</si>
  <si>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</si>
  <si>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</si>
  <si>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</si>
  <si>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</si>
  <si>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</si>
  <si>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</si>
  <si>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</si>
  <si>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</si>
  <si>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</si>
  <si>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</si>
  <si>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</si>
  <si>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</si>
  <si>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</si>
  <si>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</si>
  <si>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</si>
  <si>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</si>
  <si>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</si>
  <si>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</si>
  <si>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</si>
  <si>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</si>
  <si>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</si>
  <si>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</si>
  <si>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</si>
  <si>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</si>
  <si>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</si>
  <si>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</si>
  <si>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</si>
  <si>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</si>
  <si>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</si>
  <si>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</si>
  <si>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</si>
  <si>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</si>
  <si>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</si>
  <si>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</si>
  <si>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</si>
  <si>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</si>
  <si>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</si>
  <si>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</si>
  <si>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</si>
  <si>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</si>
  <si>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</si>
  <si>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</si>
  <si>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</si>
  <si>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</si>
  <si>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</si>
  <si>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</si>
  <si>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</si>
  <si>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</si>
  <si>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</si>
  <si>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</si>
  <si>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</si>
  <si>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</si>
  <si>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</si>
  <si>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</si>
  <si>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</si>
  <si>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</si>
  <si>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</si>
  <si>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</si>
  <si>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</si>
  <si>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</si>
  <si>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</si>
  <si>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</si>
  <si>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</si>
  <si>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</si>
  <si>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</si>
  <si>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</si>
  <si>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</si>
  <si>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</si>
  <si>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</si>
  <si>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</si>
  <si>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</si>
  <si>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</si>
  <si>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</si>
  <si>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</si>
  <si>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</si>
  <si>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</si>
  <si>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</si>
  <si>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</si>
  <si>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</si>
  <si>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</si>
  <si>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</si>
  <si>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</si>
  <si>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</si>
  <si>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</si>
  <si>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</si>
  <si>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</si>
  <si>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</si>
  <si>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</si>
  <si>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</si>
  <si>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</si>
  <si>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</si>
  <si>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</si>
  <si>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</si>
  <si>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</si>
  <si>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</si>
  <si>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</si>
  <si>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</si>
  <si>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</si>
  <si>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</si>
  <si>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</si>
  <si>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</si>
  <si>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</si>
  <si>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</si>
  <si>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</si>
  <si>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</si>
  <si>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</si>
  <si>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</si>
  <si>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</si>
  <si>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</si>
  <si>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</si>
  <si>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</si>
  <si>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</si>
  <si>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</si>
  <si>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</si>
  <si>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</si>
  <si>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</si>
  <si>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</si>
  <si>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</si>
  <si>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</si>
  <si>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</si>
  <si>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</si>
  <si>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</si>
  <si>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</si>
  <si>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</si>
  <si>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</si>
  <si>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</si>
  <si>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</si>
  <si>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</si>
  <si>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</si>
  <si>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</si>
  <si>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</si>
  <si>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</si>
  <si>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</si>
  <si>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</si>
  <si>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</si>
  <si>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</si>
  <si>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</si>
  <si>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</si>
  <si>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</si>
  <si>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</si>
  <si>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</si>
  <si>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</si>
  <si>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</si>
  <si>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</si>
  <si>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</si>
  <si>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</si>
  <si>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</si>
  <si>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</si>
  <si>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</si>
  <si>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</si>
  <si>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</si>
  <si>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</si>
  <si>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</si>
  <si>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</si>
  <si>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</si>
  <si>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</si>
  <si>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</si>
  <si>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</si>
  <si>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</si>
  <si>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</si>
  <si>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</si>
  <si>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</si>
  <si>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</si>
  <si>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</si>
  <si>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</si>
  <si>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</si>
  <si>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</si>
  <si>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</si>
  <si>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</si>
  <si>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</si>
  <si>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</si>
  <si>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</si>
  <si>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</si>
  <si>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</si>
  <si>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</si>
  <si>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</si>
  <si>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</si>
  <si>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</si>
  <si>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</si>
  <si>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</si>
  <si>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</si>
  <si>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</si>
  <si>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</si>
  <si>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</si>
  <si>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</si>
  <si>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</si>
  <si>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</si>
  <si>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</si>
  <si>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</si>
  <si>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</si>
  <si>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</si>
  <si>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</si>
  <si>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</si>
  <si>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</si>
  <si>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</si>
  <si>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</si>
  <si>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</si>
  <si>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</si>
  <si>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</si>
  <si>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</si>
  <si>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</si>
  <si>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</si>
  <si>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</si>
  <si>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</si>
  <si>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</si>
  <si>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</si>
  <si>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</si>
  <si>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</si>
  <si>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</si>
  <si>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</si>
  <si>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</si>
  <si>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</si>
  <si>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</si>
  <si>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</si>
  <si>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</si>
  <si>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</si>
  <si>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</si>
  <si>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</si>
  <si>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</si>
  <si>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</si>
  <si>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</si>
  <si>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</si>
  <si>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</si>
  <si>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</si>
  <si>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</si>
  <si>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</si>
  <si>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</si>
  <si>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</si>
  <si>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</si>
  <si>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</si>
  <si>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</si>
  <si>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</si>
  <si>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</si>
  <si>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</si>
  <si>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</si>
  <si>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</si>
  <si>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</si>
  <si>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</si>
  <si>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</si>
  <si>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</si>
  <si>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</si>
  <si>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</si>
  <si>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</si>
  <si>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</si>
  <si>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</si>
  <si>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</si>
  <si>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</si>
  <si>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</si>
  <si>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</si>
  <si>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</si>
  <si>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</si>
  <si>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</si>
  <si>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</si>
  <si>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</si>
  <si>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</si>
  <si>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</si>
  <si>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</si>
  <si>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</si>
  <si>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</si>
  <si>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</si>
  <si>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</si>
  <si>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</si>
  <si>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</si>
  <si>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</si>
  <si>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</si>
  <si>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</si>
  <si>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</si>
  <si>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</si>
  <si>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</si>
  <si>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</si>
  <si>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</si>
  <si>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</si>
  <si>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</si>
  <si>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</si>
  <si>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</si>
  <si>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</si>
  <si>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</si>
  <si>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</si>
  <si>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</si>
  <si>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</si>
  <si>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</si>
  <si>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</si>
  <si>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</si>
  <si>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</si>
  <si>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</si>
  <si>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</si>
  <si>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</si>
  <si>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</si>
  <si>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</si>
  <si>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</si>
  <si>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</si>
  <si>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</si>
  <si>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</si>
  <si>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</si>
  <si>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</si>
  <si>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</si>
  <si>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</si>
  <si>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</si>
  <si>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</si>
  <si>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</si>
  <si>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</si>
  <si>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</si>
  <si>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</si>
  <si>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</si>
  <si>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</si>
  <si>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</si>
  <si>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</si>
  <si>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</si>
  <si>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</si>
  <si>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</si>
  <si>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</si>
  <si>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</si>
  <si>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</si>
  <si>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</si>
  <si>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</si>
  <si>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</si>
  <si>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</si>
  <si>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</si>
  <si>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</si>
  <si>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</si>
  <si>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</si>
  <si>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</si>
  <si>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</si>
  <si>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</si>
  <si>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</si>
  <si>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</si>
  <si>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</si>
  <si>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</si>
  <si>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</si>
  <si>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</si>
  <si>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</si>
  <si>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</si>
  <si>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</si>
  <si>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110105029001GB00457F00020009</t>
    <phoneticPr fontId="6" type="noConversion"/>
  </si>
  <si>
    <t>户型</t>
    <phoneticPr fontId="134" type="noConversion"/>
  </si>
  <si>
    <t>平层</t>
    <phoneticPr fontId="134" type="noConversion"/>
  </si>
  <si>
    <t>南北</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</si>
  <si>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</si>
  <si>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</si>
  <si>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</si>
  <si>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</si>
  <si>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</si>
  <si>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</si>
  <si>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</si>
  <si>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</si>
  <si>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</si>
  <si>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</si>
  <si>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</si>
  <si>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</si>
  <si>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</si>
  <si>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</si>
  <si>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</si>
  <si>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序号</t>
  </si>
  <si>
    <t>姓名</t>
  </si>
  <si>
    <t>身份证号</t>
  </si>
  <si>
    <t>联系电话</t>
  </si>
  <si>
    <t>所在区县</t>
  </si>
  <si>
    <t>楼号</t>
  </si>
  <si>
    <t>开发商(产权人)</t>
  </si>
  <si>
    <t>面积M2</t>
  </si>
  <si>
    <t>评估总额</t>
  </si>
  <si>
    <t>评估总额(万元)</t>
  </si>
  <si>
    <t>风险率</t>
  </si>
  <si>
    <t>最高抵押额</t>
  </si>
  <si>
    <t>大写</t>
  </si>
  <si>
    <t>年</t>
  </si>
  <si>
    <t>月</t>
  </si>
  <si>
    <t>日</t>
  </si>
  <si>
    <t>收费</t>
  </si>
  <si>
    <t>评估人</t>
  </si>
  <si>
    <t>工程进度</t>
  </si>
  <si>
    <t>结论</t>
  </si>
  <si>
    <t>备注</t>
  </si>
  <si>
    <t>周次</t>
  </si>
  <si>
    <t>编号</t>
  </si>
  <si>
    <t>复式、平层√、跃层、错层</t>
  </si>
  <si>
    <t>可抵押商品住宅</t>
  </si>
  <si>
    <t xml:space="preserve"> </t>
  </si>
  <si>
    <t>新增</t>
  </si>
  <si>
    <t>三</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</si>
  <si>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</si>
  <si>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</si>
  <si>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</si>
  <si>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</si>
  <si>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</si>
  <si>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</si>
  <si>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</si>
  <si>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</si>
  <si>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</si>
  <si>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</si>
  <si>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</si>
  <si>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</si>
  <si>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</si>
  <si>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</si>
  <si>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</si>
  <si>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</si>
  <si>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</si>
  <si>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燃气</t>
  </si>
  <si>
    <t>采暖</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</si>
  <si>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</si>
  <si>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</si>
  <si>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</si>
  <si>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</si>
  <si>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</si>
  <si>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</si>
  <si>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</si>
  <si>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</si>
  <si>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</si>
  <si>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</si>
  <si>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</si>
  <si>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</si>
  <si>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</si>
  <si>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</si>
  <si>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</si>
  <si>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</si>
  <si>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</si>
  <si>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</si>
  <si>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管道天然气</t>
  </si>
  <si>
    <t>市政供电</t>
  </si>
  <si>
    <t>市政供水</t>
  </si>
  <si>
    <t>标准居住区</t>
  </si>
  <si>
    <t>城市主干道、城市次干道√、支路</t>
  </si>
  <si>
    <t>天然气√、煤气</t>
  </si>
  <si>
    <t>至年</t>
  </si>
  <si>
    <t>公积金</t>
    <phoneticPr fontId="134" type="noConversion"/>
  </si>
  <si>
    <t>毛坯</t>
  </si>
  <si>
    <t>南</t>
  </si>
  <si>
    <t>高楼层</t>
    <phoneticPr fontId="24" type="noConversion"/>
  </si>
  <si>
    <t>原始户型</t>
    <phoneticPr fontId="24" type="noConversion"/>
  </si>
  <si>
    <t>毛坯</t>
    <phoneticPr fontId="24" type="noConversion"/>
  </si>
  <si>
    <t>涂料</t>
  </si>
  <si>
    <t>水泥地面，涂料墙面</t>
  </si>
  <si>
    <t>集中供暖</t>
  </si>
  <si>
    <t>电表磁卡计费</t>
  </si>
  <si>
    <t>利用周围配套设施</t>
  </si>
  <si>
    <t>十二</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</si>
  <si>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</si>
  <si>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</si>
  <si>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</si>
  <si>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</si>
  <si>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</si>
  <si>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</si>
  <si>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</si>
  <si>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</si>
  <si>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</si>
  <si>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</si>
  <si>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</si>
  <si>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</si>
  <si>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</si>
  <si>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</si>
  <si>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</si>
  <si>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</si>
  <si>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</si>
  <si>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</si>
  <si>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</si>
  <si>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</si>
  <si>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</si>
  <si>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</si>
  <si>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</si>
  <si>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</si>
  <si>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</si>
  <si>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</si>
  <si>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</si>
  <si>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</si>
  <si>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</si>
  <si>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</si>
  <si>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</si>
  <si>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</si>
  <si>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</si>
  <si>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</si>
  <si>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</si>
  <si>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</si>
  <si>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</si>
  <si>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</si>
  <si>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</si>
  <si>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</si>
  <si>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</si>
  <si>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</si>
  <si>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</si>
  <si>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</si>
  <si>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</si>
  <si>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</si>
  <si>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</si>
  <si>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</si>
  <si>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</si>
  <si>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</si>
  <si>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</si>
  <si>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</si>
  <si>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</si>
  <si>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</si>
  <si>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</si>
  <si>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</si>
  <si>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2009-2-CP-13112-GU</t>
    <phoneticPr fontId="3" type="noConversion"/>
  </si>
  <si>
    <t>张洪江</t>
    <phoneticPr fontId="3" type="noConversion"/>
  </si>
  <si>
    <t>372423197212315519</t>
    <phoneticPr fontId="3" type="noConversion"/>
  </si>
  <si>
    <t>13611319499</t>
    <phoneticPr fontId="3" type="noConversion"/>
  </si>
  <si>
    <t>兴化西里</t>
    <phoneticPr fontId="3" type="noConversion"/>
  </si>
  <si>
    <t>17号楼</t>
    <phoneticPr fontId="3" type="noConversion"/>
  </si>
  <si>
    <t>2单元</t>
    <phoneticPr fontId="3" type="noConversion"/>
  </si>
  <si>
    <t>502号</t>
    <phoneticPr fontId="3" type="noConversion"/>
  </si>
  <si>
    <t>刘灵周</t>
    <phoneticPr fontId="3" type="noConversion"/>
  </si>
  <si>
    <t>一室一厅一卫一厨</t>
    <phoneticPr fontId="3" type="noConversion"/>
  </si>
  <si>
    <t>复式、平层√、跃层、错层</t>
    <phoneticPr fontId="3" type="noConversion"/>
  </si>
  <si>
    <t>北京住房公积金管理中心住房公积金贷款中心</t>
  </si>
  <si>
    <t>冯德智</t>
    <phoneticPr fontId="3" type="noConversion"/>
  </si>
  <si>
    <t>二手房</t>
  </si>
  <si>
    <t>李晓岩</t>
  </si>
  <si>
    <t>九</t>
    <phoneticPr fontId="3" type="noConversion"/>
  </si>
  <si>
    <t>四</t>
    <phoneticPr fontId="3" type="noConversion"/>
  </si>
  <si>
    <t>张旭婷</t>
    <phoneticPr fontId="3" type="noConversion"/>
  </si>
  <si>
    <t>张旭婷</t>
  </si>
  <si>
    <t>二手房</t>
    <phoneticPr fontId="3" type="noConversion"/>
  </si>
  <si>
    <t>2009-2-CP-16238-GU</t>
    <phoneticPr fontId="3" type="noConversion"/>
  </si>
  <si>
    <t>周毅</t>
    <phoneticPr fontId="3" type="noConversion"/>
  </si>
  <si>
    <t>11011119730418821X</t>
    <phoneticPr fontId="3" type="noConversion"/>
  </si>
  <si>
    <t>13439082428</t>
    <phoneticPr fontId="3" type="noConversion"/>
  </si>
  <si>
    <t>兴化东里</t>
    <phoneticPr fontId="3" type="noConversion"/>
  </si>
  <si>
    <t>16号楼</t>
    <phoneticPr fontId="3" type="noConversion"/>
  </si>
  <si>
    <t>3单元</t>
    <phoneticPr fontId="3" type="noConversion"/>
  </si>
  <si>
    <t>302号</t>
    <phoneticPr fontId="3" type="noConversion"/>
  </si>
  <si>
    <t>刘文兰</t>
    <phoneticPr fontId="3" type="noConversion"/>
  </si>
  <si>
    <t>十一</t>
    <phoneticPr fontId="3" type="noConversion"/>
  </si>
  <si>
    <t>孙岳</t>
    <phoneticPr fontId="3" type="noConversion"/>
  </si>
  <si>
    <t>初审意见书</t>
    <phoneticPr fontId="3" type="noConversion"/>
  </si>
  <si>
    <t>买卖合同</t>
    <phoneticPr fontId="3" type="noConversion"/>
  </si>
  <si>
    <t>C</t>
    <phoneticPr fontId="3" type="noConversion"/>
  </si>
  <si>
    <t>192983</t>
    <phoneticPr fontId="3" type="noConversion"/>
  </si>
  <si>
    <t>2009-22-P-15380-U</t>
    <phoneticPr fontId="3" type="noConversion"/>
  </si>
  <si>
    <t>北京住房公积金管理中心中央国家机关分中心</t>
    <phoneticPr fontId="3" type="noConversion"/>
  </si>
  <si>
    <t>十</t>
    <phoneticPr fontId="3" type="noConversion"/>
  </si>
  <si>
    <t>五</t>
    <phoneticPr fontId="3" type="noConversion"/>
  </si>
  <si>
    <t>新增</t>
    <phoneticPr fontId="3" type="noConversion"/>
  </si>
  <si>
    <t>刘庆莉</t>
  </si>
  <si>
    <t>110105197508248125</t>
  </si>
  <si>
    <t>东城区</t>
  </si>
  <si>
    <t>兴化东里</t>
  </si>
  <si>
    <t>14号楼</t>
  </si>
  <si>
    <t>5单元</t>
  </si>
  <si>
    <t>14号</t>
  </si>
  <si>
    <t>杨一</t>
  </si>
  <si>
    <t>5</t>
  </si>
  <si>
    <t>二室二卫一厨</t>
  </si>
  <si>
    <t>北京住房公积金管理中心住房公积金贷款中心</t>
    <phoneticPr fontId="3" type="noConversion"/>
  </si>
  <si>
    <t>91302009121948</t>
    <phoneticPr fontId="3" type="noConversion"/>
  </si>
  <si>
    <t>门劲武、尹庆珊</t>
  </si>
  <si>
    <t>110108198007098636、110101198405205527</t>
  </si>
  <si>
    <t>15601395208</t>
  </si>
  <si>
    <t>地坛北里</t>
  </si>
  <si>
    <t>8号楼</t>
  </si>
  <si>
    <t>3单元</t>
  </si>
  <si>
    <t>503号</t>
  </si>
  <si>
    <t>陈思</t>
  </si>
  <si>
    <t>三室一厅一卫一厨</t>
  </si>
  <si>
    <t>李景辉</t>
  </si>
  <si>
    <t>十</t>
  </si>
  <si>
    <t>初审意见书</t>
  </si>
  <si>
    <t>兴化西里</t>
    <phoneticPr fontId="134" type="noConversion"/>
  </si>
  <si>
    <t>兴化东里</t>
    <phoneticPr fontId="134" type="noConversion"/>
  </si>
  <si>
    <t>地坛北里</t>
    <phoneticPr fontId="134" type="noConversion"/>
  </si>
  <si>
    <t>兴化西里17号楼2单元502号</t>
    <phoneticPr fontId="134" type="noConversion"/>
  </si>
  <si>
    <t>兴化东里14号楼5单元14号</t>
    <phoneticPr fontId="134" type="noConversion"/>
  </si>
  <si>
    <t>地坛北里8号楼3单元503号</t>
    <phoneticPr fontId="134" type="noConversion"/>
  </si>
  <si>
    <t>2009-2-CP-17012-GU</t>
    <phoneticPr fontId="134" type="noConversion"/>
  </si>
  <si>
    <t>2009-2-CP-13740-GU</t>
    <phoneticPr fontId="134" type="noConversion"/>
  </si>
  <si>
    <t>17号楼2-502</t>
    <phoneticPr fontId="3" type="noConversion"/>
  </si>
  <si>
    <t>涂料</t>
    <phoneticPr fontId="3" type="noConversion"/>
  </si>
  <si>
    <t>外窗：塑钢窗，户门：防盗门</t>
    <phoneticPr fontId="3" type="noConversion"/>
  </si>
  <si>
    <t>PVC吊顶</t>
    <phoneticPr fontId="3" type="noConversion"/>
  </si>
  <si>
    <t>瓷砖</t>
    <phoneticPr fontId="3" type="noConversion"/>
  </si>
  <si>
    <t>地砖、木地板</t>
    <phoneticPr fontId="3" type="noConversion"/>
  </si>
  <si>
    <t>地砖</t>
    <phoneticPr fontId="3" type="noConversion"/>
  </si>
  <si>
    <t>普通木门</t>
    <phoneticPr fontId="3" type="noConversion"/>
  </si>
  <si>
    <t>洗菜池、橱柜、灶具、抽油烟机</t>
    <phoneticPr fontId="3" type="noConversion"/>
  </si>
  <si>
    <t>面盆、座便器、浴缸</t>
    <phoneticPr fontId="3" type="noConversion"/>
  </si>
  <si>
    <t>水泥地面、涂料墙面</t>
    <phoneticPr fontId="3" type="noConversion"/>
  </si>
  <si>
    <t>市政供水</t>
    <phoneticPr fontId="174" type="noConversion"/>
  </si>
  <si>
    <t>市政排水</t>
    <phoneticPr fontId="3" type="noConversion"/>
  </si>
  <si>
    <t>集中供暖</t>
    <phoneticPr fontId="3" type="noConversion"/>
  </si>
  <si>
    <t>管道天然气</t>
    <phoneticPr fontId="3" type="noConversion"/>
  </si>
  <si>
    <t>电话线、有线电视、宽带入户</t>
    <phoneticPr fontId="3" type="noConversion"/>
  </si>
  <si>
    <t>消防井</t>
    <phoneticPr fontId="3" type="noConversion"/>
  </si>
  <si>
    <t>电表磁卡计费</t>
    <phoneticPr fontId="3" type="noConversion"/>
  </si>
  <si>
    <t>小区门卫、电子门禁</t>
    <phoneticPr fontId="3" type="noConversion"/>
  </si>
  <si>
    <t>无</t>
    <phoneticPr fontId="3" type="noConversion"/>
  </si>
  <si>
    <t>地下车库</t>
    <phoneticPr fontId="3" type="noConversion"/>
  </si>
  <si>
    <t>普通物业管理</t>
    <phoneticPr fontId="3" type="noConversion"/>
  </si>
  <si>
    <t>标准居住区</t>
    <phoneticPr fontId="3" type="noConversion"/>
  </si>
  <si>
    <t xml:space="preserve">市级、区级、小区级√、街区级   </t>
    <phoneticPr fontId="3" type="noConversion"/>
  </si>
  <si>
    <t>城市主干道、城市次干道√、支路</t>
    <phoneticPr fontId="3" type="noConversion"/>
  </si>
  <si>
    <t>有104快、430路等公交线路及地铁5号线经过</t>
    <phoneticPr fontId="3" type="noConversion"/>
  </si>
  <si>
    <t>天然气√、煤气</t>
    <phoneticPr fontId="3" type="noConversion"/>
  </si>
  <si>
    <t>板楼</t>
    <phoneticPr fontId="3" type="noConversion"/>
  </si>
  <si>
    <t>中</t>
    <phoneticPr fontId="3" type="noConversion"/>
  </si>
  <si>
    <t>七通一平</t>
    <phoneticPr fontId="3" type="noConversion"/>
  </si>
  <si>
    <t>较优</t>
    <phoneticPr fontId="3" type="noConversion"/>
  </si>
  <si>
    <t>东西</t>
    <phoneticPr fontId="3" type="noConversion"/>
  </si>
  <si>
    <t>2009-2-CP-17012-GU</t>
    <phoneticPr fontId="247" type="noConversion"/>
  </si>
  <si>
    <t>14号楼5单元14号</t>
  </si>
  <si>
    <t>外窗：塑钢窗；外门：防盗门、木门</t>
  </si>
  <si>
    <t>PVC吊顶</t>
  </si>
  <si>
    <t>瓷砖</t>
  </si>
  <si>
    <t>地砖</t>
  </si>
  <si>
    <t>普通木门</t>
  </si>
  <si>
    <t>洗菜池、橱柜、灶具、抽油烟机</t>
  </si>
  <si>
    <t>面盆、座便器</t>
  </si>
  <si>
    <t>市政排水</t>
  </si>
  <si>
    <t>有线电视、电话线、宽带入户</t>
  </si>
  <si>
    <t>消防井</t>
  </si>
  <si>
    <t>小区门卫、电子门禁</t>
  </si>
  <si>
    <t>楼前后停车</t>
  </si>
  <si>
    <t>普通物业管理</t>
  </si>
  <si>
    <t>市级、区级、小区级、街区级√</t>
  </si>
  <si>
    <t>有125、119、674路等公交线路及地铁5号线经过</t>
  </si>
  <si>
    <t>板楼</t>
  </si>
  <si>
    <t>中</t>
  </si>
  <si>
    <t>孟雪</t>
  </si>
  <si>
    <t>二</t>
  </si>
  <si>
    <t>西北</t>
  </si>
  <si>
    <t>2009-2-CP-13740-GU</t>
    <phoneticPr fontId="3" type="noConversion"/>
  </si>
  <si>
    <t>地坛北里</t>
    <phoneticPr fontId="3" type="noConversion"/>
  </si>
  <si>
    <t>8号楼3-503</t>
    <phoneticPr fontId="3" type="noConversion"/>
  </si>
  <si>
    <t>清水墙</t>
    <phoneticPr fontId="3" type="noConversion"/>
  </si>
  <si>
    <t>外窗：铝合金窗，户门：防盗门</t>
    <phoneticPr fontId="3" type="noConversion"/>
  </si>
  <si>
    <t>座便器</t>
    <phoneticPr fontId="3" type="noConversion"/>
  </si>
  <si>
    <t>市政供暖</t>
    <phoneticPr fontId="3" type="noConversion"/>
  </si>
  <si>
    <t>电表、气表磁卡计费</t>
    <phoneticPr fontId="3" type="noConversion"/>
  </si>
  <si>
    <t>楼前后停车</t>
    <phoneticPr fontId="3" type="noConversion"/>
  </si>
  <si>
    <t>有104、430路等公交线路及地铁5号线经过</t>
    <phoneticPr fontId="3" type="noConversion"/>
  </si>
  <si>
    <t>一般</t>
    <phoneticPr fontId="3" type="noConversion"/>
  </si>
  <si>
    <t>三</t>
    <phoneticPr fontId="3" type="noConversion"/>
  </si>
  <si>
    <t>南北</t>
    <phoneticPr fontId="3" type="noConversion"/>
  </si>
  <si>
    <t>京房权证东私字第W14657号</t>
    <phoneticPr fontId="19" type="noConversion"/>
  </si>
  <si>
    <t>东城区兴化西里17号楼2单元502号</t>
    <phoneticPr fontId="19" type="noConversion"/>
  </si>
  <si>
    <t>I-1-3-50（4）-19</t>
    <phoneticPr fontId="19" type="noConversion"/>
  </si>
  <si>
    <t>私有产</t>
    <phoneticPr fontId="19" type="noConversion"/>
  </si>
  <si>
    <t>2-502</t>
    <phoneticPr fontId="19" type="noConversion"/>
  </si>
  <si>
    <t>钢混</t>
    <phoneticPr fontId="19" type="noConversion"/>
  </si>
  <si>
    <t>住宅</t>
    <phoneticPr fontId="19" type="noConversion"/>
  </si>
  <si>
    <t>东西</t>
    <phoneticPr fontId="19" type="noConversion"/>
  </si>
  <si>
    <t>戴钧</t>
    <phoneticPr fontId="19" type="noConversion"/>
  </si>
  <si>
    <t>二</t>
    <phoneticPr fontId="19" type="noConversion"/>
  </si>
  <si>
    <t>2009-2-CP-17012-GU</t>
    <phoneticPr fontId="3" type="noConversion"/>
  </si>
  <si>
    <t>京房权证东私成字第21301号</t>
    <phoneticPr fontId="19" type="noConversion"/>
  </si>
  <si>
    <t>东城区兴化东里14号楼5单元14号</t>
    <phoneticPr fontId="19" type="noConversion"/>
  </si>
  <si>
    <t>Ⅰ-1-3-50（1）-8</t>
    <phoneticPr fontId="19" type="noConversion"/>
  </si>
  <si>
    <t>5-14</t>
    <phoneticPr fontId="19" type="noConversion"/>
  </si>
  <si>
    <t>砖混</t>
    <phoneticPr fontId="19" type="noConversion"/>
  </si>
  <si>
    <t>南</t>
    <phoneticPr fontId="19" type="noConversion"/>
  </si>
  <si>
    <t>孙岳</t>
    <phoneticPr fontId="19" type="noConversion"/>
  </si>
  <si>
    <t>五</t>
    <phoneticPr fontId="19" type="noConversion"/>
  </si>
  <si>
    <t>京房权证东私成字第00122号</t>
    <phoneticPr fontId="19" type="noConversion"/>
  </si>
  <si>
    <t>北京市东城区地坛北里8号楼3单元503号</t>
    <phoneticPr fontId="19" type="noConversion"/>
  </si>
  <si>
    <t>I-1-3-50（2）</t>
    <phoneticPr fontId="19" type="noConversion"/>
  </si>
  <si>
    <t>混合</t>
    <phoneticPr fontId="3" type="noConversion"/>
  </si>
  <si>
    <t>吴铭</t>
    <phoneticPr fontId="3" type="noConversion"/>
  </si>
  <si>
    <t>一</t>
    <phoneticPr fontId="19" type="noConversion"/>
  </si>
  <si>
    <t>原产权证</t>
    <phoneticPr fontId="19" type="noConversion"/>
  </si>
  <si>
    <t>录入修改时间</t>
  </si>
  <si>
    <t>建筑装饰配件及附属设备</t>
  </si>
  <si>
    <t>排水</t>
  </si>
  <si>
    <t>通讯</t>
  </si>
  <si>
    <t>通风</t>
  </si>
  <si>
    <t>楼宇类型</t>
  </si>
  <si>
    <t>环境</t>
  </si>
  <si>
    <t>积聚程度</t>
  </si>
  <si>
    <t>基础设施</t>
  </si>
  <si>
    <t>居住密度</t>
  </si>
  <si>
    <t>园林绿化</t>
  </si>
  <si>
    <t>变更类型</t>
  </si>
  <si>
    <t>建成年代</t>
    <phoneticPr fontId="3" type="noConversion"/>
  </si>
  <si>
    <t>朝向</t>
    <phoneticPr fontId="3" type="noConversion"/>
  </si>
  <si>
    <t>贷款额度</t>
    <phoneticPr fontId="3" type="noConversion"/>
  </si>
  <si>
    <t>贷款年限</t>
    <phoneticPr fontId="3" type="noConversion"/>
  </si>
  <si>
    <t>房屋状况</t>
  </si>
  <si>
    <t>新产权证</t>
    <phoneticPr fontId="19" type="noConversion"/>
  </si>
  <si>
    <t>他项权利</t>
  </si>
  <si>
    <t>房屋所有权证号</t>
  </si>
  <si>
    <t>房屋座落</t>
  </si>
  <si>
    <t>地号</t>
  </si>
  <si>
    <t>产别</t>
  </si>
  <si>
    <t>幢号</t>
  </si>
  <si>
    <t>房号</t>
  </si>
  <si>
    <t>结构</t>
  </si>
  <si>
    <t>房屋总层数</t>
  </si>
  <si>
    <t>设计用途</t>
  </si>
  <si>
    <t>建成年代</t>
  </si>
  <si>
    <t>朝向</t>
  </si>
  <si>
    <t>卖方房屋所有权证号</t>
    <phoneticPr fontId="3" type="noConversion"/>
  </si>
  <si>
    <t>房屋所有权人</t>
    <phoneticPr fontId="3" type="noConversion"/>
  </si>
  <si>
    <t>共有情况</t>
    <phoneticPr fontId="3" type="noConversion"/>
  </si>
  <si>
    <t>登记时间</t>
    <phoneticPr fontId="3" type="noConversion"/>
  </si>
  <si>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</si>
  <si>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</si>
  <si>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</si>
  <si>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</si>
  <si>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</si>
  <si>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</si>
  <si>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</si>
  <si>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</si>
  <si>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</si>
  <si>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</si>
  <si>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</si>
  <si>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周边有和平里社区、青年湖小区、青年湖北里、小黄庄前街2号院等住宅小区，居住社区成熟度较好。</t>
    <phoneticPr fontId="40" type="noConversion"/>
  </si>
  <si>
    <t>周边有104路、119路、125路、430路等多条公交线路及地铁5号线和平里北街站，综合评价交通便捷度较好</t>
    <phoneticPr fontId="40" type="noConversion"/>
  </si>
  <si>
    <t>周边有地坛公园、青年湖公园、柳荫公园等自然及人文景观，综合评价环境状况较好。
综合评价环境状况较好。</t>
    <phoneticPr fontId="40"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</si>
  <si>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40" type="noConversion"/>
  </si>
  <si>
    <t>周边有和平里社区、青年湖小区、青年湖北里、小黄庄前街2号院等住宅小区，居住社区成熟度较好。</t>
    <phoneticPr fontId="24" type="noConversion"/>
  </si>
  <si>
    <t>周边有104路、119路、125路、430路等多条公交线路及地铁5号线和平里北街站，综合评价交通便捷度较好</t>
    <phoneticPr fontId="24"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</si>
  <si>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24" type="noConversion"/>
  </si>
  <si>
    <t>周边有地坛公园、青年湖公园、柳荫公园等自然及人文景观，综合评价环境状况较好。</t>
    <phoneticPr fontId="24" type="noConversion"/>
  </si>
  <si>
    <t>东西</t>
  </si>
  <si>
    <t>成新度</t>
    <phoneticPr fontId="24" type="noConversion"/>
  </si>
  <si>
    <t>六成新</t>
    <phoneticPr fontId="24" type="noConversion"/>
  </si>
  <si>
    <t>九成新</t>
    <phoneticPr fontId="24" type="noConversion"/>
  </si>
  <si>
    <t>七成新</t>
    <phoneticPr fontId="24" type="noConversion"/>
  </si>
  <si>
    <t>4/5</t>
    <phoneticPr fontId="24" type="noConversion"/>
  </si>
  <si>
    <t>5/6</t>
    <phoneticPr fontId="24" type="noConversion"/>
  </si>
  <si>
    <t>5/5</t>
    <phoneticPr fontId="24" type="noConversion"/>
  </si>
  <si>
    <t>顶层</t>
    <phoneticPr fontId="24" type="noConversion"/>
  </si>
  <si>
    <t>砖混</t>
  </si>
  <si>
    <t>多层板楼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</si>
</sst>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indexed="8"/>
      <name val="Arial"/>
      <family val="3"/>
      <charset val="134"/>
    </font>
    <font>
      <sz val="12"/>
      <color indexed="8"/>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F0"/>
        <bgColor indexed="64"/>
      </patternFill>
    </fill>
    <fill>
      <patternFill patternType="solid">
        <fgColor indexed="43"/>
        <bgColor indexed="64"/>
      </patternFill>
    </fill>
    <fill>
      <patternFill patternType="solid">
        <fgColor indexed="2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80" fillId="0" borderId="0" xfId="0" applyFont="1" applyAlignment="1" applyProtection="1">
      <alignment horizontal="center"/>
      <protection locked="0"/>
    </xf>
    <xf numFmtId="0" fontId="19" fillId="0" borderId="0" xfId="0" applyFont="1" applyAlignment="1"/>
    <xf numFmtId="0" fontId="19" fillId="0" borderId="0" xfId="0" applyFont="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49" fontId="19" fillId="22" borderId="176" xfId="0" applyNumberFormat="1" applyFont="1" applyFill="1" applyBorder="1" applyAlignment="1">
      <alignment horizontal="left"/>
    </xf>
    <xf numFmtId="0" fontId="19" fillId="22" borderId="176" xfId="0" applyFont="1" applyFill="1" applyBorder="1" applyAlignment="1">
      <alignment horizontal="left"/>
    </xf>
    <xf numFmtId="0" fontId="19" fillId="22" borderId="176" xfId="0" applyFont="1" applyFill="1" applyBorder="1" applyAlignment="1">
      <alignment horizontal="center"/>
    </xf>
    <xf numFmtId="31" fontId="19" fillId="22" borderId="176" xfId="0" applyNumberFormat="1" applyFont="1" applyFill="1" applyBorder="1" applyAlignment="1"/>
    <xf numFmtId="0" fontId="19" fillId="22" borderId="176" xfId="0" applyFont="1" applyFill="1" applyBorder="1" applyAlignment="1"/>
    <xf numFmtId="9" fontId="19" fillId="22" borderId="176" xfId="0" applyNumberFormat="1" applyFont="1" applyFill="1" applyBorder="1" applyAlignment="1"/>
    <xf numFmtId="0" fontId="273" fillId="6" borderId="48" xfId="0" applyFont="1" applyFill="1" applyBorder="1">
      <alignment vertical="center"/>
    </xf>
    <xf numFmtId="0" fontId="58" fillId="23" borderId="48" xfId="0" applyFont="1" applyFill="1" applyBorder="1" applyAlignment="1">
      <alignment horizontal="center" vertical="center" wrapText="1"/>
    </xf>
    <xf numFmtId="0" fontId="58" fillId="23" borderId="48" xfId="0" applyFont="1" applyFill="1" applyBorder="1" applyAlignment="1" applyProtection="1">
      <alignment horizontal="center" vertical="center" wrapText="1"/>
      <protection locked="0"/>
    </xf>
    <xf numFmtId="49" fontId="19" fillId="24" borderId="176" xfId="0" applyNumberFormat="1" applyFont="1" applyFill="1" applyBorder="1" applyAlignment="1" applyProtection="1">
      <alignment horizontal="left"/>
      <protection locked="0"/>
    </xf>
    <xf numFmtId="0" fontId="19" fillId="24" borderId="176" xfId="0" applyFont="1" applyFill="1" applyBorder="1" applyAlignment="1" applyProtection="1">
      <alignment horizontal="center"/>
      <protection locked="0"/>
    </xf>
    <xf numFmtId="49" fontId="19" fillId="24" borderId="176" xfId="0" applyNumberFormat="1" applyFont="1" applyFill="1" applyBorder="1" applyAlignment="1" applyProtection="1">
      <alignment horizontal="center"/>
      <protection locked="0"/>
    </xf>
    <xf numFmtId="0" fontId="19" fillId="24" borderId="176" xfId="0" applyFont="1" applyFill="1" applyBorder="1" applyAlignment="1" applyProtection="1">
      <protection locked="0"/>
    </xf>
    <xf numFmtId="0" fontId="19" fillId="24" borderId="176" xfId="0" applyFont="1" applyFill="1" applyBorder="1" applyAlignment="1" applyProtection="1">
      <alignment horizontal="left"/>
      <protection locked="0"/>
    </xf>
    <xf numFmtId="0" fontId="19" fillId="24" borderId="176" xfId="0" applyFont="1" applyFill="1" applyBorder="1" applyAlignment="1" applyProtection="1">
      <alignment horizontal="right"/>
      <protection locked="0"/>
    </xf>
    <xf numFmtId="198" fontId="19" fillId="24" borderId="176" xfId="0" applyNumberFormat="1" applyFont="1" applyFill="1" applyBorder="1" applyAlignment="1" applyProtection="1">
      <alignment horizontal="left"/>
      <protection locked="0"/>
    </xf>
    <xf numFmtId="198" fontId="19" fillId="24" borderId="176" xfId="0" applyNumberFormat="1" applyFont="1" applyFill="1" applyBorder="1" applyAlignment="1" applyProtection="1">
      <alignment horizontal="right"/>
      <protection locked="0"/>
    </xf>
    <xf numFmtId="0" fontId="184" fillId="24" borderId="176" xfId="0" applyFont="1" applyFill="1" applyBorder="1" applyAlignment="1" applyProtection="1">
      <alignment horizontal="left"/>
      <protection locked="0"/>
    </xf>
    <xf numFmtId="0" fontId="184" fillId="24" borderId="176" xfId="0" applyFont="1" applyFill="1" applyBorder="1" applyAlignment="1" applyProtection="1">
      <protection locked="0"/>
    </xf>
    <xf numFmtId="31" fontId="19" fillId="24" borderId="176" xfId="0" applyNumberFormat="1" applyFont="1" applyFill="1" applyBorder="1" applyAlignment="1" applyProtection="1">
      <protection locked="0"/>
    </xf>
    <xf numFmtId="0" fontId="176" fillId="24" borderId="176" xfId="0"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24" borderId="176" xfId="0" applyFont="1" applyFill="1" applyBorder="1" applyAlignment="1">
      <alignment horizontal="center"/>
    </xf>
    <xf numFmtId="0" fontId="19" fillId="22" borderId="176" xfId="0" applyFont="1" applyFill="1" applyBorder="1" applyAlignment="1" applyProtection="1">
      <protection locked="0"/>
    </xf>
    <xf numFmtId="49" fontId="19" fillId="22" borderId="176" xfId="0" applyNumberFormat="1" applyFont="1" applyFill="1" applyBorder="1" applyAlignment="1" applyProtection="1">
      <protection locked="0"/>
    </xf>
    <xf numFmtId="199" fontId="19" fillId="22" borderId="176" xfId="0" applyNumberFormat="1" applyFont="1" applyFill="1" applyBorder="1" applyAlignment="1" applyProtection="1">
      <protection locked="0"/>
    </xf>
    <xf numFmtId="179" fontId="19" fillId="22" borderId="176" xfId="0" applyNumberFormat="1" applyFont="1" applyFill="1" applyBorder="1" applyAlignment="1" applyProtection="1">
      <protection locked="0"/>
    </xf>
    <xf numFmtId="31" fontId="19" fillId="22" borderId="176" xfId="0" applyNumberFormat="1" applyFont="1" applyFill="1" applyBorder="1" applyAlignment="1" applyProtection="1">
      <protection locked="0"/>
    </xf>
    <xf numFmtId="183" fontId="80" fillId="24" borderId="176" xfId="0" applyNumberFormat="1" applyFont="1" applyFill="1" applyBorder="1" applyAlignment="1" applyProtection="1">
      <alignment horizontal="center"/>
      <protection locked="0"/>
    </xf>
    <xf numFmtId="183" fontId="176" fillId="24" borderId="176" xfId="0" applyNumberFormat="1" applyFont="1" applyFill="1" applyBorder="1" applyAlignment="1" applyProtection="1">
      <alignment horizontal="center"/>
      <protection locked="0"/>
    </xf>
    <xf numFmtId="0" fontId="80" fillId="25" borderId="176" xfId="0" applyFont="1" applyFill="1" applyBorder="1" applyAlignment="1" applyProtection="1">
      <alignment horizontal="center"/>
      <protection locked="0"/>
    </xf>
    <xf numFmtId="0" fontId="19" fillId="0" borderId="0" xfId="0" applyFont="1" applyAlignment="1" applyProtection="1">
      <protection locked="0"/>
    </xf>
    <xf numFmtId="49" fontId="80" fillId="24" borderId="176" xfId="0" applyNumberFormat="1" applyFont="1" applyFill="1" applyBorder="1" applyAlignment="1" applyProtection="1">
      <alignment horizontal="center"/>
      <protection locked="0"/>
    </xf>
    <xf numFmtId="198" fontId="80" fillId="24" borderId="176" xfId="0" applyNumberFormat="1" applyFont="1" applyFill="1" applyBorder="1" applyAlignment="1" applyProtection="1">
      <alignment horizontal="center"/>
      <protection locked="0"/>
    </xf>
    <xf numFmtId="31" fontId="80" fillId="24"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46" fontId="80" fillId="22" borderId="176" xfId="0" applyNumberFormat="1" applyFont="1" applyFill="1" applyBorder="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99" fontId="80" fillId="22" borderId="176" xfId="0" applyNumberFormat="1" applyFont="1" applyFill="1" applyBorder="1" applyAlignment="1" applyProtection="1">
      <alignment horizontal="center"/>
      <protection locked="0"/>
    </xf>
    <xf numFmtId="179"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1" fontId="19" fillId="22" borderId="176" xfId="0" applyNumberFormat="1" applyFont="1" applyFill="1" applyBorder="1" applyAlignment="1">
      <alignment horizontal="center"/>
    </xf>
    <xf numFmtId="2" fontId="19" fillId="22" borderId="176" xfId="0" applyNumberFormat="1" applyFont="1" applyFill="1" applyBorder="1" applyAlignment="1">
      <alignment horizontal="right"/>
    </xf>
    <xf numFmtId="198" fontId="19" fillId="22" borderId="176" xfId="0" applyNumberFormat="1" applyFont="1" applyFill="1" applyBorder="1" applyAlignment="1"/>
    <xf numFmtId="198" fontId="19" fillId="22" borderId="176" xfId="0" applyNumberFormat="1" applyFont="1" applyFill="1" applyBorder="1" applyAlignment="1">
      <alignment horizontal="right"/>
    </xf>
    <xf numFmtId="200" fontId="19" fillId="22" borderId="176" xfId="0" applyNumberFormat="1" applyFont="1" applyFill="1" applyBorder="1" applyAlignment="1">
      <alignment horizontal="center"/>
    </xf>
    <xf numFmtId="49" fontId="19" fillId="22" borderId="176" xfId="0" applyNumberFormat="1" applyFont="1" applyFill="1" applyBorder="1" applyAlignment="1"/>
    <xf numFmtId="199" fontId="19" fillId="22" borderId="176" xfId="0" applyNumberFormat="1" applyFont="1" applyFill="1" applyBorder="1" applyAlignment="1"/>
    <xf numFmtId="179" fontId="19" fillId="22" borderId="176" xfId="0" applyNumberFormat="1" applyFont="1" applyFill="1" applyBorder="1" applyAlignment="1"/>
    <xf numFmtId="183" fontId="19" fillId="22" borderId="176" xfId="0" applyNumberFormat="1" applyFont="1" applyFill="1" applyBorder="1" applyAlignment="1" applyProtection="1">
      <protection locked="0"/>
    </xf>
    <xf numFmtId="0" fontId="275" fillId="0" borderId="0" xfId="0" applyFont="1" applyAlignment="1"/>
    <xf numFmtId="176" fontId="19" fillId="22" borderId="176" xfId="0" applyNumberFormat="1" applyFont="1" applyFill="1" applyBorder="1" applyAlignment="1">
      <alignment horizontal="right"/>
    </xf>
    <xf numFmtId="0" fontId="129" fillId="22" borderId="176" xfId="0" applyFont="1" applyFill="1" applyBorder="1" applyAlignment="1"/>
    <xf numFmtId="49" fontId="129" fillId="22" borderId="176" xfId="0" applyNumberFormat="1" applyFont="1" applyFill="1" applyBorder="1" applyAlignment="1"/>
    <xf numFmtId="1" fontId="129" fillId="22" borderId="176" xfId="0" applyNumberFormat="1" applyFont="1" applyFill="1" applyBorder="1" applyAlignment="1">
      <alignment horizontal="center"/>
    </xf>
    <xf numFmtId="2" fontId="129" fillId="22" borderId="176" xfId="0" applyNumberFormat="1" applyFont="1" applyFill="1" applyBorder="1" applyAlignment="1">
      <alignment horizontal="right"/>
    </xf>
    <xf numFmtId="198" fontId="129" fillId="22" borderId="176" xfId="0" applyNumberFormat="1" applyFont="1" applyFill="1" applyBorder="1" applyAlignment="1"/>
    <xf numFmtId="9" fontId="129" fillId="22" borderId="176" xfId="0" applyNumberFormat="1" applyFont="1" applyFill="1" applyBorder="1" applyAlignment="1"/>
    <xf numFmtId="198" fontId="129" fillId="22" borderId="176" xfId="0" applyNumberFormat="1" applyFont="1" applyFill="1" applyBorder="1" applyAlignment="1">
      <alignment horizontal="right"/>
    </xf>
    <xf numFmtId="0" fontId="129" fillId="22" borderId="176" xfId="0" applyFont="1" applyFill="1" applyBorder="1" applyAlignment="1" applyProtection="1">
      <protection locked="0"/>
    </xf>
    <xf numFmtId="0" fontId="129" fillId="22" borderId="176" xfId="0" applyFont="1" applyFill="1" applyBorder="1" applyAlignment="1">
      <alignment horizontal="center"/>
    </xf>
    <xf numFmtId="31" fontId="129" fillId="22" borderId="176" xfId="0" applyNumberFormat="1" applyFont="1" applyFill="1" applyBorder="1" applyAlignment="1"/>
    <xf numFmtId="200" fontId="129" fillId="22" borderId="176" xfId="0" applyNumberFormat="1" applyFont="1" applyFill="1" applyBorder="1" applyAlignment="1">
      <alignment horizontal="center"/>
    </xf>
    <xf numFmtId="49" fontId="129" fillId="22" borderId="176" xfId="0" applyNumberFormat="1" applyFont="1" applyFill="1" applyBorder="1" applyAlignment="1" applyProtection="1">
      <protection locked="0"/>
    </xf>
    <xf numFmtId="199" fontId="129" fillId="22" borderId="176" xfId="0" applyNumberFormat="1" applyFont="1" applyFill="1" applyBorder="1" applyAlignment="1" applyProtection="1">
      <protection locked="0"/>
    </xf>
    <xf numFmtId="179" fontId="129" fillId="22" borderId="176" xfId="0" applyNumberFormat="1" applyFont="1" applyFill="1" applyBorder="1" applyAlignment="1" applyProtection="1">
      <protection locked="0"/>
    </xf>
    <xf numFmtId="31" fontId="129" fillId="22" borderId="176" xfId="0" applyNumberFormat="1" applyFont="1" applyFill="1" applyBorder="1" applyAlignment="1" applyProtection="1">
      <protection locked="0"/>
    </xf>
    <xf numFmtId="183" fontId="129" fillId="22" borderId="176" xfId="0" applyNumberFormat="1" applyFont="1" applyFill="1" applyBorder="1" applyAlignment="1" applyProtection="1">
      <protection locked="0"/>
    </xf>
    <xf numFmtId="0" fontId="276" fillId="0" borderId="0" xfId="0" applyFont="1" applyAlignment="1"/>
    <xf numFmtId="0" fontId="129" fillId="0" borderId="0" xfId="0" applyFont="1" applyAlignment="1" applyProtection="1">
      <protection locked="0"/>
    </xf>
    <xf numFmtId="0" fontId="129" fillId="0" borderId="178" xfId="0" applyFont="1" applyBorder="1" applyAlignment="1"/>
    <xf numFmtId="49" fontId="129" fillId="0" borderId="178" xfId="0" applyNumberFormat="1" applyFont="1" applyBorder="1" applyAlignment="1">
      <alignment horizontal="left"/>
    </xf>
    <xf numFmtId="1" fontId="129" fillId="0" borderId="178" xfId="0" applyNumberFormat="1" applyFont="1" applyBorder="1" applyAlignment="1">
      <alignment horizontal="center"/>
    </xf>
    <xf numFmtId="2" fontId="129" fillId="0" borderId="178" xfId="0" applyNumberFormat="1" applyFont="1" applyBorder="1" applyAlignment="1">
      <alignment horizontal="right"/>
    </xf>
    <xf numFmtId="198" fontId="129" fillId="0" borderId="178" xfId="0" applyNumberFormat="1" applyFont="1" applyBorder="1" applyAlignment="1"/>
    <xf numFmtId="9" fontId="129" fillId="0" borderId="178" xfId="0" applyNumberFormat="1" applyFont="1" applyBorder="1" applyAlignment="1"/>
    <xf numFmtId="198" fontId="129" fillId="0" borderId="178" xfId="0" applyNumberFormat="1" applyFont="1" applyBorder="1" applyAlignment="1">
      <alignment horizontal="right"/>
    </xf>
    <xf numFmtId="0" fontId="129" fillId="0" borderId="178" xfId="0" applyFont="1" applyBorder="1" applyAlignment="1" applyProtection="1">
      <protection locked="0"/>
    </xf>
    <xf numFmtId="31" fontId="129" fillId="0" borderId="178" xfId="0" applyNumberFormat="1" applyFont="1" applyBorder="1" applyAlignment="1"/>
    <xf numFmtId="200" fontId="129" fillId="0" borderId="178" xfId="0" applyNumberFormat="1" applyFont="1" applyBorder="1" applyAlignment="1">
      <alignment horizontal="center"/>
    </xf>
    <xf numFmtId="0" fontId="129" fillId="0" borderId="178" xfId="0" applyFont="1" applyBorder="1" applyAlignment="1">
      <alignment horizontal="center"/>
    </xf>
    <xf numFmtId="0" fontId="129" fillId="0" borderId="178" xfId="0" applyFont="1" applyBorder="1" applyAlignment="1">
      <alignment horizontal="left"/>
    </xf>
    <xf numFmtId="49" fontId="129" fillId="0" borderId="178" xfId="0" applyNumberFormat="1" applyFont="1" applyBorder="1" applyAlignment="1"/>
    <xf numFmtId="199" fontId="129" fillId="0" borderId="178" xfId="0" applyNumberFormat="1" applyFont="1" applyBorder="1" applyAlignment="1"/>
    <xf numFmtId="179" fontId="129" fillId="0" borderId="178" xfId="0" applyNumberFormat="1" applyFont="1" applyBorder="1" applyAlignment="1"/>
    <xf numFmtId="183" fontId="129" fillId="0" borderId="178" xfId="0" applyNumberFormat="1" applyFont="1" applyBorder="1" applyAlignment="1" applyProtection="1">
      <protection locked="0"/>
    </xf>
    <xf numFmtId="49" fontId="129" fillId="0" borderId="0" xfId="0" applyNumberFormat="1" applyFont="1" applyAlignment="1" applyProtection="1">
      <alignment horizontal="center"/>
      <protection locked="0"/>
    </xf>
    <xf numFmtId="0" fontId="129" fillId="0" borderId="0" xfId="0" applyFont="1" applyAlignment="1"/>
    <xf numFmtId="0" fontId="129" fillId="22" borderId="176" xfId="0" applyFont="1" applyFill="1" applyBorder="1" applyAlignment="1">
      <alignment horizontal="left"/>
    </xf>
    <xf numFmtId="49" fontId="129" fillId="22" borderId="176" xfId="0" applyNumberFormat="1" applyFont="1" applyFill="1" applyBorder="1" applyAlignment="1">
      <alignment horizontal="left"/>
    </xf>
    <xf numFmtId="199" fontId="129" fillId="22" borderId="176" xfId="0" applyNumberFormat="1" applyFont="1" applyFill="1" applyBorder="1" applyAlignment="1"/>
    <xf numFmtId="179" fontId="129" fillId="22" borderId="176" xfId="0" applyNumberFormat="1" applyFont="1" applyFill="1" applyBorder="1" applyAlignment="1"/>
    <xf numFmtId="0" fontId="51" fillId="5" borderId="6" xfId="0" applyFont="1" applyFill="1" applyBorder="1" applyAlignment="1" applyProtection="1">
      <alignment horizontal="center" vertical="center" wrapText="1"/>
      <protection locked="0"/>
    </xf>
    <xf numFmtId="0" fontId="19" fillId="22" borderId="178" xfId="0" applyFont="1" applyFill="1" applyBorder="1" applyAlignment="1">
      <alignment horizontal="left"/>
    </xf>
    <xf numFmtId="0" fontId="19" fillId="22" borderId="178" xfId="0" applyFont="1" applyFill="1" applyBorder="1" applyAlignment="1"/>
    <xf numFmtId="0" fontId="19" fillId="22" borderId="178" xfId="0" applyFont="1" applyFill="1" applyBorder="1" applyAlignment="1" applyProtection="1">
      <protection locked="0"/>
    </xf>
    <xf numFmtId="49" fontId="19" fillId="22" borderId="178" xfId="0" applyNumberFormat="1" applyFont="1" applyFill="1" applyBorder="1" applyAlignment="1"/>
    <xf numFmtId="14" fontId="19" fillId="22" borderId="178" xfId="0" applyNumberFormat="1" applyFont="1" applyFill="1" applyBorder="1" applyAlignment="1"/>
    <xf numFmtId="0" fontId="19" fillId="22" borderId="178" xfId="0" applyFont="1" applyFill="1" applyBorder="1" applyAlignment="1">
      <alignment horizontal="right"/>
    </xf>
    <xf numFmtId="2" fontId="19" fillId="22" borderId="178" xfId="0" applyNumberFormat="1" applyFont="1" applyFill="1" applyBorder="1" applyAlignment="1">
      <alignment horizontal="right"/>
    </xf>
    <xf numFmtId="198" fontId="19" fillId="22" borderId="178" xfId="0" applyNumberFormat="1" applyFont="1" applyFill="1" applyBorder="1" applyAlignment="1"/>
    <xf numFmtId="9" fontId="19" fillId="22" borderId="178" xfId="0" applyNumberFormat="1" applyFont="1" applyFill="1" applyBorder="1" applyAlignment="1">
      <alignment horizontal="right"/>
    </xf>
    <xf numFmtId="198" fontId="19" fillId="22" borderId="178" xfId="0" applyNumberFormat="1" applyFont="1" applyFill="1" applyBorder="1" applyAlignment="1">
      <alignment horizontal="right"/>
    </xf>
    <xf numFmtId="49" fontId="19" fillId="0" borderId="0" xfId="0" applyNumberFormat="1" applyFont="1" applyAlignment="1"/>
    <xf numFmtId="31" fontId="19" fillId="0" borderId="0" xfId="0" applyNumberFormat="1" applyFont="1" applyAlignment="1">
      <alignment horizontal="left"/>
    </xf>
    <xf numFmtId="183" fontId="19" fillId="0" borderId="0" xfId="0" applyNumberFormat="1" applyFont="1" applyAlignment="1" applyProtection="1">
      <protection locked="0"/>
    </xf>
    <xf numFmtId="0" fontId="80" fillId="24" borderId="178" xfId="0" applyFont="1" applyFill="1" applyBorder="1" applyAlignment="1">
      <alignment horizontal="center"/>
    </xf>
    <xf numFmtId="49" fontId="80" fillId="24" borderId="178" xfId="0" applyNumberFormat="1" applyFont="1" applyFill="1" applyBorder="1" applyAlignment="1">
      <alignment horizontal="center"/>
    </xf>
    <xf numFmtId="9" fontId="80" fillId="24" borderId="178" xfId="0" applyNumberFormat="1" applyFont="1" applyFill="1" applyBorder="1" applyAlignment="1">
      <alignment horizontal="center"/>
    </xf>
    <xf numFmtId="0" fontId="80" fillId="24" borderId="177" xfId="0" applyFont="1" applyFill="1" applyBorder="1" applyAlignment="1">
      <alignment horizontal="center"/>
    </xf>
    <xf numFmtId="49" fontId="80" fillId="24" borderId="177" xfId="0" applyNumberFormat="1" applyFont="1" applyFill="1" applyBorder="1" applyAlignment="1">
      <alignment horizontal="center"/>
    </xf>
    <xf numFmtId="9" fontId="80" fillId="24" borderId="177" xfId="0" applyNumberFormat="1" applyFont="1" applyFill="1" applyBorder="1" applyAlignment="1">
      <alignment horizontal="center"/>
    </xf>
    <xf numFmtId="0" fontId="80" fillId="24" borderId="178" xfId="0" applyFont="1" applyFill="1" applyBorder="1" applyAlignment="1" applyProtection="1">
      <protection locked="0"/>
    </xf>
    <xf numFmtId="0" fontId="80" fillId="24" borderId="178" xfId="0" applyFont="1" applyFill="1" applyBorder="1" applyAlignment="1"/>
    <xf numFmtId="0" fontId="19" fillId="0" borderId="0" xfId="0" applyFont="1" applyAlignment="1">
      <alignment horizontal="right"/>
    </xf>
    <xf numFmtId="49" fontId="80" fillId="24" borderId="178" xfId="0" applyNumberFormat="1" applyFont="1" applyFill="1" applyBorder="1" applyAlignment="1" applyProtection="1">
      <protection locked="0"/>
    </xf>
    <xf numFmtId="0" fontId="80" fillId="24" borderId="178" xfId="0" applyFont="1" applyFill="1" applyBorder="1" applyAlignment="1" applyProtection="1">
      <alignment horizontal="center"/>
      <protection locked="0"/>
    </xf>
    <xf numFmtId="0" fontId="80" fillId="24" borderId="177" xfId="0" applyFont="1" applyFill="1" applyBorder="1" applyAlignment="1"/>
    <xf numFmtId="0" fontId="128" fillId="0" borderId="37" xfId="17" applyNumberFormat="1" applyFont="1" applyBorder="1" applyAlignment="1" applyProtection="1">
      <alignment horizontal="center" vertical="center" wrapText="1"/>
      <protection locked="0"/>
    </xf>
    <xf numFmtId="9" fontId="51" fillId="12" borderId="0" xfId="17"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4" borderId="5" xfId="0" applyFont="1" applyFill="1" applyBorder="1" applyAlignment="1" applyProtection="1">
      <alignment horizontal="center"/>
      <protection locked="0"/>
    </xf>
    <xf numFmtId="0" fontId="80" fillId="24" borderId="54" xfId="0" applyFont="1" applyFill="1" applyBorder="1" applyAlignment="1" applyProtection="1">
      <alignment horizontal="center"/>
      <protection locked="0"/>
    </xf>
    <xf numFmtId="0" fontId="80" fillId="24" borderId="3" xfId="0"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146</xdr:row>
      <xdr:rowOff>57150</xdr:rowOff>
    </xdr:from>
    <xdr:to>
      <xdr:col>7</xdr:col>
      <xdr:colOff>703630</xdr:colOff>
      <xdr:row>162</xdr:row>
      <xdr:rowOff>142521</xdr:rowOff>
    </xdr:to>
    <xdr:pic>
      <xdr:nvPicPr>
        <xdr:cNvPr id="4" name="图片 3">
          <a:extLst>
            <a:ext uri="{FF2B5EF4-FFF2-40B4-BE49-F238E27FC236}">
              <a16:creationId xmlns:a16="http://schemas.microsoft.com/office/drawing/2014/main" id="{3C3A0EDF-33F8-4D75-7823-534F988922D1}"/>
            </a:ext>
          </a:extLst>
        </xdr:cNvPr>
        <xdr:cNvPicPr>
          <a:picLocks noChangeAspect="1"/>
        </xdr:cNvPicPr>
      </xdr:nvPicPr>
      <xdr:blipFill>
        <a:blip xmlns:r="http://schemas.openxmlformats.org/officeDocument/2006/relationships" r:embed="rId1"/>
        <a:stretch>
          <a:fillRect/>
        </a:stretch>
      </xdr:blipFill>
      <xdr:spPr>
        <a:xfrm>
          <a:off x="28575" y="31242000"/>
          <a:ext cx="9761905" cy="2828571"/>
        </a:xfrm>
        <a:prstGeom prst="rect">
          <a:avLst/>
        </a:prstGeom>
      </xdr:spPr>
    </xdr:pic>
    <xdr:clientData/>
  </xdr:twoCellAnchor>
  <xdr:twoCellAnchor editAs="oneCell">
    <xdr:from>
      <xdr:col>0</xdr:col>
      <xdr:colOff>0</xdr:colOff>
      <xdr:row>125</xdr:row>
      <xdr:rowOff>160869</xdr:rowOff>
    </xdr:from>
    <xdr:to>
      <xdr:col>19</xdr:col>
      <xdr:colOff>273453</xdr:colOff>
      <xdr:row>145</xdr:row>
      <xdr:rowOff>142368</xdr:rowOff>
    </xdr:to>
    <xdr:pic>
      <xdr:nvPicPr>
        <xdr:cNvPr id="6" name="图片 5">
          <a:extLst>
            <a:ext uri="{FF2B5EF4-FFF2-40B4-BE49-F238E27FC236}">
              <a16:creationId xmlns:a16="http://schemas.microsoft.com/office/drawing/2014/main" id="{2F6A0C75-D58C-44CB-C0C3-B830AE18DC26}"/>
            </a:ext>
          </a:extLst>
        </xdr:cNvPr>
        <xdr:cNvPicPr>
          <a:picLocks noChangeAspect="1"/>
        </xdr:cNvPicPr>
      </xdr:nvPicPr>
      <xdr:blipFill>
        <a:blip xmlns:r="http://schemas.openxmlformats.org/officeDocument/2006/relationships" r:embed="rId2"/>
        <a:stretch>
          <a:fillRect/>
        </a:stretch>
      </xdr:blipFill>
      <xdr:spPr>
        <a:xfrm>
          <a:off x="0" y="27745269"/>
          <a:ext cx="18637653" cy="3410499"/>
        </a:xfrm>
        <a:prstGeom prst="rect">
          <a:avLst/>
        </a:prstGeom>
      </xdr:spPr>
    </xdr:pic>
    <xdr:clientData/>
  </xdr:twoCellAnchor>
  <xdr:twoCellAnchor editAs="oneCell">
    <xdr:from>
      <xdr:col>5</xdr:col>
      <xdr:colOff>85725</xdr:colOff>
      <xdr:row>36</xdr:row>
      <xdr:rowOff>152400</xdr:rowOff>
    </xdr:from>
    <xdr:to>
      <xdr:col>16</xdr:col>
      <xdr:colOff>332158</xdr:colOff>
      <xdr:row>66</xdr:row>
      <xdr:rowOff>132709</xdr:rowOff>
    </xdr:to>
    <xdr:pic>
      <xdr:nvPicPr>
        <xdr:cNvPr id="2" name="图片 1">
          <a:extLst>
            <a:ext uri="{FF2B5EF4-FFF2-40B4-BE49-F238E27FC236}">
              <a16:creationId xmlns:a16="http://schemas.microsoft.com/office/drawing/2014/main" id="{6F9FB017-BBEB-16E7-D553-6640ECDAF8C2}"/>
            </a:ext>
          </a:extLst>
        </xdr:cNvPr>
        <xdr:cNvPicPr>
          <a:picLocks noChangeAspect="1"/>
        </xdr:cNvPicPr>
      </xdr:nvPicPr>
      <xdr:blipFill>
        <a:blip xmlns:r="http://schemas.openxmlformats.org/officeDocument/2006/relationships" r:embed="rId3"/>
        <a:stretch>
          <a:fillRect/>
        </a:stretch>
      </xdr:blipFill>
      <xdr:spPr>
        <a:xfrm>
          <a:off x="6257925" y="7058025"/>
          <a:ext cx="9733333"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0891;&#38431;-&#21271;&#20140;&#24066;&#19996;&#22478;&#21306;&#20852;&#21270;&#35199;&#37324;4&#21495;&#27004;4&#38376;402&#21495;\&#27979;&#31639;\&#27979;&#31639;-02&#24180;&#22522;&#20934;&#22320;&#20215;-&#20852;&#21270;&#35199;&#37324;.xlsx" TargetMode="External"/><Relationship Id="rId1" Type="http://schemas.openxmlformats.org/officeDocument/2006/relationships/externalLinkPath" Target="&#27979;&#31639;-02&#24180;&#22522;&#20934;&#22320;&#20215;-&#20852;&#21270;&#3519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766198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估价对象为北京市房地产，为所有。根据《国有土地使用证》[]，估价对象（分摊）出让国有建设用地使用权面积为0平方米，建筑面积为61.85平方米。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估价对象为北京市房地产,属开发建设的，该项目尚在开发建设中。根据《国有土地使用证》[]，估价对象（分摊）出让国有建设用地使用权面积为0平方米，规划建筑面积为61.85平方米。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2010年3月31日</v>
      </c>
    </row>
    <row r="13" spans="1:2">
      <c r="A13" s="1116" t="s">
        <v>529</v>
      </c>
      <c r="B13" s="1117" t="str">
        <f>'预评函-1'!A18</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61.85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6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2010年3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60"/>
      <c r="B54" s="1444" t="s">
        <v>385</v>
      </c>
      <c r="C54" s="1442" t="s">
        <v>583</v>
      </c>
    </row>
    <row r="55" spans="1:4">
      <c r="A55" s="3360"/>
      <c r="B55" s="1444" t="s">
        <v>386</v>
      </c>
      <c r="C55" s="1442" t="s">
        <v>584</v>
      </c>
    </row>
    <row r="56" spans="1:4">
      <c r="A56" s="3360"/>
      <c r="B56" s="1444" t="s">
        <v>387</v>
      </c>
      <c r="C56" s="1442" t="s">
        <v>588</v>
      </c>
    </row>
    <row r="57" spans="1:4">
      <c r="A57" s="336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61" t="s">
        <v>2577</v>
      </c>
      <c r="J2" s="3361"/>
      <c r="K2" s="3361"/>
      <c r="L2" s="3361"/>
      <c r="M2" s="3361"/>
      <c r="N2" s="3361"/>
      <c r="O2" s="3361"/>
      <c r="P2" s="3361"/>
      <c r="Q2" s="3361"/>
      <c r="R2" s="3361"/>
    </row>
    <row r="3" spans="1:18">
      <c r="A3" s="2755" t="s">
        <v>2498</v>
      </c>
      <c r="B3" s="2756">
        <f>项目基本情况!D3</f>
        <v>40268</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16.73</v>
      </c>
      <c r="D5" s="2760">
        <f>IF(ISERROR(ROUND(POWER(1+E5,A5-C5)*(POWER(1+E5,C5)-1)/(POWER(1+E5,A5)-1),3)),0,ROUND(POWER(1+E5,A5-C5)*(POWER(1+E5,C5)-1)/(POWER(1+E5,A5)-1),4))</f>
        <v>0.60770000000000002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26.73</v>
      </c>
      <c r="D6" s="2760">
        <f>IF(ISERROR(ROUND(POWER(1+E6,A6-C6)*(POWER(1+E6,C6)-1)/(POWER(1+E6,A6)-1),3)),0,ROUND(POWER(1+E6,A6-C6)*(POWER(1+E6,C6)-1)/(POWER(1+E6,A6)-1),4))</f>
        <v>0.75580000000000003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46.75</v>
      </c>
      <c r="D7" s="2760">
        <f>IF(ISERROR(ROUND(POWER(1+E7,A7-C7)*(POWER(1+E7,C7)-1)/(POWER(1+E7,A7)-1),3)),0,ROUND(POWER(1+E7,A7-C7)*(POWER(1+E7,C7)-1)/(POWER(1+E7,A7)-1),4))</f>
        <v>0.89780000000000004</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N14" sqref="N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69" t="str">
        <f>IF(B10="北京市","北京市",C10)&amp;F10&amp;IF(结果表!G1="在建","出让国有建设用地使用权及在建建筑物",IF(结果表!G1="土地","出让国有建设用地使用权",))&amp;B9&amp;"预评估"</f>
        <v>北京市预评估</v>
      </c>
      <c r="C1" s="3370"/>
      <c r="D1" s="3370"/>
      <c r="E1" s="3370"/>
      <c r="F1" s="3370"/>
      <c r="G1" s="3370"/>
      <c r="H1" s="3370"/>
      <c r="I1" s="3371"/>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45883</v>
      </c>
      <c r="C3" s="2180" t="s">
        <v>2167</v>
      </c>
      <c r="D3" s="2179">
        <v>40268</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3456</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72" t="s">
        <v>2173</v>
      </c>
      <c r="E8" s="2196"/>
      <c r="F8" s="2197"/>
      <c r="G8" s="2435"/>
      <c r="H8" s="2435"/>
      <c r="I8" s="2435"/>
      <c r="J8" s="2239"/>
      <c r="K8" s="2393"/>
      <c r="L8" s="2392"/>
      <c r="M8" s="2392"/>
      <c r="N8" s="2239"/>
      <c r="O8" s="1667"/>
      <c r="P8" s="2239"/>
      <c r="Q8" s="2239"/>
      <c r="R8" s="2239"/>
    </row>
    <row r="9" spans="1:30" ht="13.5" thickBot="1">
      <c r="A9" s="2198" t="s">
        <v>2174</v>
      </c>
      <c r="B9" s="2199"/>
      <c r="C9" s="2200"/>
      <c r="D9" s="3373"/>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65835</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379" t="s">
        <v>3469</v>
      </c>
      <c r="C16" s="3380"/>
      <c r="D16" s="3381"/>
      <c r="E16" s="2216" t="s">
        <v>2190</v>
      </c>
      <c r="F16" s="3382"/>
      <c r="G16" s="3383"/>
      <c r="H16" s="3383"/>
      <c r="I16" s="3384"/>
      <c r="J16" s="2239" t="s">
        <v>3470</v>
      </c>
      <c r="K16" s="2396"/>
      <c r="L16" s="1667"/>
      <c r="M16" s="1667"/>
      <c r="N16" s="2239"/>
      <c r="O16" s="1667"/>
      <c r="P16" s="2239"/>
      <c r="Q16" s="2239"/>
      <c r="R16" s="2239"/>
    </row>
    <row r="17" spans="1:28">
      <c r="A17" s="303" t="s">
        <v>2191</v>
      </c>
      <c r="B17" s="292" t="s">
        <v>2192</v>
      </c>
      <c r="C17" s="8">
        <f>'数据-汇总表'!E3</f>
        <v>61.85</v>
      </c>
      <c r="D17" s="1253" t="s">
        <v>2193</v>
      </c>
      <c r="E17" s="3385" t="s">
        <v>2194</v>
      </c>
      <c r="F17" s="3386"/>
      <c r="G17" s="3386"/>
      <c r="H17" s="3386"/>
      <c r="I17" s="3387"/>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388" t="s">
        <v>2198</v>
      </c>
      <c r="F18" s="3389"/>
      <c r="G18" s="3389"/>
      <c r="H18" s="3389"/>
      <c r="I18" s="3390"/>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75" t="s">
        <v>2202</v>
      </c>
      <c r="C20" s="3376"/>
      <c r="D20" s="3377" t="s">
        <v>2203</v>
      </c>
      <c r="E20" s="3378"/>
      <c r="F20" s="2423" t="s">
        <v>1056</v>
      </c>
      <c r="G20" s="2435"/>
      <c r="H20" s="2435"/>
      <c r="I20" s="2435"/>
      <c r="J20" s="2239"/>
      <c r="K20" s="3374"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7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7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63"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63"/>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63"/>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364"/>
      <c r="B30" s="292" t="s">
        <v>2214</v>
      </c>
      <c r="C30" s="3365"/>
      <c r="D30" s="3366"/>
      <c r="E30" s="2435"/>
      <c r="F30" s="2435"/>
      <c r="G30" s="2435"/>
      <c r="H30" s="2435"/>
      <c r="I30" s="2435"/>
      <c r="J30" s="2239"/>
      <c r="K30" s="2395"/>
      <c r="L30" s="2392"/>
      <c r="M30" s="2392"/>
      <c r="N30" s="2239"/>
      <c r="O30" s="1667"/>
      <c r="P30" s="2239"/>
      <c r="Q30" s="2239"/>
      <c r="R30" s="2239"/>
      <c r="S30" s="2239"/>
      <c r="T30" s="2239"/>
      <c r="U30" s="2239"/>
      <c r="V30" s="2239"/>
    </row>
    <row r="31" spans="1:28">
      <c r="A31" s="3367"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368"/>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368"/>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62" t="s">
        <v>2224</v>
      </c>
      <c r="T34" s="313" t="str">
        <f>NUMBERSTRING(7-K34,1)&amp;"通"</f>
        <v>七通</v>
      </c>
      <c r="U34" s="2239"/>
      <c r="V34" s="2239"/>
    </row>
    <row r="35" spans="1:30">
      <c r="A35" s="2230"/>
      <c r="B35" s="3362" t="s">
        <v>2225</v>
      </c>
      <c r="C35" s="3362"/>
      <c r="D35" s="3362"/>
      <c r="E35" s="3362"/>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62"/>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61.85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61.85</v>
      </c>
      <c r="H5" s="13">
        <f t="shared" ref="H5:AT5" si="0">SUM(H13:H656)</f>
        <v>61.85</v>
      </c>
      <c r="I5" s="13">
        <f t="shared" si="0"/>
        <v>61.85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61.85</v>
      </c>
      <c r="BA5" s="15">
        <f t="shared" si="1"/>
        <v>61.85</v>
      </c>
      <c r="BB5" s="15">
        <f t="shared" si="1"/>
        <v>61.85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3453</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61.85</v>
      </c>
      <c r="H13" s="17">
        <f>SUMIF(I$12:AB$12,"总值",I13:AB13)</f>
        <v>61.85</v>
      </c>
      <c r="I13" s="1511">
        <v>61.85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61.85</v>
      </c>
      <c r="BA13" s="13">
        <f>SUM(BB13:BK13)</f>
        <v>61.85</v>
      </c>
      <c r="BB13" s="13">
        <f>IF($D13="是",I13-J13,0)</f>
        <v>61.85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400" t="s">
        <v>1131</v>
      </c>
      <c r="B2" s="3400"/>
      <c r="C2" s="3400"/>
      <c r="D2" s="746" t="s">
        <v>1107</v>
      </c>
      <c r="E2" s="1520" t="s">
        <v>1108</v>
      </c>
      <c r="F2" s="2432"/>
      <c r="G2" s="2425"/>
      <c r="H2" s="2426"/>
      <c r="I2" s="2140" t="s">
        <v>1132</v>
      </c>
      <c r="J2" s="2432"/>
      <c r="K2" s="2432"/>
      <c r="L2" s="2432"/>
      <c r="M2" s="2432"/>
      <c r="N2" s="2433"/>
      <c r="O2" s="2432"/>
      <c r="P2" s="2432"/>
    </row>
    <row r="3" spans="1:16" ht="15.75" thickBot="1">
      <c r="A3" s="3401" t="s">
        <v>1105</v>
      </c>
      <c r="B3" s="3401"/>
      <c r="C3" s="3401"/>
      <c r="D3" s="41">
        <f>'数据-基础表'!AY6</f>
        <v>0</v>
      </c>
      <c r="E3" s="41">
        <f>'数据-基础表'!AZ5</f>
        <v>61.85</v>
      </c>
      <c r="F3" s="2432"/>
      <c r="G3" s="42"/>
      <c r="H3" s="43" t="s">
        <v>1106</v>
      </c>
      <c r="I3" s="800" t="e">
        <f>ROUND('数据-基础表'!B3/'数据-基础表'!A3,2)</f>
        <v>#DIV/0!</v>
      </c>
      <c r="J3" s="2432"/>
      <c r="K3" s="2432"/>
      <c r="L3" s="2432"/>
      <c r="M3" s="2432"/>
      <c r="N3" s="2433"/>
      <c r="O3" s="2432"/>
      <c r="P3" s="2432"/>
    </row>
    <row r="4" spans="1:16" ht="15">
      <c r="A4" s="3402"/>
      <c r="B4" s="3403"/>
      <c r="C4" s="3404"/>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405" t="s">
        <v>1110</v>
      </c>
      <c r="C5" s="3405"/>
      <c r="D5" s="43">
        <f>ROUND($D$3*E5/$E$3,2)</f>
        <v>0</v>
      </c>
      <c r="E5" s="44">
        <f>SUMIF('数据-基础表'!$11:$11,"住宅",'数据-基础表'!$5:$5)</f>
        <v>61.85</v>
      </c>
      <c r="F5" s="2432"/>
      <c r="G5" s="42"/>
      <c r="H5" s="43" t="s">
        <v>1106</v>
      </c>
      <c r="I5" s="800" t="e">
        <f>ROUND(E31/D31,2)</f>
        <v>#DIV/0!</v>
      </c>
      <c r="J5" s="2432"/>
      <c r="K5" s="2432"/>
      <c r="L5" s="2432"/>
      <c r="M5" s="2432"/>
      <c r="N5" s="2432"/>
      <c r="O5" s="2432"/>
      <c r="P5" s="2432"/>
    </row>
    <row r="6" spans="1:16" ht="15" thickBot="1">
      <c r="A6" s="1524"/>
      <c r="B6" s="3405" t="s">
        <v>1111</v>
      </c>
      <c r="C6" s="3405"/>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397"/>
      <c r="B7" s="3398"/>
      <c r="C7" s="3399"/>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61.85</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61.85</v>
      </c>
      <c r="F16" s="2432"/>
      <c r="G16" s="2432"/>
      <c r="H16" s="1528" t="s">
        <v>1135</v>
      </c>
      <c r="I16" s="1529"/>
      <c r="J16" s="1069"/>
      <c r="K16" s="3394" t="s">
        <v>1135</v>
      </c>
      <c r="L16" s="3395"/>
      <c r="M16" s="3395"/>
      <c r="N16" s="3395"/>
      <c r="O16" s="3395"/>
      <c r="P16" s="3396"/>
    </row>
    <row r="17" spans="1:19" ht="15">
      <c r="A17" s="1530" t="s">
        <v>1136</v>
      </c>
      <c r="B17" s="1531" t="s">
        <v>1137</v>
      </c>
      <c r="C17" s="1532" t="s">
        <v>1138</v>
      </c>
      <c r="D17" s="1533" t="s">
        <v>1126</v>
      </c>
      <c r="E17" s="1534" t="s">
        <v>1127</v>
      </c>
      <c r="F17" s="1535"/>
      <c r="G17" s="1536"/>
      <c r="H17" s="1537" t="s">
        <v>1139</v>
      </c>
      <c r="I17" s="1538" t="s">
        <v>1124</v>
      </c>
      <c r="J17" s="1069"/>
      <c r="K17" s="3391" t="s">
        <v>1140</v>
      </c>
      <c r="L17" s="3392"/>
      <c r="M17" s="3393"/>
      <c r="N17" s="3391" t="s">
        <v>1141</v>
      </c>
      <c r="O17" s="3392"/>
      <c r="P17" s="339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61.85</v>
      </c>
      <c r="F19" s="2551">
        <f>'数据-基础表'!I13</f>
        <v>61.85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61.85</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61.85</v>
      </c>
      <c r="F27" s="1070">
        <f>IF(SUM(F19:F26)=E8,SUM(F19:F26),"地上面积有误")</f>
        <v>61.85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61.85</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61.85</v>
      </c>
      <c r="F31" s="642">
        <f>F27+F30</f>
        <v>61.85</v>
      </c>
      <c r="G31" s="643">
        <f>G27+G30</f>
        <v>0</v>
      </c>
      <c r="H31" s="2432"/>
      <c r="I31" s="2432"/>
      <c r="J31" s="2432"/>
      <c r="K31" s="2432"/>
      <c r="L31" s="2432"/>
      <c r="M31" s="2432"/>
      <c r="N31" s="2432"/>
      <c r="O31" s="2432"/>
      <c r="P31" s="2432"/>
    </row>
    <row r="32" spans="1:19">
      <c r="A32" s="1523"/>
      <c r="B32" s="1523" t="s">
        <v>1159</v>
      </c>
      <c r="C32" s="1523"/>
      <c r="D32" s="1523"/>
      <c r="E32" s="988">
        <f>SUMIF(C19:C26,"*住宅*",E19:E26)</f>
        <v>61.85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40268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65835</v>
      </c>
      <c r="F6" s="61">
        <f>项目基本情况!F16</f>
        <v>0</v>
      </c>
      <c r="G6" s="62">
        <f t="shared" ref="G6:G13" si="0">IF(ISERROR(ROUND(POWER(1+H6,D6-F6)*(POWER(1+H6,F6)-1)/(POWER(1+H6,D6)-1),3)),0,ROUND(POWER(1+H6,D6-F6)*(POWER(1+H6,F6)-1)/(POWER(1+H6,D6)-1),3))</f>
        <v>0</v>
      </c>
      <c r="H6" s="689">
        <v>0.03</v>
      </c>
      <c r="I6" s="689">
        <v>0.04</v>
      </c>
      <c r="J6" s="63">
        <v>0.05</v>
      </c>
      <c r="K6" s="968">
        <f>SUMIF('数据-汇总表'!C$19:C$33,A6,'数据-汇总表'!E$19:E$33)</f>
        <v>61.85</v>
      </c>
      <c r="L6" s="3190">
        <v>1800</v>
      </c>
      <c r="M6" s="64">
        <f t="shared" ref="M6:M14" si="1">ROUND(K6*L6/10000,0)</f>
        <v>11</v>
      </c>
      <c r="N6" s="3179">
        <v>0.6</v>
      </c>
      <c r="O6" s="64" t="str">
        <f>IF($N$5="成新度","——",ROUND(M6*N6,0))</f>
        <v>——</v>
      </c>
      <c r="P6" s="65" t="str">
        <f>IF($N$5="成新度","——",M6-O6)</f>
        <v>——</v>
      </c>
      <c r="Q6" s="319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0.6</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3471</v>
      </c>
      <c r="AO6" s="50">
        <f ca="1">SUMIF(INDIRECT("'"&amp;AN6&amp;"'"&amp;"!A:A"),"总价",INDIRECT("'"&amp;AN6&amp;"'"&amp;"!B:B"))</f>
        <v>120.9179</v>
      </c>
      <c r="AP6" s="1587">
        <f>IF(C6="住宅",K6*L6,0)</f>
        <v>111330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t="e">
        <f>ROUND(SUMPRODUCT(G6:G13,K6:K13)/SUMPRODUCT((G6:G13&gt;0)*(K6:K13)),3)</f>
        <v>#DIV/0!</v>
      </c>
      <c r="H16" s="84">
        <f>ROUND(SUMPRODUCT(H6:H13,K6:K13)/SUMPRODUCT((H6:H13&gt;0)*(K6:K13)),3)</f>
        <v>0.03</v>
      </c>
      <c r="I16" s="85"/>
      <c r="J16" s="85"/>
      <c r="K16" s="86">
        <f>SUM(K6:K15)</f>
        <v>61.85</v>
      </c>
      <c r="L16" s="87">
        <f>ROUND(M16*10000/SUM(K6:K14),0)</f>
        <v>1778</v>
      </c>
      <c r="M16" s="87">
        <f>SUM(M6:M14)</f>
        <v>11</v>
      </c>
      <c r="N16" s="88">
        <f>ROUND(SUMPRODUCT(M6:M14,N6:N14)/M16,3)</f>
        <v>0.6</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1965</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39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0.35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0.8</v>
      </c>
      <c r="N22" s="3138">
        <f>ROUND(M21*0.3+M22*0.7,3)</f>
        <v>0.66500000000000004</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9896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2.2499999999999999E-2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3472</v>
      </c>
      <c r="B40" s="1013">
        <f ca="1">IF(A40="利息：取LPR",存贷款利率!G1,存贷款利率!G1+C40)</f>
        <v>5.4000000000000006E-2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406" t="s">
        <v>2280</v>
      </c>
      <c r="B1" s="3407"/>
      <c r="C1" s="3407"/>
      <c r="D1" s="3407"/>
      <c r="E1" s="3407"/>
      <c r="F1" s="3407"/>
      <c r="G1" s="340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3825</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48">
      <c r="A6" s="2242"/>
      <c r="B6" s="313" t="s">
        <v>2258</v>
      </c>
      <c r="C6" s="3154" t="s">
        <v>3826</v>
      </c>
      <c r="D6" s="2259"/>
      <c r="E6" s="2263"/>
      <c r="F6" s="313" t="s">
        <v>2259</v>
      </c>
      <c r="G6" s="2264" t="s">
        <v>2260</v>
      </c>
      <c r="H6" s="749"/>
      <c r="I6" s="749"/>
      <c r="J6" s="749"/>
      <c r="K6" s="749"/>
      <c r="L6" s="749"/>
      <c r="M6" s="749"/>
      <c r="N6" s="749"/>
      <c r="O6" s="749"/>
      <c r="P6" s="749"/>
      <c r="Q6" s="749"/>
    </row>
    <row r="7" spans="1:29" ht="108.75" thickBot="1">
      <c r="A7" s="2242"/>
      <c r="B7" s="313" t="s">
        <v>2256</v>
      </c>
      <c r="C7" s="3154" t="s">
        <v>3828</v>
      </c>
      <c r="D7" s="2239"/>
      <c r="E7" s="2265"/>
      <c r="F7" s="2266" t="s">
        <v>2261</v>
      </c>
      <c r="G7" s="2267" t="s">
        <v>2262</v>
      </c>
      <c r="H7" s="749"/>
      <c r="I7" s="749"/>
      <c r="J7" s="749"/>
      <c r="K7" s="749"/>
      <c r="L7" s="749"/>
      <c r="M7" s="749"/>
      <c r="N7" s="749"/>
      <c r="O7" s="749"/>
      <c r="P7" s="749"/>
      <c r="Q7" s="749"/>
    </row>
    <row r="8" spans="1:29">
      <c r="A8" s="2242"/>
      <c r="B8" s="313" t="s">
        <v>2259</v>
      </c>
      <c r="C8" s="3154" t="s">
        <v>3442</v>
      </c>
      <c r="D8" s="2239"/>
      <c r="E8" s="2239"/>
      <c r="F8" s="119"/>
      <c r="G8" s="119"/>
      <c r="H8" s="749"/>
      <c r="I8" s="749"/>
      <c r="J8" s="749"/>
      <c r="K8" s="749"/>
      <c r="L8" s="749"/>
      <c r="M8" s="749"/>
      <c r="N8" s="749"/>
      <c r="O8" s="749"/>
      <c r="P8" s="749"/>
      <c r="Q8" s="749"/>
    </row>
    <row r="9" spans="1:29" ht="48">
      <c r="A9" s="2242"/>
      <c r="B9" s="313" t="s">
        <v>2263</v>
      </c>
      <c r="C9" s="3157" t="s">
        <v>3827</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周边有和平里社区、青年湖小区、青年湖北里、小黄庄前街2号院等住宅小区，居住社区成熟度较好。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51">
      <c r="A18" s="2246"/>
      <c r="B18" s="2286" t="s">
        <v>2258</v>
      </c>
      <c r="C18" s="2287" t="str">
        <f>C6</f>
        <v>周边有104路、119路、125路、430路等多条公交线路及地铁5号线和平里北街站，综合评价交通便捷度较好</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51">
      <c r="A20" s="2246"/>
      <c r="B20" s="2286" t="s">
        <v>2272</v>
      </c>
      <c r="C20" s="2285" t="str">
        <f>C9</f>
        <v>周边有地坛公园、青年湖公园、柳荫公园等自然及人文景观，综合评价环境状况较好。
综合评价环境状况较好。</v>
      </c>
      <c r="D20" s="2239"/>
      <c r="E20" s="2247"/>
      <c r="F20" s="313" t="s">
        <v>2259</v>
      </c>
      <c r="G20" s="2287" t="str">
        <f>G6</f>
        <v>估价对象所在区域基础设施水平</v>
      </c>
    </row>
    <row r="21" spans="1:17" ht="114.75">
      <c r="A21" s="2246"/>
      <c r="B21" s="313" t="s">
        <v>2256</v>
      </c>
      <c r="C21" s="2287" t="str">
        <f>C7</f>
        <v>银行：中国建设银行、交通银行、北京银行等金融机构；
医院：和平里医院等医疗机构；
学校：和平街第一中学、地坛小学、和平里第三小学等教育机构；
商业：天丰利市场等商业设施；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61.85</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40268</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123.3165</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61.85</v>
      </c>
      <c r="C14" s="2299"/>
      <c r="D14" s="2299">
        <f ca="1">ROUND(E14*B14/10000,4)</f>
        <v>123.3165</v>
      </c>
      <c r="E14" s="2299">
        <f ca="1">结果表!G20</f>
        <v>19938</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D20" sqref="D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42" t="str">
        <f>项目基本情况!S2</f>
        <v>北京市房地产</v>
      </c>
      <c r="B2" s="3443"/>
      <c r="C2" s="3443"/>
      <c r="D2" s="3443"/>
      <c r="E2" s="3443"/>
      <c r="F2" s="3443"/>
      <c r="G2" s="3443"/>
      <c r="H2" s="3443"/>
      <c r="I2" s="3444"/>
    </row>
    <row r="3" spans="1:12" ht="12.75">
      <c r="A3" s="3446" t="s">
        <v>1264</v>
      </c>
      <c r="B3" s="3447"/>
      <c r="C3" s="3447"/>
      <c r="D3" s="3447"/>
      <c r="E3" s="3447"/>
      <c r="F3" s="3447"/>
      <c r="G3" s="3447"/>
      <c r="H3" s="3447"/>
      <c r="I3" s="3447"/>
    </row>
    <row r="4" spans="1:12" ht="14.25">
      <c r="A4" s="1621" t="s">
        <v>1265</v>
      </c>
      <c r="B4" s="1622" t="s">
        <v>1266</v>
      </c>
      <c r="C4" s="1623" t="s">
        <v>3471</v>
      </c>
      <c r="D4" s="1623" t="s">
        <v>3396</v>
      </c>
      <c r="E4" s="3448" t="s">
        <v>1267</v>
      </c>
      <c r="F4" s="3449"/>
      <c r="G4" s="3449"/>
      <c r="H4" s="3449"/>
      <c r="I4" s="345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422" t="s">
        <v>1268</v>
      </c>
      <c r="B5" s="3409">
        <v>25</v>
      </c>
      <c r="C5" s="3425"/>
      <c r="D5" s="3445"/>
      <c r="E5" s="121" t="s">
        <v>1269</v>
      </c>
      <c r="F5" s="1624"/>
      <c r="G5" s="1624"/>
      <c r="H5" s="1624"/>
      <c r="I5" s="1278"/>
    </row>
    <row r="6" spans="1:12" ht="12.75">
      <c r="A6" s="3422"/>
      <c r="B6" s="3409"/>
      <c r="C6" s="3426"/>
      <c r="D6" s="3445"/>
      <c r="E6" s="121" t="s">
        <v>1270</v>
      </c>
      <c r="F6" s="1624"/>
      <c r="G6" s="1624"/>
      <c r="H6" s="1624"/>
      <c r="I6" s="1278"/>
    </row>
    <row r="7" spans="1:12" ht="12.75">
      <c r="A7" s="3422"/>
      <c r="B7" s="3409"/>
      <c r="C7" s="3427"/>
      <c r="D7" s="3445"/>
      <c r="E7" s="121" t="s">
        <v>1271</v>
      </c>
      <c r="F7" s="1624"/>
      <c r="G7" s="1624"/>
      <c r="H7" s="1624"/>
      <c r="I7" s="1278"/>
    </row>
    <row r="8" spans="1:12" ht="12.75">
      <c r="A8" s="3422" t="s">
        <v>1272</v>
      </c>
      <c r="B8" s="3409">
        <v>15</v>
      </c>
      <c r="C8" s="3425"/>
      <c r="D8" s="3445"/>
      <c r="E8" s="121" t="s">
        <v>1273</v>
      </c>
      <c r="F8" s="1624"/>
      <c r="G8" s="1624"/>
      <c r="H8" s="1624"/>
      <c r="I8" s="1278"/>
    </row>
    <row r="9" spans="1:12" ht="12.75">
      <c r="A9" s="3422"/>
      <c r="B9" s="3409"/>
      <c r="C9" s="3427"/>
      <c r="D9" s="3445"/>
      <c r="E9" s="121" t="s">
        <v>1274</v>
      </c>
      <c r="F9" s="1624"/>
      <c r="G9" s="1624"/>
      <c r="H9" s="1624"/>
      <c r="I9" s="1278"/>
    </row>
    <row r="10" spans="1:12" ht="12.75">
      <c r="A10" s="3422" t="s">
        <v>1275</v>
      </c>
      <c r="B10" s="3409">
        <v>15</v>
      </c>
      <c r="C10" s="3425"/>
      <c r="D10" s="3445"/>
      <c r="E10" s="121" t="s">
        <v>1276</v>
      </c>
      <c r="F10" s="1624"/>
      <c r="G10" s="1624"/>
      <c r="H10" s="1624"/>
      <c r="I10" s="1278"/>
    </row>
    <row r="11" spans="1:12" ht="12.75">
      <c r="A11" s="3422"/>
      <c r="B11" s="3409"/>
      <c r="C11" s="3427"/>
      <c r="D11" s="3445"/>
      <c r="E11" s="121" t="s">
        <v>1277</v>
      </c>
      <c r="F11" s="1624"/>
      <c r="G11" s="1624"/>
      <c r="H11" s="1624"/>
      <c r="I11" s="1278"/>
    </row>
    <row r="12" spans="1:12" ht="12.75">
      <c r="A12" s="3422" t="s">
        <v>1278</v>
      </c>
      <c r="B12" s="3409">
        <v>15</v>
      </c>
      <c r="C12" s="3425"/>
      <c r="D12" s="3445"/>
      <c r="E12" s="121" t="s">
        <v>1279</v>
      </c>
      <c r="F12" s="1624"/>
      <c r="G12" s="1624"/>
      <c r="H12" s="1624"/>
      <c r="I12" s="1278"/>
    </row>
    <row r="13" spans="1:12" ht="12.75">
      <c r="A13" s="3422"/>
      <c r="B13" s="3409"/>
      <c r="C13" s="3427"/>
      <c r="D13" s="3445"/>
      <c r="E13" s="121" t="s">
        <v>1280</v>
      </c>
      <c r="F13" s="1624"/>
      <c r="G13" s="1624"/>
      <c r="H13" s="1624"/>
      <c r="I13" s="1278"/>
    </row>
    <row r="14" spans="1:12" ht="12.75">
      <c r="A14" s="3422" t="s">
        <v>1281</v>
      </c>
      <c r="B14" s="3409">
        <v>30</v>
      </c>
      <c r="C14" s="3425">
        <v>5</v>
      </c>
      <c r="D14" s="3445">
        <f>10-C14</f>
        <v>5</v>
      </c>
      <c r="E14" s="121" t="s">
        <v>1282</v>
      </c>
      <c r="F14" s="1624"/>
      <c r="G14" s="1624"/>
      <c r="H14" s="1624"/>
      <c r="I14" s="1278"/>
    </row>
    <row r="15" spans="1:12" ht="12.75">
      <c r="A15" s="3422"/>
      <c r="B15" s="3409"/>
      <c r="C15" s="3426"/>
      <c r="D15" s="3445"/>
      <c r="E15" s="121" t="s">
        <v>1283</v>
      </c>
      <c r="F15" s="1624"/>
      <c r="G15" s="1624"/>
      <c r="H15" s="1624"/>
      <c r="I15" s="1278"/>
    </row>
    <row r="16" spans="1:12" ht="12.75">
      <c r="A16" s="3422"/>
      <c r="B16" s="3409"/>
      <c r="C16" s="3427"/>
      <c r="D16" s="3445"/>
      <c r="E16" s="121" t="s">
        <v>1284</v>
      </c>
      <c r="F16" s="1624"/>
      <c r="G16" s="1624"/>
      <c r="H16" s="1624"/>
      <c r="I16" s="1278"/>
    </row>
    <row r="17" spans="1:36" ht="15">
      <c r="A17" s="1625" t="s">
        <v>1285</v>
      </c>
      <c r="B17" s="54"/>
      <c r="C17" s="122">
        <f>SUM(C5:C16)</f>
        <v>5</v>
      </c>
      <c r="D17" s="122">
        <f>SUM(D5:D16)</f>
        <v>5</v>
      </c>
      <c r="E17" s="119"/>
      <c r="F17" s="119"/>
      <c r="G17" s="119"/>
      <c r="H17" s="119"/>
      <c r="I17" s="119"/>
      <c r="K17" s="292"/>
      <c r="L17" s="292" t="s">
        <v>1286</v>
      </c>
      <c r="M17" s="292" t="s">
        <v>1287</v>
      </c>
    </row>
    <row r="18" spans="1:36" ht="31.9" customHeight="1" thickBot="1">
      <c r="A18" s="1626" t="s">
        <v>1288</v>
      </c>
      <c r="B18" s="1539"/>
      <c r="C18" s="123">
        <f>ROUND(C17/SUM(C17:D17),2)</f>
        <v>0.5</v>
      </c>
      <c r="D18" s="123">
        <f>1-C18</f>
        <v>0.5</v>
      </c>
      <c r="E18" s="3432" t="s">
        <v>2127</v>
      </c>
      <c r="F18" s="3433"/>
      <c r="G18" s="3433"/>
      <c r="H18" s="3433"/>
      <c r="I18" s="3433"/>
      <c r="K18" s="292" t="s">
        <v>1289</v>
      </c>
      <c r="L18" s="292">
        <f>IF(C1="",'数据-汇总表'!E3,SUMIF(项目类型,C1,'数据-汇总表'!E17:E26)+SUMIF(项目类型,C1,'数据-汇总表'!I17:I26))</f>
        <v>61.85</v>
      </c>
      <c r="M18" s="292">
        <f>IF(C1="",'数据-汇总表'!E3,SUMIF(项目类型,C1,'数据-汇总表'!E17:E26))</f>
        <v>61.85</v>
      </c>
      <c r="P18" s="682">
        <f>11199-3000</f>
        <v>8199</v>
      </c>
    </row>
    <row r="19" spans="1:36" ht="15">
      <c r="A19" s="1627" t="s">
        <v>1290</v>
      </c>
      <c r="B19" s="1628" t="s">
        <v>1291</v>
      </c>
      <c r="C19" s="124">
        <f ca="1">SUMIF(INDIRECT("'"&amp;C4&amp;"'"&amp;"!A:A"),结果表!B19,INDIRECT("'"&amp;C4&amp;"'"&amp;"!B:B"))</f>
        <v>120.9179</v>
      </c>
      <c r="D19" s="125">
        <f ca="1">SUMIF(INDIRECT("'"&amp;D4&amp;"'"&amp;"!A:A"),结果表!B19,INDIRECT("'"&amp;D4&amp;"'"&amp;"!B:B"))</f>
        <v>125.7101</v>
      </c>
      <c r="E19" s="1627" t="s">
        <v>1292</v>
      </c>
      <c r="F19" s="1628" t="s">
        <v>1291</v>
      </c>
      <c r="G19" s="3161">
        <f ca="1">ROUND((G20*'数据-基础表'!I13)/10000,4)</f>
        <v>123.3165</v>
      </c>
      <c r="H19" s="1629" t="s">
        <v>1293</v>
      </c>
      <c r="I19" s="119"/>
      <c r="J19" s="682">
        <f>'比较法-住宅'!A50</f>
        <v>0</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19550</v>
      </c>
      <c r="D20" s="128">
        <f ca="1">SUMIF(INDIRECT("'"&amp;D4&amp;"'"&amp;"!A:A"),结果表!B20,INDIRECT("'"&amp;D4&amp;"'"&amp;"!B:B"))</f>
        <v>20325</v>
      </c>
      <c r="E20" s="1630"/>
      <c r="F20" s="43" t="s">
        <v>1295</v>
      </c>
      <c r="G20" s="129">
        <f ca="1">ROUND(C20*$C$18+D20*$D$18,0)</f>
        <v>19938</v>
      </c>
      <c r="H20" s="3206" t="s">
        <v>1296</v>
      </c>
      <c r="I20" s="3188" t="e">
        <f ca="1">G20/J20</f>
        <v>#DIV/0!</v>
      </c>
      <c r="J20" s="682">
        <f>'比较法-住宅'!B50</f>
        <v>0</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3.9631849378793271E-2</v>
      </c>
      <c r="E22" s="119"/>
      <c r="F22" s="119"/>
      <c r="G22" s="119"/>
      <c r="H22" s="119"/>
      <c r="I22" s="119"/>
      <c r="K22" s="3191"/>
    </row>
    <row r="23" spans="1:36" ht="13.5" thickBot="1">
      <c r="A23" s="644"/>
      <c r="B23" s="644"/>
      <c r="C23" s="644"/>
      <c r="D23" s="644"/>
      <c r="E23" s="119"/>
      <c r="F23" s="119"/>
      <c r="G23" s="119"/>
      <c r="H23" s="119"/>
      <c r="I23" s="119"/>
    </row>
    <row r="24" spans="1:36" ht="14.25">
      <c r="A24" s="3416" t="s">
        <v>1299</v>
      </c>
      <c r="B24" s="1628" t="s">
        <v>1291</v>
      </c>
      <c r="C24" s="126">
        <f>IF(B30=0,0,D30)</f>
        <v>0</v>
      </c>
      <c r="D24" s="1634"/>
      <c r="E24" s="119"/>
      <c r="F24" s="119"/>
      <c r="G24" s="119">
        <f ca="1">系统读取表!D14</f>
        <v>123.3165</v>
      </c>
      <c r="H24" s="119"/>
      <c r="I24" s="119"/>
    </row>
    <row r="25" spans="1:36" ht="14.25">
      <c r="A25" s="3417"/>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3437</v>
      </c>
      <c r="B27" s="132">
        <f>'数据-基础表'!I13</f>
        <v>61.85</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19938</v>
      </c>
      <c r="D30" s="3164">
        <f ca="1">ROUND((G19*10000-D27)/10000,4)</f>
        <v>123.3165</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19938</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36" t="s">
        <v>1312</v>
      </c>
      <c r="B36" s="1649" t="s">
        <v>1313</v>
      </c>
      <c r="C36" s="135"/>
      <c r="D36" s="1650"/>
      <c r="E36" s="1564"/>
      <c r="F36" s="1651"/>
      <c r="G36" s="119"/>
      <c r="H36" s="119"/>
      <c r="I36" s="119"/>
    </row>
    <row r="37" spans="1:15" ht="15.75" thickBot="1">
      <c r="A37" s="3437"/>
      <c r="B37" s="1552" t="s">
        <v>1314</v>
      </c>
      <c r="C37" s="137"/>
      <c r="D37" s="1069"/>
      <c r="E37" s="1069"/>
      <c r="F37" s="1651"/>
      <c r="G37" s="119"/>
      <c r="H37" s="119"/>
      <c r="I37" s="119"/>
    </row>
    <row r="38" spans="1:15" ht="15.75" thickBot="1">
      <c r="A38" s="3438"/>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13" t="s">
        <v>1326</v>
      </c>
      <c r="B45" s="3414"/>
      <c r="C45" s="3415"/>
      <c r="D45" s="145" t="e">
        <f ca="1">ROUND(H101*F45,0)</f>
        <v>#REF!</v>
      </c>
      <c r="E45" s="146" t="s">
        <v>1327</v>
      </c>
      <c r="F45" s="147">
        <v>1</v>
      </c>
      <c r="G45" s="148" t="s">
        <v>1328</v>
      </c>
      <c r="H45" s="119"/>
      <c r="I45" s="119"/>
      <c r="J45" s="3491" t="s">
        <v>1329</v>
      </c>
      <c r="K45" s="3491"/>
      <c r="L45" s="3491"/>
      <c r="M45" s="3491"/>
      <c r="N45" s="3491"/>
      <c r="O45" s="3491"/>
    </row>
    <row r="46" spans="1:15" ht="14.25" customHeight="1">
      <c r="A46" s="3410" t="s">
        <v>1330</v>
      </c>
      <c r="B46" s="3411"/>
      <c r="C46" s="3411"/>
      <c r="D46" s="3411"/>
      <c r="E46" s="3411"/>
      <c r="F46" s="3411"/>
      <c r="G46" s="3412"/>
      <c r="H46" s="1665"/>
      <c r="I46" s="149"/>
      <c r="J46" s="2303">
        <v>1</v>
      </c>
      <c r="K46" s="3472" t="s">
        <v>1331</v>
      </c>
      <c r="L46" s="3472"/>
      <c r="M46" s="3492"/>
      <c r="N46" s="3492"/>
      <c r="O46" s="3492"/>
    </row>
    <row r="47" spans="1:15" ht="12" customHeight="1">
      <c r="A47" s="150" t="s">
        <v>1332</v>
      </c>
      <c r="B47" s="151"/>
      <c r="C47" s="152"/>
      <c r="D47" s="1022" t="s">
        <v>1333</v>
      </c>
      <c r="E47" s="292" t="s">
        <v>1334</v>
      </c>
      <c r="F47" s="153" t="s">
        <v>1335</v>
      </c>
      <c r="G47" s="2326" t="s">
        <v>1336</v>
      </c>
      <c r="H47" s="2327"/>
      <c r="I47" s="149"/>
      <c r="J47" s="2303">
        <v>2</v>
      </c>
      <c r="K47" s="3472" t="s">
        <v>1337</v>
      </c>
      <c r="L47" s="3472"/>
      <c r="M47" s="3493">
        <f>'数据-取费表'!B2</f>
        <v>40268</v>
      </c>
      <c r="N47" s="3493"/>
      <c r="O47" s="3493"/>
    </row>
    <row r="48" spans="1:15" ht="25.5">
      <c r="A48" s="3441" t="s">
        <v>1338</v>
      </c>
      <c r="B48" s="3424"/>
      <c r="C48" s="3424"/>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72" t="s">
        <v>1340</v>
      </c>
      <c r="L48" s="3472"/>
      <c r="M48" s="3494" t="e">
        <f ca="1">H101</f>
        <v>#REF!</v>
      </c>
      <c r="N48" s="3494"/>
      <c r="O48" s="3494"/>
    </row>
    <row r="49" spans="1:35" ht="25.5" customHeight="1">
      <c r="A49" s="2146" t="s">
        <v>1341</v>
      </c>
      <c r="B49" s="3408" t="s">
        <v>1342</v>
      </c>
      <c r="C49" s="3408"/>
      <c r="D49" s="1475">
        <v>0</v>
      </c>
      <c r="E49" s="314" t="s">
        <v>1343</v>
      </c>
      <c r="F49" s="2227" t="s">
        <v>28</v>
      </c>
      <c r="G49" s="3478"/>
      <c r="H49" s="2128" t="s">
        <v>2130</v>
      </c>
      <c r="I49" s="2129"/>
      <c r="J49" s="2303">
        <v>4</v>
      </c>
      <c r="K49" s="3472" t="str">
        <f>IF(项目基本情况!E8="房地产抵押价值","房地产抵押价值","抵押担保权已注销时的房地产抵押价值")</f>
        <v>抵押担保权已注销时的房地产抵押价值</v>
      </c>
      <c r="L49" s="3472"/>
      <c r="M49" s="3494" t="str">
        <f>IF(项目基本情况!E8="房地产抵押价值",H107,H109)</f>
        <v>——</v>
      </c>
      <c r="N49" s="3494"/>
      <c r="O49" s="3494"/>
    </row>
    <row r="50" spans="1:35" ht="25.5" customHeight="1">
      <c r="A50" s="2331"/>
      <c r="B50" s="3408" t="s">
        <v>1344</v>
      </c>
      <c r="C50" s="3408"/>
      <c r="D50" s="2183"/>
      <c r="E50" s="321"/>
      <c r="F50" s="2227"/>
      <c r="G50" s="3479"/>
      <c r="H50" s="2130" t="s">
        <v>2131</v>
      </c>
      <c r="I50" s="2129"/>
      <c r="J50" s="3491" t="s">
        <v>1345</v>
      </c>
      <c r="K50" s="3491"/>
      <c r="L50" s="3491"/>
      <c r="M50" s="3491"/>
      <c r="N50" s="3491"/>
      <c r="O50" s="3491"/>
    </row>
    <row r="51" spans="1:35" ht="20.45" customHeight="1">
      <c r="A51" s="2332"/>
      <c r="B51" s="3408" t="s">
        <v>1346</v>
      </c>
      <c r="C51" s="3408"/>
      <c r="D51" s="1022"/>
      <c r="E51" s="317"/>
      <c r="F51" s="2227"/>
      <c r="G51" s="3480"/>
      <c r="H51" s="2130" t="s">
        <v>2132</v>
      </c>
      <c r="I51" s="2129"/>
      <c r="J51" s="2304" t="s">
        <v>1347</v>
      </c>
      <c r="K51" s="3472" t="s">
        <v>1348</v>
      </c>
      <c r="L51" s="3472"/>
      <c r="M51" s="2304" t="s">
        <v>1349</v>
      </c>
      <c r="N51" s="2304" t="s">
        <v>1350</v>
      </c>
      <c r="O51" s="2304" t="s">
        <v>1351</v>
      </c>
    </row>
    <row r="52" spans="1:35" ht="24" customHeight="1">
      <c r="A52" s="2147" t="s">
        <v>1352</v>
      </c>
      <c r="B52" s="3408" t="s">
        <v>1353</v>
      </c>
      <c r="C52" s="3408"/>
      <c r="D52" s="1022" t="e">
        <f ca="1">ROUND(D45*'数据-取费表'!B41/(1+'数据-取费表'!C42),0)</f>
        <v>#REF!</v>
      </c>
      <c r="E52" s="1253" t="s">
        <v>1354</v>
      </c>
      <c r="F52" s="2333">
        <f>'数据-取费表'!B41</f>
        <v>5.5000000000000007E-2</v>
      </c>
      <c r="G52" s="2334"/>
      <c r="H52" s="2324"/>
      <c r="I52" s="1666"/>
      <c r="J52" s="2303">
        <v>1</v>
      </c>
      <c r="K52" s="3473" t="s">
        <v>1355</v>
      </c>
      <c r="L52" s="3473"/>
      <c r="M52" s="2305" t="b">
        <f>D48</f>
        <v>0</v>
      </c>
      <c r="N52" s="2303" t="str">
        <f>E48</f>
        <v>销售额×税（费）率</v>
      </c>
      <c r="O52" s="2306">
        <f>F48</f>
        <v>5.5000000000000007E-2</v>
      </c>
    </row>
    <row r="53" spans="1:35" ht="12" customHeight="1">
      <c r="A53" s="2147" t="s">
        <v>1356</v>
      </c>
      <c r="B53" s="3434" t="s">
        <v>2285</v>
      </c>
      <c r="C53" s="3435"/>
      <c r="D53" s="1022" t="e">
        <f ca="1">ROUND(D45*'数据-取费表'!B41/(1+'数据-取费表'!C42),0)</f>
        <v>#REF!</v>
      </c>
      <c r="E53" s="1253" t="s">
        <v>1354</v>
      </c>
      <c r="F53" s="2333">
        <f>'数据-取费表'!B41</f>
        <v>5.5000000000000007E-2</v>
      </c>
      <c r="G53" s="2334"/>
      <c r="H53" s="2324"/>
      <c r="I53" s="1666"/>
      <c r="J53" s="2303">
        <v>2</v>
      </c>
      <c r="K53" s="3473" t="s">
        <v>1357</v>
      </c>
      <c r="L53" s="3473"/>
      <c r="M53" s="2305" t="e">
        <f t="shared" ref="M53:O54" ca="1" si="0">D55</f>
        <v>#REF!</v>
      </c>
      <c r="N53" s="2303" t="str">
        <f t="shared" si="0"/>
        <v>销售额×税（费）率</v>
      </c>
      <c r="O53" s="2306" t="str">
        <f t="shared" si="0"/>
        <v>免征</v>
      </c>
    </row>
    <row r="54" spans="1:35" ht="12" customHeight="1">
      <c r="A54" s="2147" t="s">
        <v>1358</v>
      </c>
      <c r="B54" s="3434" t="s">
        <v>2286</v>
      </c>
      <c r="C54" s="3435"/>
      <c r="D54" s="1022" t="e">
        <f ca="1">C68</f>
        <v>#REF!</v>
      </c>
      <c r="E54" s="317" t="s">
        <v>1359</v>
      </c>
      <c r="F54" s="2333">
        <f>'数据-取费表'!B41</f>
        <v>5.5000000000000007E-2</v>
      </c>
      <c r="G54" s="2334"/>
      <c r="H54" s="2335"/>
      <c r="I54" s="1666"/>
      <c r="J54" s="2303">
        <v>3</v>
      </c>
      <c r="K54" s="3473" t="s">
        <v>1360</v>
      </c>
      <c r="L54" s="3473"/>
      <c r="M54" s="2305" t="e">
        <f t="shared" ca="1" si="0"/>
        <v>#REF!</v>
      </c>
      <c r="N54" s="2303" t="str">
        <f t="shared" si="0"/>
        <v>增值额×税（费）率</v>
      </c>
      <c r="O54" s="2307" t="str">
        <f t="shared" si="0"/>
        <v>免征</v>
      </c>
    </row>
    <row r="55" spans="1:35" ht="24" customHeight="1">
      <c r="A55" s="3423" t="s">
        <v>1361</v>
      </c>
      <c r="B55" s="3424"/>
      <c r="C55" s="3424"/>
      <c r="D55" s="12" t="e">
        <f ca="1">IF(H55="个人住宅",0,ROUND(D45*I55,0))</f>
        <v>#REF!</v>
      </c>
      <c r="E55" s="1253" t="s">
        <v>1362</v>
      </c>
      <c r="F55" s="2333" t="str">
        <f>IF(H55="正常",I55,"免征")</f>
        <v>免征</v>
      </c>
      <c r="G55" s="2334"/>
      <c r="H55" s="2330"/>
      <c r="I55" s="155">
        <f>'数据-取费表'!B49</f>
        <v>5.0000000000000001E-4</v>
      </c>
      <c r="J55" s="2303">
        <f>IF(H59="非个人房产","",4)</f>
        <v>4</v>
      </c>
      <c r="K55" s="3473" t="str">
        <f>IF(H59="非个人房产","——","个人所得税")</f>
        <v>个人所得税</v>
      </c>
      <c r="L55" s="3473"/>
      <c r="M55" s="2308" t="e">
        <f ca="1">D59</f>
        <v>#REF!</v>
      </c>
      <c r="N55" s="1877" t="str">
        <f>E59</f>
        <v>差额计税</v>
      </c>
      <c r="O55" s="2309">
        <f>F59</f>
        <v>0.01</v>
      </c>
    </row>
    <row r="56" spans="1:35" ht="24.75">
      <c r="A56" s="3423" t="s">
        <v>1363</v>
      </c>
      <c r="B56" s="3424"/>
      <c r="C56" s="3424"/>
      <c r="D56" s="12" t="e">
        <f ca="1">IF(H56="个人住宅",D57,D58)</f>
        <v>#REF!</v>
      </c>
      <c r="E56" s="1253" t="s">
        <v>1364</v>
      </c>
      <c r="F56" s="2333" t="str">
        <f>IF(H56="正常",F58,"免征")</f>
        <v>免征</v>
      </c>
      <c r="G56" s="2336" t="s">
        <v>1365</v>
      </c>
      <c r="H56" s="2337"/>
      <c r="I56" s="1667"/>
      <c r="J56" s="2303" t="str">
        <f>IF(项目基本情况!K6="上海银行",IF(J55="",4,J55+1),"")</f>
        <v/>
      </c>
      <c r="K56" s="3496" t="str">
        <f>IF(项目基本情况!K6="上海银行","其他处置费用","")</f>
        <v/>
      </c>
      <c r="L56" s="3497"/>
      <c r="M56" s="2305" t="str">
        <f>IF(项目基本情况!K6="上海银行",M69,"")</f>
        <v/>
      </c>
      <c r="N56" s="3496" t="str">
        <f>IF(项目基本情况!K6="上海银行","包含处置中涉及的律师、诉讼、拍卖、评估等费用","")</f>
        <v/>
      </c>
      <c r="O56" s="3499"/>
    </row>
    <row r="57" spans="1:35" ht="12.75">
      <c r="A57" s="2147" t="s">
        <v>1341</v>
      </c>
      <c r="B57" s="3434" t="s">
        <v>1366</v>
      </c>
      <c r="C57" s="3435"/>
      <c r="D57" s="1475">
        <v>0</v>
      </c>
      <c r="E57" s="314" t="s">
        <v>1343</v>
      </c>
      <c r="F57" s="292"/>
      <c r="G57" s="2334"/>
      <c r="H57" s="2338"/>
      <c r="I57" s="1667"/>
      <c r="J57" s="3473">
        <f>IF(AND(J55="",J56=""),4,IF(项目基本情况!K6="上海银行",结果表!J56+1,结果表!J55+1))</f>
        <v>5</v>
      </c>
      <c r="K57" s="3473" t="s">
        <v>1367</v>
      </c>
      <c r="L57" s="2310" t="s">
        <v>1368</v>
      </c>
      <c r="M57" s="2311"/>
      <c r="N57" s="2312">
        <f ca="1">SUMIF(M52:M56,"&lt;9e307")</f>
        <v>0</v>
      </c>
      <c r="O57" s="2313"/>
      <c r="P57" s="2458" t="e">
        <f ca="1">N57/M49</f>
        <v>#VALUE!</v>
      </c>
    </row>
    <row r="58" spans="1:35" ht="24.75">
      <c r="A58" s="2147" t="s">
        <v>1352</v>
      </c>
      <c r="B58" s="3434" t="s">
        <v>1369</v>
      </c>
      <c r="C58" s="3408"/>
      <c r="D58" s="12" t="e">
        <f ca="1">IF(H58="转让取得",C81,C97)</f>
        <v>#REF!</v>
      </c>
      <c r="E58" s="1253" t="s">
        <v>1364</v>
      </c>
      <c r="F58" s="292" t="s">
        <v>28</v>
      </c>
      <c r="G58" s="2334"/>
      <c r="H58" s="2337"/>
      <c r="I58" s="1667"/>
      <c r="J58" s="3473"/>
      <c r="K58" s="3473"/>
      <c r="L58" s="2310" t="s">
        <v>1370</v>
      </c>
      <c r="M58" s="2314"/>
      <c r="N58" s="2315" t="str">
        <f ca="1">NUMBERSTRING(INT(N57*10000),2)&amp;"元整"</f>
        <v>零元整</v>
      </c>
      <c r="O58" s="2316"/>
    </row>
    <row r="59" spans="1:35" ht="24.75" thickBot="1">
      <c r="A59" s="3476" t="s">
        <v>1371</v>
      </c>
      <c r="B59" s="3477"/>
      <c r="C59" s="3477"/>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74">
        <f>J57+1</f>
        <v>6</v>
      </c>
      <c r="K59" s="3473" t="s">
        <v>1372</v>
      </c>
      <c r="L59" s="2303" t="s">
        <v>1368</v>
      </c>
      <c r="M59" s="2317"/>
      <c r="N59" s="2318" t="e">
        <f ca="1">M49-N57</f>
        <v>#VALUE!</v>
      </c>
      <c r="O59" s="2319"/>
    </row>
    <row r="60" spans="1:35" ht="12" customHeight="1">
      <c r="A60" s="1668"/>
      <c r="B60" s="644"/>
      <c r="C60" s="644"/>
      <c r="D60" s="644"/>
      <c r="E60" s="1463"/>
      <c r="F60" s="1667"/>
      <c r="G60" s="1667"/>
      <c r="H60" s="149"/>
      <c r="I60" s="119"/>
      <c r="J60" s="3475"/>
      <c r="K60" s="3473"/>
      <c r="L60" s="2310" t="s">
        <v>1370</v>
      </c>
      <c r="M60" s="2314"/>
      <c r="N60" s="2315" t="e">
        <f ca="1">NUMBERSTRING(INT(N59*10000),2)&amp;"元整"</f>
        <v>#VALUE!</v>
      </c>
      <c r="O60" s="2316"/>
    </row>
    <row r="61" spans="1:35" ht="13.5" thickBot="1">
      <c r="A61" s="3421" t="s">
        <v>1373</v>
      </c>
      <c r="B61" s="3421"/>
      <c r="C61" s="3421"/>
      <c r="D61" s="3421"/>
      <c r="E61" s="3421"/>
      <c r="F61" s="1667"/>
      <c r="G61" s="1667"/>
      <c r="H61" s="149"/>
      <c r="I61" s="119"/>
      <c r="J61" s="2303">
        <f>J59+1</f>
        <v>7</v>
      </c>
      <c r="K61" s="3473" t="s">
        <v>1374</v>
      </c>
      <c r="L61" s="3473"/>
      <c r="M61" s="2320"/>
      <c r="N61" s="2321" t="e">
        <f ca="1">ROUND(N59*10000/'数据-汇总表'!E3,0)</f>
        <v>#VALUE!</v>
      </c>
      <c r="O61" s="2322"/>
    </row>
    <row r="62" spans="1:35" ht="12.75">
      <c r="A62" s="3439" t="s">
        <v>1375</v>
      </c>
      <c r="B62" s="3440"/>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498"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498"/>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498"/>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498"/>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498"/>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498"/>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498"/>
      <c r="K69" s="1242" t="s">
        <v>1393</v>
      </c>
      <c r="L69" s="1242"/>
      <c r="M69" s="292" t="e">
        <f>ROUND(SUM(M63:M68),0)</f>
        <v>#VALUE!</v>
      </c>
      <c r="N69" s="2325" t="e">
        <f>M69/M49</f>
        <v>#VALUE!</v>
      </c>
      <c r="Z69" s="1620"/>
      <c r="AI69" s="1558"/>
    </row>
    <row r="70" spans="1:35" s="640" customFormat="1" ht="15" thickBot="1">
      <c r="A70" s="3460" t="s">
        <v>1394</v>
      </c>
      <c r="B70" s="3461"/>
      <c r="C70" s="3461"/>
      <c r="D70" s="3461"/>
      <c r="E70" s="3461"/>
      <c r="F70" s="3461"/>
      <c r="G70" s="3461"/>
      <c r="H70" s="3461"/>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39" t="s">
        <v>1375</v>
      </c>
      <c r="B71" s="3440"/>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34" t="s">
        <v>1402</v>
      </c>
      <c r="F76" s="3408"/>
      <c r="G76" s="3408"/>
      <c r="H76" s="345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18" t="s">
        <v>1406</v>
      </c>
      <c r="F78" s="3419"/>
      <c r="G78" s="3419"/>
      <c r="H78" s="342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60" t="s">
        <v>1410</v>
      </c>
      <c r="B83" s="3461"/>
      <c r="C83" s="3461"/>
      <c r="D83" s="3461"/>
      <c r="E83" s="3461"/>
      <c r="F83" s="3461"/>
      <c r="G83" s="3461"/>
      <c r="H83" s="346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39" t="s">
        <v>1375</v>
      </c>
      <c r="B84" s="3440"/>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500" t="s">
        <v>2125</v>
      </c>
      <c r="H90" s="3501"/>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18" t="s">
        <v>1419</v>
      </c>
      <c r="F91" s="3419"/>
      <c r="G91" s="341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18" t="s">
        <v>1422</v>
      </c>
      <c r="F92" s="3419"/>
      <c r="G92" s="3419"/>
      <c r="H92" s="3428"/>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18" t="s">
        <v>1406</v>
      </c>
      <c r="F93" s="3419"/>
      <c r="G93" s="3419"/>
      <c r="H93" s="342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29" t="s">
        <v>1426</v>
      </c>
      <c r="F94" s="3430"/>
      <c r="G94" s="3430"/>
      <c r="H94" s="343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02" t="s">
        <v>1428</v>
      </c>
      <c r="B100" s="3403"/>
      <c r="C100" s="3403"/>
      <c r="D100" s="3420"/>
      <c r="E100" s="3403" t="s">
        <v>1429</v>
      </c>
      <c r="F100" s="3403"/>
      <c r="G100" s="3403"/>
      <c r="H100" s="3420"/>
      <c r="I100" s="119"/>
    </row>
    <row r="101" spans="1:35" ht="18.75" customHeight="1">
      <c r="A101" s="3481" t="s">
        <v>1430</v>
      </c>
      <c r="B101" s="3482"/>
      <c r="C101" s="2364" t="str">
        <f>C4</f>
        <v>成本法 (元)</v>
      </c>
      <c r="D101" s="2365" t="str">
        <f>D4</f>
        <v>比较法-住宅</v>
      </c>
      <c r="E101" s="3495" t="s">
        <v>1431</v>
      </c>
      <c r="F101" s="3452"/>
      <c r="G101" s="1684" t="s">
        <v>1432</v>
      </c>
      <c r="H101" s="2374" t="e">
        <f ca="1">H118</f>
        <v>#REF!</v>
      </c>
      <c r="I101" s="119"/>
    </row>
    <row r="102" spans="1:35" ht="18.75" customHeight="1">
      <c r="A102" s="3454" t="s">
        <v>1433</v>
      </c>
      <c r="B102" s="2363" t="s">
        <v>1432</v>
      </c>
      <c r="C102" s="2364">
        <f ca="1">IF(D32="楼面单价",ROUND(C19,0),C19)</f>
        <v>120.9179</v>
      </c>
      <c r="D102" s="2365">
        <f ca="1">IF(D32="楼面单价",ROUND(D19,0),D19)</f>
        <v>125.7101</v>
      </c>
      <c r="E102" s="3495"/>
      <c r="F102" s="3452"/>
      <c r="G102" s="1684" t="s">
        <v>1434</v>
      </c>
      <c r="H102" s="2334" t="e">
        <f ca="1">I118</f>
        <v>#REF!</v>
      </c>
      <c r="I102" s="119"/>
    </row>
    <row r="103" spans="1:35" ht="42.75" customHeight="1">
      <c r="A103" s="3454"/>
      <c r="B103" s="2363" t="s">
        <v>1434</v>
      </c>
      <c r="C103" s="2366">
        <f ca="1">C20</f>
        <v>19550</v>
      </c>
      <c r="D103" s="2367">
        <f ca="1">D20</f>
        <v>20325</v>
      </c>
      <c r="E103" s="3489" t="s">
        <v>1435</v>
      </c>
      <c r="F103" s="3490"/>
      <c r="G103" s="1685" t="s">
        <v>1436</v>
      </c>
      <c r="H103" s="2374">
        <f>IF(D36="正常操作",H104+H105+H106,H105+H106)</f>
        <v>0</v>
      </c>
      <c r="I103" s="119"/>
    </row>
    <row r="104" spans="1:35" ht="18.75" customHeight="1">
      <c r="A104" s="3454"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55"/>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51" t="str">
        <f>IF(项目基本情况!E8="已注销","——","3.房地产抵押价值")</f>
        <v>3.房地产抵押价值</v>
      </c>
      <c r="F107" s="3452"/>
      <c r="G107" s="1684" t="s">
        <v>1432</v>
      </c>
      <c r="H107" s="2374" t="e">
        <f ca="1">IF(E107="——","——",H101-H103)</f>
        <v>#REF!</v>
      </c>
      <c r="I107" s="119"/>
    </row>
    <row r="108" spans="1:35" ht="18.75" customHeight="1">
      <c r="A108" s="119"/>
      <c r="B108" s="119"/>
      <c r="C108" s="119"/>
      <c r="D108" s="119"/>
      <c r="E108" s="3451"/>
      <c r="F108" s="3452"/>
      <c r="G108" s="1684" t="s">
        <v>1434</v>
      </c>
      <c r="H108" s="2334">
        <f ca="1">IF(H107=H101,H102,ROUND(H107*10000/'数据-汇总表'!E3,0))</f>
        <v>0</v>
      </c>
      <c r="I108" s="119"/>
    </row>
    <row r="109" spans="1:35" ht="18.75" customHeight="1">
      <c r="A109" s="119"/>
      <c r="B109" s="119"/>
      <c r="C109" s="119"/>
      <c r="D109" s="119"/>
      <c r="E109" s="3451" t="str">
        <f>IF(项目基本情况!E8="已注销及未注销","4.抵押担保权已注销时的房地产抵押价值",IF(项目基本情况!E8="已注销","3.抵押担保权已注销时的房地产抵押价值","——"))</f>
        <v>——</v>
      </c>
      <c r="F109" s="3452"/>
      <c r="G109" s="1684" t="s">
        <v>1432</v>
      </c>
      <c r="H109" s="2377" t="str">
        <f>IF(E109="——","——",H101-H105-H106)</f>
        <v>——</v>
      </c>
      <c r="I109" s="119"/>
    </row>
    <row r="110" spans="1:35" ht="18.75" customHeight="1">
      <c r="A110" s="119"/>
      <c r="B110" s="119"/>
      <c r="C110" s="119"/>
      <c r="D110" s="119"/>
      <c r="E110" s="3451"/>
      <c r="F110" s="3452"/>
      <c r="G110" s="1684" t="s">
        <v>1434</v>
      </c>
      <c r="H110" s="2334" t="str">
        <f>IF(H109="——","——",ROUND(H109*10000/'数据-汇总表'!E3,0))</f>
        <v>——</v>
      </c>
      <c r="I110" s="119"/>
    </row>
    <row r="111" spans="1:35" ht="18.75" customHeight="1">
      <c r="A111" s="119"/>
      <c r="B111" s="119"/>
      <c r="C111" s="119"/>
      <c r="D111" s="119"/>
      <c r="E111" s="3483" t="str">
        <f>IF(项目基本情况!E9="抵押净值",IF(OR(项目基本情况!E8="已注销",项目基本情况!E8="房地产抵押价值"),"4.抵押净值","5.抵押净值"),"——")</f>
        <v>——</v>
      </c>
      <c r="F111" s="3453"/>
      <c r="G111" s="1684" t="s">
        <v>1432</v>
      </c>
      <c r="H111" s="2374" t="str">
        <f>IF(E111="——","——",N59)</f>
        <v>——</v>
      </c>
      <c r="I111" s="119"/>
    </row>
    <row r="112" spans="1:35" ht="18.75" customHeight="1" thickBot="1">
      <c r="A112" s="119"/>
      <c r="B112" s="119"/>
      <c r="C112" s="119"/>
      <c r="D112" s="119"/>
      <c r="E112" s="3484"/>
      <c r="F112" s="3485"/>
      <c r="G112" s="1687" t="s">
        <v>1434</v>
      </c>
      <c r="H112" s="2378" t="str">
        <f>IF(E111="——","——",N61)</f>
        <v>——</v>
      </c>
      <c r="I112" s="119"/>
    </row>
    <row r="113" spans="1:27" ht="18.75" customHeight="1">
      <c r="A113" s="119"/>
      <c r="B113" s="119"/>
      <c r="C113" s="119"/>
      <c r="D113" s="119"/>
      <c r="E113" s="3456" t="s">
        <v>1440</v>
      </c>
      <c r="F113" s="3456"/>
      <c r="G113" s="3456"/>
      <c r="H113" s="3456"/>
      <c r="I113" s="119"/>
    </row>
    <row r="114" spans="1:27" ht="3.75" customHeight="1">
      <c r="A114" s="644"/>
      <c r="B114" s="644"/>
      <c r="C114" s="644"/>
      <c r="D114" s="644"/>
      <c r="E114" s="1668"/>
      <c r="F114" s="1668"/>
      <c r="G114" s="1668"/>
      <c r="H114" s="1668"/>
      <c r="I114" s="644"/>
    </row>
    <row r="115" spans="1:27" ht="18.75" customHeight="1">
      <c r="A115" s="3466" t="s">
        <v>1442</v>
      </c>
      <c r="B115" s="3467"/>
      <c r="C115" s="3467"/>
      <c r="D115" s="3467"/>
      <c r="E115" s="3467"/>
      <c r="F115" s="3467"/>
      <c r="G115" s="3467"/>
      <c r="H115" s="3467"/>
      <c r="I115" s="3468"/>
    </row>
    <row r="116" spans="1:27" ht="27" customHeight="1">
      <c r="A116" s="3422" t="s">
        <v>1443</v>
      </c>
      <c r="B116" s="3457" t="s">
        <v>1444</v>
      </c>
      <c r="C116" s="3457" t="s">
        <v>1445</v>
      </c>
      <c r="D116" s="3470" t="s">
        <v>1446</v>
      </c>
      <c r="E116" s="3471"/>
      <c r="F116" s="3465" t="s">
        <v>1447</v>
      </c>
      <c r="G116" s="3465"/>
      <c r="H116" s="3422" t="s">
        <v>1448</v>
      </c>
      <c r="I116" s="3422"/>
    </row>
    <row r="117" spans="1:27" ht="18.75" customHeight="1">
      <c r="A117" s="3422"/>
      <c r="B117" s="3458"/>
      <c r="C117" s="3458"/>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61.85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22" t="s">
        <v>1452</v>
      </c>
      <c r="B119" s="3422"/>
      <c r="C119" s="3422"/>
      <c r="D119" s="3462" t="e">
        <f ca="1">NUMBERSTRING(INT(D118*10000),2)&amp;"元整"</f>
        <v>#REF!</v>
      </c>
      <c r="E119" s="3464"/>
      <c r="F119" s="3462" t="e">
        <f ca="1">NUMBERSTRING(INT(F118*10000),2)&amp;"元整"</f>
        <v>#REF!</v>
      </c>
      <c r="G119" s="3464"/>
      <c r="H119" s="3462" t="e">
        <f ca="1">NUMBERSTRING(INT(H118*10000),2)&amp;"元整"</f>
        <v>#REF!</v>
      </c>
      <c r="I119" s="3464"/>
    </row>
    <row r="120" spans="1:27" ht="18.75" customHeight="1">
      <c r="A120" s="3486" t="str">
        <f>IF(项目基本情况!B9="房地产市场价值","",MID(E103,3,LEN(E103)-2))</f>
        <v>估价师知悉的法定优先受偿款</v>
      </c>
      <c r="B120" s="3487"/>
      <c r="C120" s="3488"/>
      <c r="D120" s="3486">
        <f>H103</f>
        <v>0</v>
      </c>
      <c r="E120" s="3487"/>
      <c r="F120" s="3487"/>
      <c r="G120" s="3487"/>
      <c r="H120" s="3487"/>
      <c r="I120" s="348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62" t="s">
        <v>1452</v>
      </c>
      <c r="B121" s="3463"/>
      <c r="C121" s="3464"/>
      <c r="D121" s="3462" t="str">
        <f>IF(D120=0,"零元整",NUMBERSTRING(INT(D120*10000),2)&amp;"元整")</f>
        <v>零元整</v>
      </c>
      <c r="E121" s="3463"/>
      <c r="F121" s="3463"/>
      <c r="G121" s="3463"/>
      <c r="H121" s="3463"/>
      <c r="I121" s="3464"/>
      <c r="AA121" s="682"/>
    </row>
    <row r="122" spans="1:27" ht="18.75" customHeight="1">
      <c r="A122" s="3453" t="str">
        <f>IF(项目基本情况!B9="房地产市场价值","",MID(E107,3,LEN(E107)-2))</f>
        <v>房地产抵押价值</v>
      </c>
      <c r="B122" s="3453"/>
      <c r="C122" s="3453"/>
      <c r="D122" s="3486" t="e">
        <f ca="1">H107</f>
        <v>#REF!</v>
      </c>
      <c r="E122" s="3487"/>
      <c r="F122" s="3487"/>
      <c r="G122" s="3487"/>
      <c r="H122" s="3487"/>
      <c r="I122" s="3488"/>
      <c r="AA122" s="682"/>
    </row>
    <row r="123" spans="1:27" ht="18.75" customHeight="1">
      <c r="A123" s="3422" t="s">
        <v>1452</v>
      </c>
      <c r="B123" s="3422"/>
      <c r="C123" s="3422"/>
      <c r="D123" s="3462" t="e">
        <f ca="1">NUMBERSTRING(INT(D122*10000),2)&amp;"元整"</f>
        <v>#REF!</v>
      </c>
      <c r="E123" s="3463"/>
      <c r="F123" s="3463"/>
      <c r="G123" s="3463"/>
      <c r="H123" s="3463"/>
      <c r="I123" s="3464"/>
      <c r="AA123" s="682"/>
    </row>
    <row r="124" spans="1:27" ht="18.75" customHeight="1">
      <c r="A124" s="3453" t="str">
        <f>IF(项目基本情况!B9="房地产市场价值","",MID(E109,3,LEN(E109)-2))</f>
        <v/>
      </c>
      <c r="B124" s="3453"/>
      <c r="C124" s="3453"/>
      <c r="D124" s="3486" t="str">
        <f>H109</f>
        <v>——</v>
      </c>
      <c r="E124" s="3487"/>
      <c r="F124" s="3487"/>
      <c r="G124" s="3487"/>
      <c r="H124" s="3487"/>
      <c r="I124" s="3488"/>
      <c r="AA124" s="682"/>
    </row>
    <row r="125" spans="1:27" ht="18.75" customHeight="1">
      <c r="A125" s="3422" t="s">
        <v>1452</v>
      </c>
      <c r="B125" s="3422"/>
      <c r="C125" s="3422"/>
      <c r="D125" s="3462" t="e">
        <f>NUMBERSTRING(INT(D124*10000),2)&amp;"元整"</f>
        <v>#VALUE!</v>
      </c>
      <c r="E125" s="3463"/>
      <c r="F125" s="3463"/>
      <c r="G125" s="3463"/>
      <c r="H125" s="3463"/>
      <c r="I125" s="3464"/>
      <c r="AA125" s="682"/>
    </row>
    <row r="126" spans="1:27" ht="18.75" customHeight="1">
      <c r="A126" s="3453" t="str">
        <f>IF(项目基本情况!B9="房地产市场价值","",MID(E111,3,LEN(E111)-2))</f>
        <v/>
      </c>
      <c r="B126" s="3453"/>
      <c r="C126" s="3453"/>
      <c r="D126" s="3486" t="str">
        <f>H111</f>
        <v>——</v>
      </c>
      <c r="E126" s="3487"/>
      <c r="F126" s="3487"/>
      <c r="G126" s="3487"/>
      <c r="H126" s="3487"/>
      <c r="I126" s="3488"/>
      <c r="AA126" s="682"/>
    </row>
    <row r="127" spans="1:27" ht="18.75" customHeight="1">
      <c r="A127" s="3422" t="s">
        <v>1452</v>
      </c>
      <c r="B127" s="3422"/>
      <c r="C127" s="3422"/>
      <c r="D127" s="3462" t="e">
        <f>NUMBERSTRING(INT(D126*10000),2)&amp;"元整"</f>
        <v>#VALUE!</v>
      </c>
      <c r="E127" s="3463"/>
      <c r="F127" s="3463"/>
      <c r="G127" s="3463"/>
      <c r="H127" s="3463"/>
      <c r="I127" s="3464"/>
      <c r="AA127" s="682"/>
    </row>
    <row r="128" spans="1:27" ht="21.75" customHeight="1">
      <c r="A128" s="3469" t="s">
        <v>1453</v>
      </c>
      <c r="B128" s="3469"/>
      <c r="C128" s="3469"/>
      <c r="D128" s="3469"/>
      <c r="E128" s="3469"/>
      <c r="F128" s="3469"/>
      <c r="G128" s="3469"/>
      <c r="H128" s="3469"/>
      <c r="I128" s="3469"/>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13820</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2234438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9896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9896</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61.85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1</v>
      </c>
      <c r="D19" s="202">
        <f ca="1">D9+D10</f>
        <v>61.85</v>
      </c>
      <c r="E19" s="201">
        <f>'数据-取费表'!B31</f>
        <v>200</v>
      </c>
      <c r="F19" s="221"/>
      <c r="G19" s="1711"/>
    </row>
    <row r="20" spans="1:7" s="204" customFormat="1" ht="13.5" customHeight="1">
      <c r="A20" s="245" t="s">
        <v>1493</v>
      </c>
      <c r="B20" s="200" t="s">
        <v>1494</v>
      </c>
      <c r="C20" s="222">
        <f ca="1">ROUND((C5+C19)*F20,0)</f>
        <v>198</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1109</v>
      </c>
      <c r="D22" s="225">
        <f ca="1">C26</f>
        <v>1.1000000000000001E-3</v>
      </c>
      <c r="E22" s="226" t="s">
        <v>1498</v>
      </c>
      <c r="F22" s="227">
        <f ca="1">'数据-取费表'!B40</f>
        <v>5.4000000000000006E-2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1098</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1514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1514</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13810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13</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11</v>
      </c>
      <c r="D34" s="207"/>
      <c r="E34" s="210"/>
      <c r="F34" s="247">
        <f ca="1">IF('数据-取费表'!B24=0,1,IF(B1="",'数据-取费表'!N16,INDIRECT("'数据-取费表'!n"&amp;$G$1)))</f>
        <v>1</v>
      </c>
      <c r="G34" s="209" t="s">
        <v>1526</v>
      </c>
    </row>
    <row r="35" spans="1:7" ht="13.5" customHeight="1">
      <c r="A35" s="732" t="s">
        <v>351</v>
      </c>
      <c r="B35" s="205" t="s">
        <v>1527</v>
      </c>
      <c r="C35" s="210">
        <f ca="1">ROUND(C34*F35,0)</f>
        <v>0</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1</v>
      </c>
      <c r="D37" s="207">
        <f ca="1">D19</f>
        <v>61.85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0</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02" t="s">
        <v>1544</v>
      </c>
    </row>
    <row r="43" spans="1:7" ht="13.5" customHeight="1">
      <c r="A43" s="732" t="s">
        <v>347</v>
      </c>
      <c r="B43" s="205" t="s">
        <v>1545</v>
      </c>
      <c r="C43" s="228">
        <f ca="1">ROUND(IF('数据-取费表'!B22&lt;=1,C39*F22*'数据-取费表'!B21/2,C39*(POWER((1+F22),'数据-取费表'!B21/2)-1)),0)</f>
        <v>0</v>
      </c>
      <c r="D43" s="228"/>
      <c r="E43" s="228"/>
      <c r="F43" s="229"/>
      <c r="G43" s="3503"/>
    </row>
    <row r="44" spans="1:7" ht="13.5" customHeight="1">
      <c r="A44" s="732" t="s">
        <v>348</v>
      </c>
      <c r="B44" s="205" t="s">
        <v>1546</v>
      </c>
      <c r="C44" s="228">
        <f ca="1">ROUND(IF('数据-取费表'!B22&lt;=1,C40*F22*'数据-取费表'!B21/2,C40*(POWER((1+F22),'数据-取费表'!B21/2)-1)),4)</f>
        <v>1.1000000000000001E-3</v>
      </c>
      <c r="D44" s="228"/>
      <c r="E44" s="228"/>
      <c r="F44" s="229"/>
      <c r="G44" s="3504"/>
    </row>
    <row r="45" spans="1:7" s="204" customFormat="1" ht="13.5" customHeight="1">
      <c r="A45" s="245" t="s">
        <v>1547</v>
      </c>
      <c r="B45" s="234" t="s">
        <v>1513</v>
      </c>
      <c r="C45" s="235">
        <f ca="1">C46</f>
        <v>2</v>
      </c>
      <c r="D45" s="225">
        <f ca="1">C47</f>
        <v>3.0000000000000001E-3</v>
      </c>
      <c r="E45" s="226" t="s">
        <v>1539</v>
      </c>
      <c r="F45" s="236">
        <f ca="1">F27</f>
        <v>0.15</v>
      </c>
      <c r="G45" s="237" t="s">
        <v>1548</v>
      </c>
    </row>
    <row r="46" spans="1:7" s="204" customFormat="1" ht="13.5" customHeight="1">
      <c r="A46" s="732" t="s">
        <v>346</v>
      </c>
      <c r="B46" s="238" t="s">
        <v>1549</v>
      </c>
      <c r="C46" s="239">
        <f ca="1">ROUND((C33+C39)*F27,0)</f>
        <v>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17</v>
      </c>
      <c r="D49" s="222"/>
      <c r="E49" s="222"/>
      <c r="F49" s="254"/>
      <c r="G49" s="224" t="s">
        <v>1554</v>
      </c>
    </row>
    <row r="50" spans="1:7" s="248" customFormat="1" ht="24">
      <c r="A50" s="245" t="s">
        <v>1555</v>
      </c>
      <c r="B50" s="200" t="s">
        <v>1556</v>
      </c>
      <c r="C50" s="222"/>
      <c r="D50" s="222"/>
      <c r="E50" s="222"/>
      <c r="F50" s="254">
        <f>IF('数据-取费表'!B24=0,'数据-取费表'!N16,1)</f>
        <v>0.6</v>
      </c>
      <c r="G50" s="237" t="s">
        <v>1557</v>
      </c>
    </row>
    <row r="51" spans="1:7" ht="16.5" customHeight="1">
      <c r="A51" s="245" t="s">
        <v>1558</v>
      </c>
      <c r="B51" s="200" t="s">
        <v>1559</v>
      </c>
      <c r="C51" s="222">
        <f ca="1">ROUND(C49*F50,0)</f>
        <v>10</v>
      </c>
      <c r="D51" s="222"/>
      <c r="E51" s="222"/>
      <c r="F51" s="254"/>
      <c r="G51" s="224" t="s">
        <v>1560</v>
      </c>
    </row>
    <row r="52" spans="1:7" s="198" customFormat="1" ht="16.5" thickBot="1">
      <c r="A52" s="255" t="s">
        <v>1561</v>
      </c>
      <c r="B52" s="256"/>
      <c r="C52" s="257">
        <f ca="1">C31+C51</f>
        <v>13820</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320" t="str">
        <f>项目基本情况!B1</f>
        <v>北京市预评估</v>
      </c>
      <c r="C37" s="3320"/>
      <c r="D37" s="3320"/>
      <c r="E37" s="3320"/>
      <c r="F37" s="3320"/>
      <c r="G37" s="3320"/>
      <c r="H37" s="3320"/>
      <c r="I37" s="332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11263</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1821019</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61.85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61.85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-9895</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61.85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-9895</v>
      </c>
      <c r="D21" s="765"/>
      <c r="E21" s="271"/>
      <c r="F21" s="271"/>
      <c r="G21" s="121" t="s">
        <v>1629</v>
      </c>
      <c r="H21" s="757"/>
      <c r="I21" s="757"/>
      <c r="J21" s="757"/>
      <c r="K21" s="758"/>
    </row>
    <row r="22" spans="1:33" s="753" customFormat="1" ht="13.5" customHeight="1">
      <c r="A22" s="742" t="s">
        <v>1601</v>
      </c>
      <c r="B22" s="763" t="s">
        <v>1630</v>
      </c>
      <c r="C22" s="764">
        <f ca="1">ROUND(C21*F22,0)</f>
        <v>-198</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5.4000000000000006E-2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-1514</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-1514</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11263</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07" t="s">
        <v>694</v>
      </c>
      <c r="C6" s="1009">
        <f ca="1">ROUND(F6*F8*F7*(1-F9)/10000,0)</f>
        <v>0</v>
      </c>
      <c r="D6" s="145" t="s">
        <v>2105</v>
      </c>
      <c r="E6" s="292" t="s">
        <v>696</v>
      </c>
      <c r="F6" s="293">
        <f ca="1">INDIRECT("'数据-取费表'!u"&amp;$G$1)</f>
        <v>0</v>
      </c>
      <c r="G6" s="1289"/>
      <c r="H6" s="1004" t="s">
        <v>398</v>
      </c>
      <c r="I6" s="3507" t="s">
        <v>694</v>
      </c>
      <c r="J6" s="291">
        <f ca="1">ROUND(M6*M8*M7*(1-M9)/10000,0)</f>
        <v>0</v>
      </c>
      <c r="K6" s="145" t="s">
        <v>2104</v>
      </c>
      <c r="L6" s="292" t="s">
        <v>696</v>
      </c>
      <c r="M6" s="293">
        <f ca="1">INDIRECT("'数据-取费表'!z"&amp;$G$1)</f>
        <v>0</v>
      </c>
    </row>
    <row r="7" spans="1:37" ht="18" customHeight="1">
      <c r="A7" s="1008"/>
      <c r="B7" s="3508"/>
      <c r="C7" s="1010"/>
      <c r="D7" s="297"/>
      <c r="E7" s="1011" t="s">
        <v>697</v>
      </c>
      <c r="F7" s="293">
        <f ca="1">IF(INDIRECT("'数据-取费表'!ah"&amp;$G$1)="",INDIRECT("'数据-取费表'!k"&amp;$G$1),INDIRECT("'数据-取费表'!ah"&amp;$G$1))</f>
        <v>0</v>
      </c>
      <c r="G7" s="1289"/>
      <c r="H7" s="294"/>
      <c r="I7" s="3508"/>
      <c r="J7" s="296"/>
      <c r="K7" s="297"/>
      <c r="L7" s="292" t="s">
        <v>697</v>
      </c>
      <c r="M7" s="293">
        <f ca="1">F7</f>
        <v>0</v>
      </c>
    </row>
    <row r="8" spans="1:37" ht="18" customHeight="1">
      <c r="A8" s="294"/>
      <c r="B8" s="3508"/>
      <c r="C8" s="296"/>
      <c r="D8" s="297"/>
      <c r="E8" s="292" t="s">
        <v>698</v>
      </c>
      <c r="F8" s="293">
        <f ca="1">INDIRECT("'数据-取费表'!ai"&amp;$G$1)</f>
        <v>0</v>
      </c>
      <c r="G8" s="1289"/>
      <c r="H8" s="294"/>
      <c r="I8" s="3508"/>
      <c r="J8" s="296"/>
      <c r="K8" s="297"/>
      <c r="L8" s="292" t="s">
        <v>698</v>
      </c>
      <c r="M8" s="293">
        <f ca="1">INDIRECT("'数据-取费表'!ai"&amp;$G$1)</f>
        <v>0</v>
      </c>
    </row>
    <row r="9" spans="1:37" ht="18" customHeight="1">
      <c r="A9" s="294"/>
      <c r="B9" s="3509"/>
      <c r="C9" s="296"/>
      <c r="D9" s="297"/>
      <c r="E9" s="292" t="s">
        <v>699</v>
      </c>
      <c r="F9" s="302">
        <f ca="1">INDIRECT("'数据-取费表'!w"&amp;$G$1)</f>
        <v>0</v>
      </c>
      <c r="G9" s="1289"/>
      <c r="H9" s="294"/>
      <c r="I9" s="350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2.2499999999999999E-2</v>
      </c>
      <c r="G11" s="1289"/>
      <c r="H11" s="1012"/>
      <c r="I11" s="1272" t="s">
        <v>679</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05" t="s">
        <v>837</v>
      </c>
      <c r="L53" s="3506"/>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51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07" t="s">
        <v>694</v>
      </c>
      <c r="C6" s="1009">
        <f ca="1">ROUND(F6*F8*F7*(1-F9),0)</f>
        <v>0</v>
      </c>
      <c r="D6" s="145" t="s">
        <v>2102</v>
      </c>
      <c r="E6" s="292" t="s">
        <v>696</v>
      </c>
      <c r="F6" s="293">
        <f ca="1">INDIRECT("'数据-取费表'!u"&amp;$G$1)</f>
        <v>0</v>
      </c>
      <c r="G6" s="1289"/>
      <c r="H6" s="1004" t="s">
        <v>398</v>
      </c>
      <c r="I6" s="3507" t="s">
        <v>694</v>
      </c>
      <c r="J6" s="291">
        <f ca="1">ROUND(M6*M8*M7*(1-M9),0)</f>
        <v>0</v>
      </c>
      <c r="K6" s="1281" t="s">
        <v>2103</v>
      </c>
      <c r="L6" s="292" t="s">
        <v>696</v>
      </c>
      <c r="M6" s="293">
        <f ca="1">INDIRECT("'数据-取费表'!z"&amp;$G$1)</f>
        <v>0</v>
      </c>
    </row>
    <row r="7" spans="1:37" ht="18" customHeight="1">
      <c r="A7" s="1008"/>
      <c r="B7" s="3508"/>
      <c r="C7" s="1010"/>
      <c r="D7" s="297"/>
      <c r="E7" s="1011" t="s">
        <v>697</v>
      </c>
      <c r="F7" s="293">
        <f ca="1">IF(INDIRECT("'数据-取费表'!ah"&amp;$G$1)="",INDIRECT("'数据-取费表'!k"&amp;$G$1),INDIRECT("'数据-取费表'!ah"&amp;$G$1))</f>
        <v>1</v>
      </c>
      <c r="G7" s="1289"/>
      <c r="H7" s="294"/>
      <c r="I7" s="3508"/>
      <c r="J7" s="296"/>
      <c r="K7" s="297"/>
      <c r="L7" s="292" t="s">
        <v>697</v>
      </c>
      <c r="M7" s="293">
        <f ca="1">F7</f>
        <v>1</v>
      </c>
    </row>
    <row r="8" spans="1:37" ht="18" customHeight="1">
      <c r="A8" s="294"/>
      <c r="B8" s="3508"/>
      <c r="C8" s="296"/>
      <c r="D8" s="297"/>
      <c r="E8" s="292" t="s">
        <v>698</v>
      </c>
      <c r="F8" s="293">
        <f ca="1">INDIRECT("'数据-取费表'!ai"&amp;$G$1)</f>
        <v>12</v>
      </c>
      <c r="G8" s="1289"/>
      <c r="H8" s="294"/>
      <c r="I8" s="3508"/>
      <c r="J8" s="296"/>
      <c r="K8" s="297"/>
      <c r="L8" s="292" t="s">
        <v>698</v>
      </c>
      <c r="M8" s="293">
        <f ca="1">INDIRECT("'数据-取费表'!ai"&amp;$G$1)</f>
        <v>12</v>
      </c>
    </row>
    <row r="9" spans="1:37" ht="18" customHeight="1">
      <c r="A9" s="294"/>
      <c r="B9" s="3509"/>
      <c r="C9" s="296"/>
      <c r="D9" s="297"/>
      <c r="E9" s="292" t="s">
        <v>699</v>
      </c>
      <c r="F9" s="302">
        <f ca="1">INDIRECT("'数据-取费表'!w"&amp;$G$1)</f>
        <v>0.05</v>
      </c>
      <c r="G9" s="1289"/>
      <c r="H9" s="294"/>
      <c r="I9" s="350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2.2499999999999999E-2</v>
      </c>
      <c r="G11" s="1289"/>
      <c r="H11" s="1012"/>
      <c r="I11" s="1272" t="s">
        <v>891</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107440</v>
      </c>
      <c r="D13" s="1016" t="s">
        <v>705</v>
      </c>
      <c r="E13" s="1016" t="s">
        <v>706</v>
      </c>
      <c r="F13" s="1017">
        <f ca="1">INDIRECT("'数据-取费表'!y"&amp;$G$1)</f>
        <v>0.6</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111330</v>
      </c>
      <c r="D14" s="1254" t="s">
        <v>708</v>
      </c>
      <c r="E14" s="1252"/>
      <c r="F14" s="309"/>
      <c r="G14" s="1289"/>
      <c r="H14" s="926" t="s">
        <v>398</v>
      </c>
      <c r="I14" s="292" t="s">
        <v>709</v>
      </c>
      <c r="J14" s="21">
        <f ca="1">C29</f>
        <v>179067</v>
      </c>
      <c r="K14" s="12"/>
      <c r="L14" s="757"/>
      <c r="M14" s="758"/>
    </row>
    <row r="15" spans="1:37" s="1301" customFormat="1" ht="18" customHeight="1" thickBot="1">
      <c r="A15" s="926" t="s">
        <v>399</v>
      </c>
      <c r="B15" s="292" t="s">
        <v>710</v>
      </c>
      <c r="C15" s="21">
        <f ca="1">ROUND(C14*F15,0)</f>
        <v>3340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5567</v>
      </c>
      <c r="D16" s="292" t="s">
        <v>711</v>
      </c>
      <c r="E16" s="292" t="s">
        <v>712</v>
      </c>
      <c r="F16" s="312">
        <f ca="1">IF(INDIRECT("'数据-取费表'!c"&amp;$G$1)="住宅",'数据-取费表'!B34,0)</f>
        <v>0.05</v>
      </c>
      <c r="G16" s="1289"/>
      <c r="H16" s="1014" t="s">
        <v>393</v>
      </c>
      <c r="I16" s="1015" t="s">
        <v>714</v>
      </c>
      <c r="J16" s="300">
        <f ca="1">ROUND(J17+J22+J23+J24,0)</f>
        <v>1795</v>
      </c>
      <c r="K16" s="1022" t="s">
        <v>715</v>
      </c>
      <c r="L16" s="1023"/>
      <c r="M16" s="1007"/>
    </row>
    <row r="17" spans="1:37" s="1301" customFormat="1" ht="18" customHeight="1">
      <c r="A17" s="926" t="s">
        <v>681</v>
      </c>
      <c r="B17" s="292" t="s">
        <v>716</v>
      </c>
      <c r="C17" s="21">
        <f ca="1">ROUND(F17*(F43+INDIRECT("'数据-取费表'!S"&amp;$G$1)),0)</f>
        <v>12370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1670</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134277</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2686</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1791</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7396</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-1413.4876441349943</v>
      </c>
      <c r="K25" s="1030" t="s">
        <v>753</v>
      </c>
      <c r="L25" s="1031"/>
      <c r="M25" s="1032"/>
    </row>
    <row r="26" spans="1:37" ht="18" customHeight="1">
      <c r="A26" s="926" t="s">
        <v>397</v>
      </c>
      <c r="B26" s="292" t="s">
        <v>754</v>
      </c>
      <c r="C26" s="21">
        <f ca="1">ROUND((C19+C20)*F26,0)</f>
        <v>20544</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179067</v>
      </c>
      <c r="D29" s="1027"/>
      <c r="E29" s="1025"/>
      <c r="F29" s="1028"/>
      <c r="G29" s="1300"/>
      <c r="H29" s="323" t="s">
        <v>396</v>
      </c>
      <c r="I29" s="324" t="s">
        <v>768</v>
      </c>
      <c r="J29" s="325">
        <f ca="1">ROUND(J26/(1+F40)^F41,0)</f>
        <v>0</v>
      </c>
      <c r="K29" s="326" t="s">
        <v>769</v>
      </c>
      <c r="L29" s="327"/>
      <c r="M29" s="328">
        <f ca="1">INDIRECT("'数据-取费表'!k"&amp;$G$1)</f>
        <v>61.85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1898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1791</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107</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-1898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61.85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0</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179067</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51</v>
      </c>
      <c r="K51" s="1336" t="s">
        <v>830</v>
      </c>
      <c r="L51" s="1337">
        <f ca="1">ROUND(-PV(INDIRECT("'数据-取费表'!h"&amp;$G$1),J51,(C39-C13*C76),0),0)</f>
        <v>-188665</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51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51</v>
      </c>
      <c r="K53" s="3505" t="s">
        <v>837</v>
      </c>
      <c r="L53" s="3506"/>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107440</v>
      </c>
      <c r="D56" s="1349"/>
      <c r="E56" s="1350"/>
      <c r="F56" s="1342"/>
      <c r="I56" s="1351" t="s">
        <v>842</v>
      </c>
      <c r="J56" s="1352" t="s">
        <v>3395</v>
      </c>
      <c r="K56" s="1325" t="s">
        <v>843</v>
      </c>
      <c r="L56" s="1328" t="str">
        <f ca="1">IF(L48&lt;J51,"——",L48-J51)</f>
        <v>——</v>
      </c>
      <c r="O56" s="1322" t="s">
        <v>403</v>
      </c>
      <c r="P56" s="1323" t="s">
        <v>817</v>
      </c>
      <c r="Q56" s="1324">
        <f ca="1">C40+J29</f>
        <v>0</v>
      </c>
      <c r="R56" s="1324" t="s">
        <v>818</v>
      </c>
    </row>
    <row r="57" spans="1:18" s="1289" customFormat="1" ht="24.75" thickBot="1">
      <c r="A57" s="1353"/>
      <c r="B57" s="894" t="s">
        <v>767</v>
      </c>
      <c r="C57" s="228">
        <f ca="1">C29</f>
        <v>179067</v>
      </c>
      <c r="D57" s="1354"/>
      <c r="E57" s="1355"/>
      <c r="F57" s="1356"/>
      <c r="I57" s="1357" t="s">
        <v>844</v>
      </c>
      <c r="J57" s="1358" t="str">
        <f ca="1">IF(OR(M47="住宅",J51&lt;L48,J56="是"),"——",J51-L48)</f>
        <v>——</v>
      </c>
      <c r="K57" s="1325" t="s">
        <v>892</v>
      </c>
      <c r="L57" s="1328" t="str">
        <f ca="1">IF(L48&lt;J51,"——",IF(L55="比较法",L49,IF(L55="基准地价",L50,L51)))</f>
        <v>——</v>
      </c>
      <c r="O57" s="1322" t="s">
        <v>404</v>
      </c>
      <c r="P57" s="1323" t="s">
        <v>893</v>
      </c>
      <c r="Q57" s="1324">
        <f ca="1">L60</f>
        <v>0</v>
      </c>
      <c r="R57" s="1324" t="s">
        <v>894</v>
      </c>
    </row>
    <row r="58" spans="1:18" s="1289" customFormat="1" ht="24.75" thickBot="1">
      <c r="A58" s="305" t="s">
        <v>393</v>
      </c>
      <c r="B58" s="902" t="s">
        <v>714</v>
      </c>
      <c r="C58" s="306">
        <f ca="1">ROUND(C59+C64+C65+C66,0)</f>
        <v>1898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1791</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107</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-1898</v>
      </c>
      <c r="D67" s="907" t="s">
        <v>753</v>
      </c>
      <c r="E67" s="912"/>
      <c r="F67" s="913"/>
      <c r="O67" s="1331" t="s">
        <v>405</v>
      </c>
      <c r="P67" s="1323" t="s">
        <v>850</v>
      </c>
      <c r="Q67" s="1367">
        <f ca="1">L51</f>
        <v>-188665</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-7270</v>
      </c>
      <c r="R68" s="1324" t="s">
        <v>414</v>
      </c>
    </row>
    <row r="69" spans="1:18" s="1289" customFormat="1" ht="13.5" thickBot="1">
      <c r="A69" s="895"/>
      <c r="B69" s="896"/>
      <c r="C69" s="296"/>
      <c r="D69" s="914" t="s">
        <v>762</v>
      </c>
      <c r="E69" s="894" t="s">
        <v>763</v>
      </c>
      <c r="F69" s="322">
        <f ca="1">F41</f>
        <v>0</v>
      </c>
      <c r="O69" s="1331" t="s">
        <v>411</v>
      </c>
      <c r="P69" s="1368" t="s">
        <v>872</v>
      </c>
      <c r="Q69" s="1324">
        <f ca="1">C39</f>
        <v>-1898</v>
      </c>
      <c r="R69" s="1324" t="s">
        <v>818</v>
      </c>
    </row>
    <row r="70" spans="1:18" s="1289" customFormat="1" ht="13.5" thickBot="1">
      <c r="A70" s="898"/>
      <c r="B70" s="899"/>
      <c r="C70" s="300"/>
      <c r="D70" s="910"/>
      <c r="E70" s="894" t="s">
        <v>766</v>
      </c>
      <c r="F70" s="989"/>
      <c r="O70" s="1331" t="s">
        <v>412</v>
      </c>
      <c r="P70" s="1368" t="s">
        <v>873</v>
      </c>
      <c r="Q70" s="1324">
        <f ca="1">C13</f>
        <v>107440</v>
      </c>
      <c r="R70" s="1324" t="s">
        <v>818</v>
      </c>
    </row>
    <row r="71" spans="1:18" s="1289" customFormat="1" ht="13.5" thickBot="1">
      <c r="A71" s="915" t="s">
        <v>396</v>
      </c>
      <c r="B71" s="916" t="s">
        <v>776</v>
      </c>
      <c r="C71" s="325">
        <f ca="1">ROUND(C68/F71,0)</f>
        <v>0</v>
      </c>
      <c r="D71" s="917" t="s">
        <v>777</v>
      </c>
      <c r="E71" s="918" t="s">
        <v>778</v>
      </c>
      <c r="F71" s="328">
        <f ca="1">F43</f>
        <v>61.85</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5372</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3.83</v>
      </c>
    </row>
    <row r="80" spans="1:18">
      <c r="B80" s="329" t="s">
        <v>800</v>
      </c>
      <c r="C80" s="264">
        <f ca="1">ROUND(C75/C39,3)</f>
        <v>-2.83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516" t="s">
        <v>2314</v>
      </c>
      <c r="K2" s="3517"/>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518" t="s">
        <v>2324</v>
      </c>
      <c r="K3" s="3519"/>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518" t="s">
        <v>2326</v>
      </c>
      <c r="K4" s="3519"/>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524" t="s">
        <v>2330</v>
      </c>
      <c r="B6" s="3525"/>
      <c r="C6" s="3526"/>
      <c r="D6" s="2614"/>
      <c r="E6" s="2615"/>
      <c r="F6" s="2616"/>
      <c r="G6" s="2617"/>
      <c r="H6" s="2592"/>
      <c r="I6" s="2593"/>
      <c r="J6" s="3510">
        <v>1</v>
      </c>
      <c r="K6" s="3511"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510"/>
      <c r="K7" s="3512"/>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527" t="s">
        <v>2344</v>
      </c>
      <c r="C8" s="3528"/>
      <c r="D8" s="2633" t="s">
        <v>2345</v>
      </c>
      <c r="E8" s="2634" t="s">
        <v>2346</v>
      </c>
      <c r="F8" s="2635" t="s">
        <v>2347</v>
      </c>
      <c r="G8" s="2636"/>
      <c r="H8" s="2592"/>
      <c r="I8" s="2593"/>
      <c r="J8" s="3510"/>
      <c r="K8" s="3512"/>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527" t="s">
        <v>2350</v>
      </c>
      <c r="C9" s="3528"/>
      <c r="D9" s="2633">
        <f>ROUND(D6*E9,0)</f>
        <v>0</v>
      </c>
      <c r="E9" s="2637"/>
      <c r="F9" s="2638" t="s">
        <v>2351</v>
      </c>
      <c r="G9" s="2617"/>
      <c r="H9" s="2592"/>
      <c r="I9" s="2593"/>
      <c r="J9" s="3510"/>
      <c r="K9" s="3512"/>
      <c r="L9" s="2627" t="s">
        <v>2352</v>
      </c>
      <c r="M9" s="2628"/>
      <c r="N9" s="2604"/>
      <c r="O9" s="2629"/>
      <c r="P9" s="2629"/>
      <c r="Q9" s="2630">
        <v>365</v>
      </c>
      <c r="R9" s="2631">
        <f t="shared" si="0"/>
        <v>0</v>
      </c>
      <c r="S9" s="2585"/>
      <c r="T9" s="2585"/>
      <c r="U9" s="2585"/>
      <c r="V9" s="2593"/>
    </row>
    <row r="10" spans="1:22" s="2597" customFormat="1" ht="13.15" customHeight="1">
      <c r="A10" s="2632">
        <v>2</v>
      </c>
      <c r="B10" s="3527" t="s">
        <v>2353</v>
      </c>
      <c r="C10" s="3528"/>
      <c r="D10" s="2633">
        <f>ROUND(D6*E10,0)</f>
        <v>0</v>
      </c>
      <c r="E10" s="2637"/>
      <c r="F10" s="2638" t="s">
        <v>2354</v>
      </c>
      <c r="G10" s="2617"/>
      <c r="H10" s="2592"/>
      <c r="I10" s="2593"/>
      <c r="J10" s="3510"/>
      <c r="K10" s="3512"/>
      <c r="L10" s="2627" t="s">
        <v>2355</v>
      </c>
      <c r="M10" s="2628"/>
      <c r="N10" s="2604"/>
      <c r="O10" s="2629"/>
      <c r="P10" s="2629"/>
      <c r="Q10" s="2630">
        <v>365</v>
      </c>
      <c r="R10" s="2631">
        <f t="shared" si="0"/>
        <v>0</v>
      </c>
      <c r="S10" s="2585"/>
      <c r="T10" s="2585"/>
      <c r="U10" s="2585"/>
      <c r="V10" s="2593"/>
    </row>
    <row r="11" spans="1:22" s="2597" customFormat="1" ht="13.15" customHeight="1">
      <c r="A11" s="2632">
        <v>3</v>
      </c>
      <c r="B11" s="3527" t="s">
        <v>2356</v>
      </c>
      <c r="C11" s="3528"/>
      <c r="D11" s="2633">
        <f>D12+D14+D15+D16</f>
        <v>0</v>
      </c>
      <c r="E11" s="2639" t="e">
        <f>D11/D6</f>
        <v>#DIV/0!</v>
      </c>
      <c r="F11" s="2635"/>
      <c r="G11" s="2636"/>
      <c r="H11" s="2592"/>
      <c r="I11" s="2593"/>
      <c r="J11" s="3510"/>
      <c r="K11" s="3512"/>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520" t="s">
        <v>2359</v>
      </c>
      <c r="C12" s="3521"/>
      <c r="D12" s="2641">
        <f>ROUND(D13*1.2%*(1-30%),0)</f>
        <v>0</v>
      </c>
      <c r="E12" s="2642">
        <v>1.2E-2</v>
      </c>
      <c r="F12" s="2635" t="s">
        <v>2360</v>
      </c>
      <c r="G12" s="2636"/>
      <c r="H12" s="2592"/>
      <c r="I12" s="2593"/>
      <c r="J12" s="3510"/>
      <c r="K12" s="3512"/>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510"/>
      <c r="K13" s="3512"/>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520" t="s">
        <v>2365</v>
      </c>
      <c r="C14" s="3521"/>
      <c r="D14" s="2641">
        <f>ROUND(E14*B5/10000,0)</f>
        <v>0</v>
      </c>
      <c r="E14" s="2630"/>
      <c r="F14" s="2635" t="s">
        <v>2366</v>
      </c>
      <c r="G14" s="2636"/>
      <c r="H14" s="2592"/>
      <c r="I14" s="2593"/>
      <c r="J14" s="3510"/>
      <c r="K14" s="3513"/>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520" t="s">
        <v>2369</v>
      </c>
      <c r="C15" s="3521"/>
      <c r="D15" s="2641">
        <f>ROUND(D6*E15,0)</f>
        <v>0</v>
      </c>
      <c r="E15" s="2642">
        <v>5.5E-2</v>
      </c>
      <c r="F15" s="2635" t="s">
        <v>2370</v>
      </c>
      <c r="G15" s="2617"/>
      <c r="H15" s="2592"/>
      <c r="I15" s="2593"/>
      <c r="J15" s="3510">
        <v>2</v>
      </c>
      <c r="K15" s="3511"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520" t="s">
        <v>2378</v>
      </c>
      <c r="C16" s="3521"/>
      <c r="D16" s="2652">
        <f>D6*E16</f>
        <v>0</v>
      </c>
      <c r="E16" s="2653"/>
      <c r="F16" s="2638" t="s">
        <v>2379</v>
      </c>
      <c r="G16" s="2617"/>
      <c r="H16" s="2592"/>
      <c r="I16" s="2593"/>
      <c r="J16" s="3510"/>
      <c r="K16" s="3512"/>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522" t="s">
        <v>2381</v>
      </c>
      <c r="C17" s="3523"/>
      <c r="D17" s="2655">
        <f>ROUND(D6*E17,0)</f>
        <v>0</v>
      </c>
      <c r="E17" s="2656"/>
      <c r="F17" s="2657" t="s">
        <v>2382</v>
      </c>
      <c r="G17" s="2617"/>
      <c r="H17" s="2592"/>
      <c r="I17" s="2593"/>
      <c r="J17" s="3510"/>
      <c r="K17" s="3512"/>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510"/>
      <c r="K18" s="3512"/>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510"/>
      <c r="K19" s="3513"/>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510">
        <v>3</v>
      </c>
      <c r="K20" s="3511"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510"/>
      <c r="K21" s="3512"/>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510"/>
      <c r="K22" s="3512"/>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510"/>
      <c r="K23" s="3512"/>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510"/>
      <c r="K24" s="3513"/>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14">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15"/>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516" t="s">
        <v>2314</v>
      </c>
      <c r="K32" s="3517"/>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518" t="s">
        <v>2324</v>
      </c>
      <c r="K33" s="3519"/>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518" t="s">
        <v>2326</v>
      </c>
      <c r="K34" s="3519"/>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510">
        <v>1</v>
      </c>
      <c r="K36" s="3511"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510"/>
      <c r="K37" s="3512"/>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510"/>
      <c r="K38" s="3512"/>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510"/>
      <c r="K39" s="3512"/>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510"/>
      <c r="K40" s="3513"/>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14">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15"/>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120.9179</v>
      </c>
      <c r="C2" s="1726" t="s">
        <v>1651</v>
      </c>
      <c r="D2" s="1727" t="s">
        <v>1652</v>
      </c>
      <c r="E2" s="2386">
        <f>SUM(E6:E13)</f>
        <v>61.85</v>
      </c>
      <c r="F2" s="2473"/>
      <c r="G2" s="457"/>
      <c r="H2" s="457"/>
      <c r="I2" s="457"/>
      <c r="J2" s="457"/>
      <c r="K2" s="457"/>
      <c r="L2" s="457"/>
      <c r="M2" s="457"/>
      <c r="N2" s="457"/>
      <c r="O2" s="457"/>
      <c r="P2" s="457"/>
      <c r="Q2" s="457"/>
      <c r="R2" s="457"/>
      <c r="S2" s="457"/>
    </row>
    <row r="3" spans="1:22" ht="15.75">
      <c r="A3" s="1725" t="s">
        <v>686</v>
      </c>
      <c r="B3" s="2380">
        <f ca="1">ROUND(B2*10000/E2,0)</f>
        <v>19550</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29" t="s">
        <v>1654</v>
      </c>
      <c r="C5" s="3530"/>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120.9179</v>
      </c>
      <c r="C6" s="1726" t="s">
        <v>1651</v>
      </c>
      <c r="D6" s="2473"/>
      <c r="E6" s="2385">
        <f>IF(OR(A6=0,F6="否"),0,'数据-取费表'!K6+'数据-取费表'!S6)</f>
        <v>61.85</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C61" sqref="C61"/>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125.7101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20325</v>
      </c>
      <c r="C3" s="342" t="s">
        <v>1665</v>
      </c>
      <c r="D3" s="341">
        <f>IF(D1="",'数据-汇总表'!E3,SUMIF('数据-汇总表'!$C19:$C33,D1,'数据-汇总表'!$E19:$E33))</f>
        <v>61.85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49" t="s">
        <v>1667</v>
      </c>
      <c r="D4" s="3550"/>
      <c r="E4" s="3551" t="s">
        <v>1668</v>
      </c>
      <c r="F4" s="3552"/>
      <c r="G4" s="3549" t="s">
        <v>1669</v>
      </c>
      <c r="H4" s="3550"/>
      <c r="I4" s="3549" t="s">
        <v>1670</v>
      </c>
      <c r="J4" s="3550"/>
      <c r="K4" s="1741" t="s">
        <v>1671</v>
      </c>
      <c r="L4" s="2480"/>
      <c r="M4" s="2481"/>
      <c r="N4" s="2481"/>
      <c r="O4" s="2481"/>
      <c r="P4" s="3553" t="s">
        <v>1672</v>
      </c>
      <c r="Q4" s="3554"/>
      <c r="R4" s="3559" t="s">
        <v>1668</v>
      </c>
      <c r="S4" s="3560"/>
      <c r="T4" s="3559" t="s">
        <v>1669</v>
      </c>
      <c r="U4" s="3560"/>
      <c r="V4" s="3535" t="s">
        <v>1670</v>
      </c>
      <c r="W4" s="3535"/>
      <c r="X4" s="1262"/>
      <c r="Y4" s="3559" t="s">
        <v>1672</v>
      </c>
      <c r="Z4" s="3560"/>
      <c r="AA4" s="3546" t="s">
        <v>1668</v>
      </c>
      <c r="AB4" s="3546" t="s">
        <v>1669</v>
      </c>
      <c r="AC4" s="3546" t="s">
        <v>1670</v>
      </c>
    </row>
    <row r="5" spans="1:29" ht="15">
      <c r="A5" s="346"/>
      <c r="B5" s="347"/>
      <c r="C5" s="3572" t="s">
        <v>3619</v>
      </c>
      <c r="D5" s="3573"/>
      <c r="E5" s="3567" t="str">
        <f>案例!C2</f>
        <v>兴化西里</v>
      </c>
      <c r="F5" s="3568"/>
      <c r="G5" s="3567" t="str">
        <f>案例!C3</f>
        <v>兴化东里</v>
      </c>
      <c r="H5" s="3568"/>
      <c r="I5" s="3567" t="str">
        <f>案例!C4</f>
        <v>地坛北里</v>
      </c>
      <c r="J5" s="3568"/>
      <c r="K5" s="1742"/>
      <c r="L5" s="2480"/>
      <c r="M5" s="2481"/>
      <c r="N5" s="2481"/>
      <c r="O5" s="2481"/>
      <c r="P5" s="3555"/>
      <c r="Q5" s="3556"/>
      <c r="R5" s="3561"/>
      <c r="S5" s="3562"/>
      <c r="T5" s="3561"/>
      <c r="U5" s="3562"/>
      <c r="V5" s="3535"/>
      <c r="W5" s="3535"/>
      <c r="X5" s="1262"/>
      <c r="Y5" s="3561"/>
      <c r="Z5" s="3562"/>
      <c r="AA5" s="3547"/>
      <c r="AB5" s="3547"/>
      <c r="AC5" s="3547"/>
    </row>
    <row r="6" spans="1:29" ht="15.75" thickBot="1">
      <c r="A6" s="348"/>
      <c r="B6" s="349"/>
      <c r="C6" s="3565" t="s">
        <v>1677</v>
      </c>
      <c r="D6" s="3566"/>
      <c r="E6" s="3574" t="s">
        <v>1677</v>
      </c>
      <c r="F6" s="3575"/>
      <c r="G6" s="3565" t="s">
        <v>1677</v>
      </c>
      <c r="H6" s="3566"/>
      <c r="I6" s="3565" t="s">
        <v>1677</v>
      </c>
      <c r="J6" s="3566"/>
      <c r="K6" s="1742" t="s">
        <v>1678</v>
      </c>
      <c r="L6" s="2480"/>
      <c r="M6" s="2481"/>
      <c r="N6" s="2481"/>
      <c r="O6" s="2481"/>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f>案例!L2</f>
        <v>40079</v>
      </c>
      <c r="F7" s="355">
        <f>SUMIF(58:58,YEAR(E7)&amp;"-"&amp;MONTH(E7),59:59)</f>
        <v>96</v>
      </c>
      <c r="G7" s="354">
        <f>案例!L3</f>
        <v>40159</v>
      </c>
      <c r="H7" s="353">
        <f>SUMIF(58:58,YEAR(G7)&amp;"-"&amp;MONTH(G7),59:59)</f>
        <v>98</v>
      </c>
      <c r="I7" s="354">
        <f>案例!L4</f>
        <v>40099</v>
      </c>
      <c r="J7" s="353">
        <f>SUMIF(58:58,YEAR(I7)&amp;"-"&amp;MONTH(I7),59:59)</f>
        <v>98</v>
      </c>
      <c r="K7" s="3172"/>
      <c r="L7" s="2482"/>
      <c r="M7" s="2433"/>
      <c r="N7" s="2433"/>
      <c r="O7" s="2433"/>
      <c r="P7" s="3569" t="s">
        <v>1680</v>
      </c>
      <c r="Q7" s="3571"/>
      <c r="R7" s="662" t="s">
        <v>20</v>
      </c>
      <c r="S7" s="663">
        <f t="shared" ref="S7:S15" si="0">F7</f>
        <v>96</v>
      </c>
      <c r="T7" s="662" t="s">
        <v>20</v>
      </c>
      <c r="U7" s="663">
        <f t="shared" ref="U7:U15" si="1">H7</f>
        <v>98</v>
      </c>
      <c r="V7" s="662" t="s">
        <v>20</v>
      </c>
      <c r="W7" s="663">
        <f t="shared" ref="W7:W15" si="2">J7</f>
        <v>98</v>
      </c>
      <c r="X7" s="664"/>
      <c r="Y7" s="3569" t="s">
        <v>1680</v>
      </c>
      <c r="Z7" s="3570"/>
      <c r="AA7" s="50">
        <f>D7/F7</f>
        <v>1.0416666666666667</v>
      </c>
      <c r="AB7" s="50">
        <f>D7/H7</f>
        <v>1.0204081632653061</v>
      </c>
      <c r="AC7" s="50">
        <f>D7/J7</f>
        <v>1.0204081632653061</v>
      </c>
    </row>
    <row r="8" spans="1:29" s="101" customFormat="1" ht="15.75" thickBot="1">
      <c r="A8" s="350" t="s">
        <v>1681</v>
      </c>
      <c r="B8" s="351"/>
      <c r="C8" s="356" t="s">
        <v>3414</v>
      </c>
      <c r="D8" s="353">
        <v>100</v>
      </c>
      <c r="E8" s="356" t="s">
        <v>3414</v>
      </c>
      <c r="F8" s="355">
        <f>SUMIF(61:61,E8,62:62)-SUMIF(61:61,C8,62:62)+100</f>
        <v>100</v>
      </c>
      <c r="G8" s="356" t="s">
        <v>3414</v>
      </c>
      <c r="H8" s="353">
        <f>SUMIF(61:61,G8,62:62)-SUMIF(61:61,C8,62:62)+100</f>
        <v>100</v>
      </c>
      <c r="I8" s="356" t="s">
        <v>3414</v>
      </c>
      <c r="J8" s="353">
        <f>SUMIF(61:61,I8,62:62)-SUMIF(61:61,C8,62:62)+100</f>
        <v>100</v>
      </c>
      <c r="K8" s="1743"/>
      <c r="L8" s="2482"/>
      <c r="M8" s="2433"/>
      <c r="N8" s="2433"/>
      <c r="O8" s="2433"/>
      <c r="P8" s="3569" t="s">
        <v>1683</v>
      </c>
      <c r="Q8" s="3570"/>
      <c r="R8" s="662" t="s">
        <v>20</v>
      </c>
      <c r="S8" s="663">
        <f t="shared" si="0"/>
        <v>100</v>
      </c>
      <c r="T8" s="662" t="s">
        <v>20</v>
      </c>
      <c r="U8" s="663">
        <f t="shared" si="1"/>
        <v>100</v>
      </c>
      <c r="V8" s="662" t="s">
        <v>20</v>
      </c>
      <c r="W8" s="663">
        <f t="shared" si="2"/>
        <v>100</v>
      </c>
      <c r="X8" s="664"/>
      <c r="Y8" s="3569" t="s">
        <v>1683</v>
      </c>
      <c r="Z8" s="3570"/>
      <c r="AA8" s="50">
        <f t="shared" ref="AA8:AA19" si="3">D8/F8</f>
        <v>1</v>
      </c>
      <c r="AB8" s="50">
        <f t="shared" ref="AB8:AB19" si="4">D8/H8</f>
        <v>1</v>
      </c>
      <c r="AC8" s="50">
        <f t="shared" ref="AC8:AC19" si="5">D8/J8</f>
        <v>1</v>
      </c>
    </row>
    <row r="9" spans="1:29" s="101" customFormat="1">
      <c r="A9" s="357" t="s">
        <v>1684</v>
      </c>
      <c r="B9" s="60" t="s">
        <v>1685</v>
      </c>
      <c r="C9" s="3152" t="s">
        <v>3417</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45"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50">
        <f t="shared" si="5"/>
        <v>1</v>
      </c>
    </row>
    <row r="10" spans="1:29" s="364" customFormat="1" ht="15.75" thickBot="1">
      <c r="A10" s="361"/>
      <c r="B10" s="3171" t="s">
        <v>3445</v>
      </c>
      <c r="C10" s="3175" t="s">
        <v>3447</v>
      </c>
      <c r="D10" s="117">
        <v>100</v>
      </c>
      <c r="E10" s="3173" t="s">
        <v>3446</v>
      </c>
      <c r="F10" s="362">
        <f>SUMIF(65:65,E10,66:66)-SUMIF(65:65,C10,66:66)+100</f>
        <v>100</v>
      </c>
      <c r="G10" s="3173" t="s">
        <v>3446</v>
      </c>
      <c r="H10" s="117">
        <f>SUMIF(65:65,G10,66:66)-SUMIF(65:65,C10,66:66)+100</f>
        <v>100</v>
      </c>
      <c r="I10" s="3173" t="s">
        <v>3446</v>
      </c>
      <c r="J10" s="117">
        <f>SUMIF(65:65,I10,66:66)-SUMIF(65:65,C10,66:66)+100</f>
        <v>100</v>
      </c>
      <c r="K10" s="1743"/>
      <c r="L10" s="2483"/>
      <c r="M10" s="2484"/>
      <c r="N10" s="2484"/>
      <c r="O10" s="2484"/>
      <c r="P10" s="3545"/>
      <c r="Q10" s="528" t="str">
        <f t="shared" si="6"/>
        <v>房屋性质</v>
      </c>
      <c r="R10" s="662" t="s">
        <v>14</v>
      </c>
      <c r="S10" s="663">
        <f t="shared" si="0"/>
        <v>100</v>
      </c>
      <c r="T10" s="662" t="s">
        <v>14</v>
      </c>
      <c r="U10" s="663">
        <f t="shared" si="1"/>
        <v>100</v>
      </c>
      <c r="V10" s="662" t="s">
        <v>14</v>
      </c>
      <c r="W10" s="663">
        <f t="shared" si="2"/>
        <v>100</v>
      </c>
      <c r="X10" s="664"/>
      <c r="Y10" s="3409"/>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45"/>
      <c r="Q11" s="528" t="str">
        <f t="shared" si="6"/>
        <v>容积率</v>
      </c>
      <c r="R11" s="662" t="s">
        <v>18</v>
      </c>
      <c r="S11" s="663">
        <f t="shared" si="0"/>
        <v>100</v>
      </c>
      <c r="T11" s="662" t="s">
        <v>18</v>
      </c>
      <c r="U11" s="663">
        <f t="shared" si="1"/>
        <v>100</v>
      </c>
      <c r="V11" s="662" t="s">
        <v>18</v>
      </c>
      <c r="W11" s="663">
        <f t="shared" si="2"/>
        <v>100</v>
      </c>
      <c r="X11" s="664"/>
      <c r="Y11" s="3409"/>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45"/>
      <c r="Q12" s="528">
        <f t="shared" si="6"/>
        <v>111</v>
      </c>
      <c r="R12" s="662" t="s">
        <v>18</v>
      </c>
      <c r="S12" s="663">
        <f t="shared" si="0"/>
        <v>100</v>
      </c>
      <c r="T12" s="662" t="s">
        <v>18</v>
      </c>
      <c r="U12" s="663">
        <f t="shared" si="1"/>
        <v>100</v>
      </c>
      <c r="V12" s="662" t="s">
        <v>18</v>
      </c>
      <c r="W12" s="663">
        <f t="shared" si="2"/>
        <v>100</v>
      </c>
      <c r="X12" s="664"/>
      <c r="Y12" s="3409"/>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45"/>
      <c r="Q13" s="528">
        <f t="shared" si="6"/>
        <v>111</v>
      </c>
      <c r="R13" s="662" t="s">
        <v>18</v>
      </c>
      <c r="S13" s="663">
        <f t="shared" si="0"/>
        <v>100</v>
      </c>
      <c r="T13" s="662" t="s">
        <v>18</v>
      </c>
      <c r="U13" s="663">
        <f t="shared" si="1"/>
        <v>100</v>
      </c>
      <c r="V13" s="662" t="s">
        <v>18</v>
      </c>
      <c r="W13" s="663">
        <f t="shared" si="2"/>
        <v>100</v>
      </c>
      <c r="X13" s="664"/>
      <c r="Y13" s="3409"/>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45"/>
      <c r="Q14" s="528">
        <f t="shared" si="6"/>
        <v>111</v>
      </c>
      <c r="R14" s="662" t="s">
        <v>18</v>
      </c>
      <c r="S14" s="663">
        <f t="shared" si="0"/>
        <v>100</v>
      </c>
      <c r="T14" s="662" t="s">
        <v>18</v>
      </c>
      <c r="U14" s="663">
        <f t="shared" si="1"/>
        <v>100</v>
      </c>
      <c r="V14" s="662" t="s">
        <v>18</v>
      </c>
      <c r="W14" s="663">
        <f t="shared" si="2"/>
        <v>100</v>
      </c>
      <c r="X14" s="664"/>
      <c r="Y14" s="3409"/>
      <c r="Z14" s="50">
        <f t="shared" si="7"/>
        <v>111</v>
      </c>
      <c r="AA14" s="50">
        <f t="shared" si="3"/>
        <v>1</v>
      </c>
      <c r="AB14" s="50">
        <f t="shared" si="4"/>
        <v>1</v>
      </c>
      <c r="AC14" s="50">
        <f t="shared" si="5"/>
        <v>1</v>
      </c>
    </row>
    <row r="15" spans="1:29" ht="41.25" customHeight="1">
      <c r="A15" s="377" t="s">
        <v>1690</v>
      </c>
      <c r="B15" s="58" t="s">
        <v>1257</v>
      </c>
      <c r="C15" s="1746" t="str">
        <f>估价对象房地状况!C3</f>
        <v>周边有和平里社区、青年湖小区、青年湖北里、小黄庄前街2号院等住宅小区，居住社区成熟度较好。</v>
      </c>
      <c r="D15" s="378">
        <v>100</v>
      </c>
      <c r="E15" s="3155" t="s">
        <v>3829</v>
      </c>
      <c r="F15" s="378">
        <f>SUMIF(76:76,E16,77:77)-SUMIF(76:76,C16,77:77)+100</f>
        <v>100</v>
      </c>
      <c r="G15" s="3155" t="str">
        <f>E15</f>
        <v>周边有和平里社区、青年湖小区、青年湖北里、小黄庄前街2号院等住宅小区，居住社区成熟度较好。</v>
      </c>
      <c r="H15" s="378">
        <f>SUMIF(76:76,G16,77:77)-SUMIF(76:76,C16,77:77)+100</f>
        <v>100</v>
      </c>
      <c r="I15" s="3155" t="str">
        <f>E15</f>
        <v>周边有和平里社区、青年湖小区、青年湖北里、小黄庄前街2号院等住宅小区，居住社区成熟度较好。</v>
      </c>
      <c r="J15" s="378">
        <f>SUMIF(76:76,I16,77:77)-SUMIF(76:76,C16,77:77)+100</f>
        <v>100</v>
      </c>
      <c r="K15" s="382"/>
      <c r="L15" s="2486"/>
      <c r="M15" s="2481"/>
      <c r="N15" s="2481"/>
      <c r="O15" s="2481"/>
      <c r="P15" s="3543" t="s">
        <v>1691</v>
      </c>
      <c r="Q15" s="1260" t="str">
        <f t="shared" si="6"/>
        <v>居住社区成熟度</v>
      </c>
      <c r="R15" s="665" t="s">
        <v>18</v>
      </c>
      <c r="S15" s="666">
        <f t="shared" si="0"/>
        <v>100</v>
      </c>
      <c r="T15" s="665" t="s">
        <v>18</v>
      </c>
      <c r="U15" s="666">
        <f t="shared" si="1"/>
        <v>100</v>
      </c>
      <c r="V15" s="665" t="s">
        <v>18</v>
      </c>
      <c r="W15" s="666">
        <f t="shared" si="2"/>
        <v>100</v>
      </c>
      <c r="X15" s="1262"/>
      <c r="Y15" s="3536"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44"/>
      <c r="Q16" s="1260"/>
      <c r="R16" s="665"/>
      <c r="S16" s="666"/>
      <c r="T16" s="665"/>
      <c r="U16" s="666"/>
      <c r="V16" s="665"/>
      <c r="W16" s="666"/>
      <c r="X16" s="1262"/>
      <c r="Y16" s="3537"/>
      <c r="Z16" s="1261"/>
      <c r="AA16" s="1261">
        <v>1</v>
      </c>
      <c r="AB16" s="1261">
        <v>1</v>
      </c>
      <c r="AC16" s="1261">
        <v>1</v>
      </c>
    </row>
    <row r="17" spans="1:29" ht="34.5" customHeight="1">
      <c r="A17" s="365"/>
      <c r="B17" s="388" t="s">
        <v>1259</v>
      </c>
      <c r="C17" s="1750" t="str">
        <f>估价对象房地状况!C6</f>
        <v>周边有104路、119路、125路、430路等多条公交线路及地铁5号线和平里北街站，综合评价交通便捷度较好</v>
      </c>
      <c r="D17" s="387">
        <v>100</v>
      </c>
      <c r="E17" s="3167" t="s">
        <v>3830</v>
      </c>
      <c r="F17" s="387">
        <f>SUMIF(78:78,E18,79:79)-SUMIF(78:78,C18,79:79)+100</f>
        <v>100</v>
      </c>
      <c r="G17" s="3167" t="str">
        <f>E17</f>
        <v>周边有104路、119路、125路、430路等多条公交线路及地铁5号线和平里北街站，综合评价交通便捷度较好</v>
      </c>
      <c r="H17" s="392">
        <f>SUMIF(78:78,G18,79:79)-SUMIF(78:78,C18,79:79)+100</f>
        <v>100</v>
      </c>
      <c r="I17" s="3168" t="str">
        <f>E17</f>
        <v>周边有104路、119路、125路、430路等多条公交线路及地铁5号线和平里北街站，综合评价交通便捷度较好</v>
      </c>
      <c r="J17" s="392">
        <f>SUMIF(78:78,I18,79:79)-SUMIF(78:78,C18,79:79)+100</f>
        <v>100</v>
      </c>
      <c r="K17" s="382"/>
      <c r="L17" s="2486"/>
      <c r="M17" s="2481"/>
      <c r="N17" s="2481"/>
      <c r="O17" s="2481"/>
      <c r="P17" s="3544"/>
      <c r="Q17" s="1260" t="str">
        <f>B17</f>
        <v>交通便捷度</v>
      </c>
      <c r="R17" s="665" t="s">
        <v>18</v>
      </c>
      <c r="S17" s="666">
        <f>F17</f>
        <v>100</v>
      </c>
      <c r="T17" s="665" t="s">
        <v>18</v>
      </c>
      <c r="U17" s="666">
        <f>H17</f>
        <v>100</v>
      </c>
      <c r="V17" s="665" t="s">
        <v>18</v>
      </c>
      <c r="W17" s="666">
        <f>J17</f>
        <v>100</v>
      </c>
      <c r="X17" s="1262"/>
      <c r="Y17" s="3537"/>
      <c r="Z17" s="1261" t="str">
        <f>Q17</f>
        <v>交通便捷度</v>
      </c>
      <c r="AA17" s="1261">
        <f t="shared" si="3"/>
        <v>1</v>
      </c>
      <c r="AB17" s="1261">
        <f t="shared" si="4"/>
        <v>1</v>
      </c>
      <c r="AC17" s="1261">
        <f t="shared" si="5"/>
        <v>1</v>
      </c>
    </row>
    <row r="18" spans="1:29" ht="15">
      <c r="A18" s="365"/>
      <c r="B18" s="393"/>
      <c r="C18" s="1751" t="s">
        <v>3403</v>
      </c>
      <c r="D18" s="387"/>
      <c r="E18" s="1751" t="s">
        <v>3403</v>
      </c>
      <c r="F18" s="387"/>
      <c r="G18" s="1751" t="s">
        <v>3403</v>
      </c>
      <c r="H18" s="385"/>
      <c r="I18" s="1751" t="s">
        <v>3403</v>
      </c>
      <c r="J18" s="385"/>
      <c r="K18" s="1749"/>
      <c r="L18" s="2486"/>
      <c r="M18" s="2481"/>
      <c r="N18" s="2481"/>
      <c r="O18" s="2481"/>
      <c r="P18" s="3544"/>
      <c r="Q18" s="1260"/>
      <c r="R18" s="665"/>
      <c r="S18" s="666"/>
      <c r="T18" s="665"/>
      <c r="U18" s="666"/>
      <c r="V18" s="665"/>
      <c r="W18" s="666"/>
      <c r="X18" s="1262"/>
      <c r="Y18" s="3537"/>
      <c r="Z18" s="1261"/>
      <c r="AA18" s="1261">
        <v>1</v>
      </c>
      <c r="AB18" s="1261">
        <v>1</v>
      </c>
      <c r="AC18" s="1261">
        <v>1</v>
      </c>
    </row>
    <row r="19" spans="1:29" ht="299.25" customHeight="1">
      <c r="A19" s="365"/>
      <c r="B19" s="388" t="s">
        <v>1258</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169" t="s">
        <v>3831</v>
      </c>
      <c r="F19" s="392">
        <f>SUMIF(80:80,E20,81:81)-SUMIF(80:80,C20,81:81)+100</f>
        <v>100</v>
      </c>
      <c r="G19" s="3169" t="str">
        <f>I19</f>
        <v>银行：中国建设银行、交通银行、北京银行等金融机构；
医院：和平里医院等医疗机构；
学校：和平街第一中学、地坛小学、和平里第三小学等教育机构；
商业：天丰利市场等商业设施；
综合评价公共服务设施齐备度较好。</v>
      </c>
      <c r="H19" s="387">
        <f>SUMIF(80:80,G20,81:81)-SUMIF(80:80,C20,81:81)+100</f>
        <v>100</v>
      </c>
      <c r="I19" s="3169" t="str">
        <f>E19</f>
        <v>银行：中国建设银行、交通银行、北京银行等金融机构；
医院：和平里医院等医疗机构；
学校：和平街第一中学、地坛小学、和平里第三小学等教育机构；
商业：天丰利市场等商业设施；
综合评价公共服务设施齐备度较好。</v>
      </c>
      <c r="J19" s="387">
        <f>SUMIF(80:80,I20,81:81)-SUMIF(80:80,C20,81:81)+100</f>
        <v>100</v>
      </c>
      <c r="K19" s="382"/>
      <c r="L19" s="2486"/>
      <c r="M19" s="2481"/>
      <c r="N19" s="2481"/>
      <c r="O19" s="2481"/>
      <c r="P19" s="3544"/>
      <c r="Q19" s="1260" t="str">
        <f>B19</f>
        <v>公共配套设施</v>
      </c>
      <c r="R19" s="665" t="s">
        <v>18</v>
      </c>
      <c r="S19" s="666">
        <f>F19</f>
        <v>100</v>
      </c>
      <c r="T19" s="665" t="s">
        <v>18</v>
      </c>
      <c r="U19" s="666">
        <f>H19</f>
        <v>100</v>
      </c>
      <c r="V19" s="665" t="s">
        <v>18</v>
      </c>
      <c r="W19" s="666">
        <f>J19</f>
        <v>100</v>
      </c>
      <c r="X19" s="1262"/>
      <c r="Y19" s="3537"/>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44"/>
      <c r="Q20" s="1260"/>
      <c r="R20" s="665"/>
      <c r="S20" s="666"/>
      <c r="T20" s="665"/>
      <c r="U20" s="666"/>
      <c r="V20" s="665"/>
      <c r="W20" s="666"/>
      <c r="X20" s="1262"/>
      <c r="Y20" s="3537"/>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44"/>
      <c r="Q21" s="1260" t="str">
        <f>B21</f>
        <v>基础设施水平</v>
      </c>
      <c r="R21" s="665" t="s">
        <v>14</v>
      </c>
      <c r="S21" s="666">
        <f>F21</f>
        <v>100</v>
      </c>
      <c r="T21" s="665" t="s">
        <v>14</v>
      </c>
      <c r="U21" s="666">
        <f>H21</f>
        <v>100</v>
      </c>
      <c r="V21" s="665" t="s">
        <v>14</v>
      </c>
      <c r="W21" s="666">
        <f>J21</f>
        <v>100</v>
      </c>
      <c r="X21" s="1262"/>
      <c r="Y21" s="3537"/>
      <c r="Z21" s="1261" t="str">
        <f>Q21</f>
        <v>基础设施水平</v>
      </c>
      <c r="AA21" s="1261">
        <f>D21/F21</f>
        <v>1</v>
      </c>
      <c r="AB21" s="1261">
        <f>D21/H21</f>
        <v>1</v>
      </c>
      <c r="AC21" s="1261">
        <f>D21/J21</f>
        <v>1</v>
      </c>
    </row>
    <row r="22" spans="1:29" ht="15">
      <c r="A22" s="365"/>
      <c r="B22" s="584"/>
      <c r="C22" s="1751" t="s">
        <v>3407</v>
      </c>
      <c r="D22" s="385"/>
      <c r="E22" s="3162" t="s">
        <v>3407</v>
      </c>
      <c r="F22" s="385"/>
      <c r="G22" s="1751" t="s">
        <v>3407</v>
      </c>
      <c r="H22" s="385"/>
      <c r="I22" s="1751" t="s">
        <v>3407</v>
      </c>
      <c r="J22" s="385"/>
      <c r="K22" s="1755"/>
      <c r="L22" s="2486"/>
      <c r="M22" s="2481"/>
      <c r="N22" s="2481"/>
      <c r="O22" s="2481"/>
      <c r="P22" s="3544"/>
      <c r="Q22" s="1260"/>
      <c r="R22" s="665"/>
      <c r="S22" s="666"/>
      <c r="T22" s="665"/>
      <c r="U22" s="666"/>
      <c r="V22" s="665"/>
      <c r="W22" s="666"/>
      <c r="X22" s="1262"/>
      <c r="Y22" s="3537"/>
      <c r="Z22" s="1261"/>
      <c r="AA22" s="1261">
        <v>1</v>
      </c>
      <c r="AB22" s="1261">
        <v>1</v>
      </c>
      <c r="AC22" s="1261">
        <v>1</v>
      </c>
    </row>
    <row r="23" spans="1:29" ht="99.75">
      <c r="A23" s="365"/>
      <c r="B23" s="388" t="s">
        <v>1261</v>
      </c>
      <c r="C23" s="1750" t="str">
        <f>估价对象房地状况!C9</f>
        <v>周边有地坛公园、青年湖公园、柳荫公园等自然及人文景观，综合评价环境状况较好。
综合评价环境状况较好。</v>
      </c>
      <c r="D23" s="387">
        <v>100</v>
      </c>
      <c r="E23" s="3168" t="s">
        <v>3832</v>
      </c>
      <c r="F23" s="387">
        <f>SUMIF(84:84,E24,85:85)-SUMIF(84:84,C24,85:85)+100</f>
        <v>100</v>
      </c>
      <c r="G23" s="3168" t="str">
        <f>E23</f>
        <v>周边有地坛公园、青年湖公园、柳荫公园等自然及人文景观，综合评价环境状况较好。</v>
      </c>
      <c r="H23" s="387">
        <f>SUMIF(84:84,G24,85:85)-SUMIF(84:84,C24,85:85)+100</f>
        <v>100</v>
      </c>
      <c r="I23" s="3168" t="str">
        <f>C23</f>
        <v>周边有地坛公园、青年湖公园、柳荫公园等自然及人文景观，综合评价环境状况较好。
综合评价环境状况较好。</v>
      </c>
      <c r="J23" s="387">
        <f>SUMIF(84:84,I24,85:85)-SUMIF(84:84,C24,85:85)+100</f>
        <v>100</v>
      </c>
      <c r="K23" s="382"/>
      <c r="L23" s="2486"/>
      <c r="M23" s="2481"/>
      <c r="N23" s="2481"/>
      <c r="O23" s="2481"/>
      <c r="P23" s="3544"/>
      <c r="Q23" s="1260" t="str">
        <f>B23</f>
        <v>自然及人文环境</v>
      </c>
      <c r="R23" s="665" t="s">
        <v>18</v>
      </c>
      <c r="S23" s="666">
        <f>F23</f>
        <v>100</v>
      </c>
      <c r="T23" s="665" t="s">
        <v>18</v>
      </c>
      <c r="U23" s="666">
        <f>H23</f>
        <v>100</v>
      </c>
      <c r="V23" s="665" t="s">
        <v>18</v>
      </c>
      <c r="W23" s="666">
        <f>J23</f>
        <v>100</v>
      </c>
      <c r="X23" s="1262"/>
      <c r="Y23" s="3537"/>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44"/>
      <c r="Q24" s="1260"/>
      <c r="R24" s="665"/>
      <c r="S24" s="666"/>
      <c r="T24" s="665"/>
      <c r="U24" s="666"/>
      <c r="V24" s="665"/>
      <c r="W24" s="666"/>
      <c r="X24" s="1262"/>
      <c r="Y24" s="3537"/>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44"/>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37"/>
      <c r="Z25" s="1261" t="str">
        <f>Q25</f>
        <v>楼层-1</v>
      </c>
      <c r="AA25" s="1261">
        <f t="shared" ref="AA25:AA46" si="12">D25/F25</f>
        <v>1</v>
      </c>
      <c r="AB25" s="1261">
        <f t="shared" ref="AB25:AB46" si="13">D25/H25</f>
        <v>1</v>
      </c>
      <c r="AC25" s="1261">
        <f t="shared" ref="AC25:AC46" si="14">D25/J25</f>
        <v>1</v>
      </c>
    </row>
    <row r="26" spans="1:29" ht="15">
      <c r="A26" s="365"/>
      <c r="B26" s="362" t="s">
        <v>1693</v>
      </c>
      <c r="C26" s="397" t="s">
        <v>3549</v>
      </c>
      <c r="D26" s="372">
        <v>100</v>
      </c>
      <c r="E26" s="1756" t="s">
        <v>3833</v>
      </c>
      <c r="F26" s="372">
        <f>SUMIF(88:88,E26,89:89)-SUMIF(88:88,C26,89:89)+100</f>
        <v>98.5</v>
      </c>
      <c r="G26" s="1756" t="s">
        <v>3549</v>
      </c>
      <c r="H26" s="372">
        <f>SUMIF(88:88,G26,89:89)-SUMIF(88:88,C26,89:89)+100</f>
        <v>100</v>
      </c>
      <c r="I26" s="1757" t="s">
        <v>3459</v>
      </c>
      <c r="J26" s="372">
        <f>SUMIF(88:88,I26,89:89)-SUMIF(88:88,C26,89:89)+100</f>
        <v>100.5</v>
      </c>
      <c r="K26" s="3208">
        <v>0.5</v>
      </c>
      <c r="L26" s="2486"/>
      <c r="M26" s="2481"/>
      <c r="N26" s="2481"/>
      <c r="O26" s="2481"/>
      <c r="P26" s="3544"/>
      <c r="Q26" s="1260" t="str">
        <f t="shared" si="8"/>
        <v>朝向</v>
      </c>
      <c r="R26" s="665" t="s">
        <v>18</v>
      </c>
      <c r="S26" s="666">
        <f t="shared" si="9"/>
        <v>98.5</v>
      </c>
      <c r="T26" s="665" t="s">
        <v>18</v>
      </c>
      <c r="U26" s="666">
        <f t="shared" si="10"/>
        <v>100</v>
      </c>
      <c r="V26" s="665" t="s">
        <v>18</v>
      </c>
      <c r="W26" s="666">
        <f t="shared" si="11"/>
        <v>100.5</v>
      </c>
      <c r="X26" s="1262"/>
      <c r="Y26" s="3537"/>
      <c r="Z26" s="1261" t="str">
        <f>Q26</f>
        <v>朝向</v>
      </c>
      <c r="AA26" s="1261">
        <f t="shared" si="12"/>
        <v>1.015228426395939</v>
      </c>
      <c r="AB26" s="1261">
        <f t="shared" si="13"/>
        <v>1</v>
      </c>
      <c r="AC26" s="1261">
        <f t="shared" si="14"/>
        <v>0.99502487562189057</v>
      </c>
    </row>
    <row r="27" spans="1:29" s="101" customFormat="1" ht="15">
      <c r="A27" s="368"/>
      <c r="B27" s="3140" t="s">
        <v>3390</v>
      </c>
      <c r="C27" s="3170" t="s">
        <v>3550</v>
      </c>
      <c r="D27" s="399">
        <v>100</v>
      </c>
      <c r="E27" s="3170" t="s">
        <v>3550</v>
      </c>
      <c r="F27" s="399">
        <f>D91</f>
        <v>100</v>
      </c>
      <c r="G27" s="3170" t="s">
        <v>3841</v>
      </c>
      <c r="H27" s="372">
        <f>J27</f>
        <v>96</v>
      </c>
      <c r="I27" s="3170" t="s">
        <v>3841</v>
      </c>
      <c r="J27" s="399">
        <f>C91</f>
        <v>96</v>
      </c>
      <c r="K27" s="1744">
        <v>2</v>
      </c>
      <c r="L27" s="2482"/>
      <c r="M27" s="2433"/>
      <c r="N27" s="2433"/>
      <c r="O27" s="2433"/>
      <c r="P27" s="3544"/>
      <c r="Q27" s="528" t="str">
        <f t="shared" si="8"/>
        <v>楼层</v>
      </c>
      <c r="R27" s="662" t="s">
        <v>18</v>
      </c>
      <c r="S27" s="663">
        <f t="shared" si="9"/>
        <v>100</v>
      </c>
      <c r="T27" s="662" t="s">
        <v>18</v>
      </c>
      <c r="U27" s="663">
        <f t="shared" si="10"/>
        <v>96</v>
      </c>
      <c r="V27" s="662" t="s">
        <v>18</v>
      </c>
      <c r="W27" s="663">
        <f t="shared" si="11"/>
        <v>96</v>
      </c>
      <c r="X27" s="664"/>
      <c r="Y27" s="3537"/>
      <c r="Z27" s="50" t="str">
        <f>Q27</f>
        <v>楼层</v>
      </c>
      <c r="AA27" s="1261">
        <f t="shared" si="12"/>
        <v>1</v>
      </c>
      <c r="AB27" s="1261">
        <f t="shared" si="13"/>
        <v>1.0416666666666667</v>
      </c>
      <c r="AC27" s="1261">
        <f t="shared" si="14"/>
        <v>1.0416666666666667</v>
      </c>
    </row>
    <row r="28" spans="1:29" ht="15" hidden="1">
      <c r="A28" s="365"/>
      <c r="B28" s="3140" t="s">
        <v>3429</v>
      </c>
      <c r="C28" s="3142" t="s">
        <v>3432</v>
      </c>
      <c r="D28" s="372">
        <v>100</v>
      </c>
      <c r="E28" s="3142" t="s">
        <v>3432</v>
      </c>
      <c r="F28" s="372">
        <f>SUMIF(92:92,E28,93:93)-SUMIF(92:92,C28,93:93)+100</f>
        <v>100</v>
      </c>
      <c r="G28" s="3142" t="s">
        <v>3432</v>
      </c>
      <c r="H28" s="372">
        <f>SUMIF(92:92,G28,93:93)-SUMIF(92:92,C28,93:93)+100</f>
        <v>100</v>
      </c>
      <c r="I28" s="3142" t="s">
        <v>3432</v>
      </c>
      <c r="J28" s="372">
        <f>SUMIF(92:92,I28,93:93)-SUMIF(92:92,C28,93:93)+100</f>
        <v>100</v>
      </c>
      <c r="K28" s="1744"/>
      <c r="L28" s="2486"/>
      <c r="M28" s="2481"/>
      <c r="N28" s="2481"/>
      <c r="O28" s="2481"/>
      <c r="P28" s="3544"/>
      <c r="Q28" s="1260" t="str">
        <f t="shared" si="8"/>
        <v>道路级别</v>
      </c>
      <c r="R28" s="665" t="s">
        <v>18</v>
      </c>
      <c r="S28" s="666">
        <f t="shared" si="9"/>
        <v>100</v>
      </c>
      <c r="T28" s="665" t="s">
        <v>18</v>
      </c>
      <c r="U28" s="666">
        <f t="shared" si="10"/>
        <v>100</v>
      </c>
      <c r="V28" s="665" t="s">
        <v>18</v>
      </c>
      <c r="W28" s="666">
        <f t="shared" si="11"/>
        <v>100</v>
      </c>
      <c r="X28" s="1262"/>
      <c r="Y28" s="3537"/>
      <c r="Z28" s="1261" t="str">
        <f t="shared" ref="Z28:Z46" si="15">Q28</f>
        <v>道路级别</v>
      </c>
      <c r="AA28" s="1261">
        <f t="shared" si="12"/>
        <v>1</v>
      </c>
      <c r="AB28" s="1261">
        <f t="shared" si="13"/>
        <v>1</v>
      </c>
      <c r="AC28" s="1261">
        <f t="shared" si="14"/>
        <v>1</v>
      </c>
    </row>
    <row r="29" spans="1:29" ht="15">
      <c r="A29" s="365"/>
      <c r="B29" s="1064">
        <v>111</v>
      </c>
      <c r="C29" s="3170" t="s">
        <v>3838</v>
      </c>
      <c r="D29" s="372">
        <v>100</v>
      </c>
      <c r="E29" s="3170" t="s">
        <v>3839</v>
      </c>
      <c r="F29" s="372">
        <f>SUMIF(94:94,E29,95:95)-SUMIF(94:94,C29,95:95)+100</f>
        <v>100</v>
      </c>
      <c r="G29" s="3170" t="s">
        <v>3840</v>
      </c>
      <c r="H29" s="372">
        <f>SUMIF(94:94,G29,95:95)-SUMIF(94:94,C29,95:95)+100</f>
        <v>100</v>
      </c>
      <c r="I29" s="3170" t="s">
        <v>3840</v>
      </c>
      <c r="J29" s="372">
        <f>SUMIF(94:94,I29,95:95)-SUMIF(94:94,C29,95:95)+100</f>
        <v>100</v>
      </c>
      <c r="K29" s="1744"/>
      <c r="L29" s="2486"/>
      <c r="M29" s="2481"/>
      <c r="N29" s="2481"/>
      <c r="O29" s="2481"/>
      <c r="P29" s="3544"/>
      <c r="Q29" s="1260">
        <f t="shared" si="8"/>
        <v>111</v>
      </c>
      <c r="R29" s="665" t="s">
        <v>18</v>
      </c>
      <c r="S29" s="666">
        <f t="shared" si="9"/>
        <v>100</v>
      </c>
      <c r="T29" s="665" t="s">
        <v>18</v>
      </c>
      <c r="U29" s="666">
        <f t="shared" si="10"/>
        <v>100</v>
      </c>
      <c r="V29" s="665" t="s">
        <v>18</v>
      </c>
      <c r="W29" s="666">
        <f t="shared" si="11"/>
        <v>100</v>
      </c>
      <c r="X29" s="1262"/>
      <c r="Y29" s="3537"/>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44"/>
      <c r="Q30" s="1260">
        <f t="shared" si="8"/>
        <v>111</v>
      </c>
      <c r="R30" s="665" t="s">
        <v>18</v>
      </c>
      <c r="S30" s="666">
        <f t="shared" si="9"/>
        <v>100</v>
      </c>
      <c r="T30" s="665" t="s">
        <v>18</v>
      </c>
      <c r="U30" s="666">
        <f t="shared" si="10"/>
        <v>100</v>
      </c>
      <c r="V30" s="665" t="s">
        <v>18</v>
      </c>
      <c r="W30" s="666">
        <f t="shared" si="11"/>
        <v>100</v>
      </c>
      <c r="X30" s="1262"/>
      <c r="Y30" s="3537"/>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44"/>
      <c r="Q31" s="1260">
        <f t="shared" si="8"/>
        <v>111</v>
      </c>
      <c r="R31" s="665" t="s">
        <v>18</v>
      </c>
      <c r="S31" s="666">
        <f t="shared" si="9"/>
        <v>100</v>
      </c>
      <c r="T31" s="665" t="s">
        <v>18</v>
      </c>
      <c r="U31" s="666">
        <f t="shared" si="10"/>
        <v>100</v>
      </c>
      <c r="V31" s="665" t="s">
        <v>18</v>
      </c>
      <c r="W31" s="666">
        <f t="shared" si="11"/>
        <v>100</v>
      </c>
      <c r="X31" s="1262"/>
      <c r="Y31" s="3537"/>
      <c r="Z31" s="1261">
        <f t="shared" si="15"/>
        <v>111</v>
      </c>
      <c r="AA31" s="1261">
        <f t="shared" si="12"/>
        <v>1</v>
      </c>
      <c r="AB31" s="1261">
        <f t="shared" si="13"/>
        <v>1</v>
      </c>
      <c r="AC31" s="1261">
        <f t="shared" si="14"/>
        <v>1</v>
      </c>
    </row>
    <row r="32" spans="1:29" ht="15.75" thickBot="1">
      <c r="A32" s="377" t="s">
        <v>1694</v>
      </c>
      <c r="B32" s="362" t="s">
        <v>1695</v>
      </c>
      <c r="C32" s="3166" t="s">
        <v>3843</v>
      </c>
      <c r="D32" s="403">
        <v>100</v>
      </c>
      <c r="E32" s="3166" t="s">
        <v>3843</v>
      </c>
      <c r="F32" s="398">
        <f>SUMIF(100:100,E32,101:101)-SUMIF(100:100,C32,101:101)+100</f>
        <v>100</v>
      </c>
      <c r="G32" s="3166" t="s">
        <v>3843</v>
      </c>
      <c r="H32" s="403">
        <f>SUMIF(100:100,G32,101:101)-SUMIF(100:100,C32,101:101)+100</f>
        <v>100</v>
      </c>
      <c r="I32" s="3166" t="s">
        <v>3843</v>
      </c>
      <c r="J32" s="372">
        <f>SUMIF(100:100,I32,101:101)-SUMIF(100:100,C32,101:101)+100</f>
        <v>100</v>
      </c>
      <c r="K32" s="363">
        <v>1</v>
      </c>
      <c r="L32" s="2486"/>
      <c r="M32" s="2481"/>
      <c r="N32" s="2481"/>
      <c r="O32" s="2481"/>
      <c r="P32" s="3538" t="s">
        <v>1696</v>
      </c>
      <c r="Q32" s="1260" t="str">
        <f t="shared" si="8"/>
        <v>建筑类型</v>
      </c>
      <c r="R32" s="665" t="s">
        <v>18</v>
      </c>
      <c r="S32" s="666">
        <f t="shared" si="9"/>
        <v>100</v>
      </c>
      <c r="T32" s="665" t="s">
        <v>18</v>
      </c>
      <c r="U32" s="666">
        <f t="shared" si="10"/>
        <v>100</v>
      </c>
      <c r="V32" s="665" t="s">
        <v>18</v>
      </c>
      <c r="W32" s="666">
        <f t="shared" si="11"/>
        <v>100</v>
      </c>
      <c r="X32" s="1262"/>
      <c r="Y32" s="3541"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61.85</v>
      </c>
      <c r="D33" s="117">
        <v>100</v>
      </c>
      <c r="E33" s="3166">
        <f>案例!$E$2</f>
        <v>58.07</v>
      </c>
      <c r="F33" s="398">
        <f>E104</f>
        <v>100.5</v>
      </c>
      <c r="G33" s="3166">
        <f>案例!$E$3</f>
        <v>62.39</v>
      </c>
      <c r="H33" s="403">
        <f>F104</f>
        <v>100</v>
      </c>
      <c r="I33" s="3292">
        <f>案例!$E$4</f>
        <v>66.98</v>
      </c>
      <c r="J33" s="372">
        <f>G104</f>
        <v>99.5</v>
      </c>
      <c r="K33" s="3207">
        <v>0.5</v>
      </c>
      <c r="L33" s="2485"/>
      <c r="M33" s="2487"/>
      <c r="N33" s="2487"/>
      <c r="O33" s="2487"/>
      <c r="P33" s="3539"/>
      <c r="Q33" s="529" t="str">
        <f t="shared" si="8"/>
        <v>项目建筑规模</v>
      </c>
      <c r="R33" s="667" t="s">
        <v>18</v>
      </c>
      <c r="S33" s="668">
        <f t="shared" si="9"/>
        <v>100.5</v>
      </c>
      <c r="T33" s="667" t="s">
        <v>18</v>
      </c>
      <c r="U33" s="668">
        <f t="shared" si="10"/>
        <v>100</v>
      </c>
      <c r="V33" s="667" t="s">
        <v>18</v>
      </c>
      <c r="W33" s="668">
        <f t="shared" si="11"/>
        <v>99.5</v>
      </c>
      <c r="X33" s="669"/>
      <c r="Y33" s="3541"/>
      <c r="Z33" s="670" t="str">
        <f t="shared" si="15"/>
        <v>项目建筑规模</v>
      </c>
      <c r="AA33" s="1261">
        <f t="shared" si="12"/>
        <v>0.99502487562189057</v>
      </c>
      <c r="AB33" s="1261">
        <f t="shared" si="13"/>
        <v>1</v>
      </c>
      <c r="AC33" s="1261">
        <f t="shared" si="14"/>
        <v>1.0050251256281406</v>
      </c>
    </row>
    <row r="34" spans="1:29" ht="15">
      <c r="A34" s="407"/>
      <c r="B34" s="362" t="s">
        <v>1698</v>
      </c>
      <c r="C34" s="397" t="s">
        <v>3842</v>
      </c>
      <c r="D34" s="372">
        <v>100</v>
      </c>
      <c r="E34" s="397" t="s">
        <v>3393</v>
      </c>
      <c r="F34" s="398">
        <f>SUMIF(105:105,E34,106:106)-SUMIF(105:105,C34,106:106)+100</f>
        <v>100.5</v>
      </c>
      <c r="G34" s="397" t="s">
        <v>3842</v>
      </c>
      <c r="H34" s="372">
        <f>SUMIF(105:105,G34,106:106)-SUMIF(105:105,C34,106:106)+100</f>
        <v>100</v>
      </c>
      <c r="I34" s="397" t="s">
        <v>3842</v>
      </c>
      <c r="J34" s="372">
        <f>SUMIF(105:105,I34,106:106)-SUMIF(105:105,C34,106:106)+100</f>
        <v>100</v>
      </c>
      <c r="K34" s="363">
        <v>0.5</v>
      </c>
      <c r="L34" s="2486"/>
      <c r="M34" s="2481"/>
      <c r="N34" s="2481"/>
      <c r="O34" s="2481"/>
      <c r="P34" s="3539"/>
      <c r="Q34" s="1260" t="str">
        <f t="shared" si="8"/>
        <v>建筑结构</v>
      </c>
      <c r="R34" s="665" t="s">
        <v>18</v>
      </c>
      <c r="S34" s="666">
        <f t="shared" si="9"/>
        <v>100.5</v>
      </c>
      <c r="T34" s="665" t="s">
        <v>18</v>
      </c>
      <c r="U34" s="666">
        <f t="shared" si="10"/>
        <v>100</v>
      </c>
      <c r="V34" s="665" t="s">
        <v>18</v>
      </c>
      <c r="W34" s="666">
        <f t="shared" si="11"/>
        <v>100</v>
      </c>
      <c r="X34" s="1262"/>
      <c r="Y34" s="3541"/>
      <c r="Z34" s="1261" t="str">
        <f t="shared" si="15"/>
        <v>建筑结构</v>
      </c>
      <c r="AA34" s="1261">
        <f t="shared" si="12"/>
        <v>0.99502487562189057</v>
      </c>
      <c r="AB34" s="1261">
        <f t="shared" si="13"/>
        <v>1</v>
      </c>
      <c r="AC34" s="1261">
        <f t="shared" si="14"/>
        <v>1</v>
      </c>
    </row>
    <row r="35" spans="1:29" ht="15" hidden="1">
      <c r="A35" s="407"/>
      <c r="B35" s="362" t="s">
        <v>3441</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39"/>
      <c r="Q35" s="1260" t="str">
        <f t="shared" si="8"/>
        <v>噪音污染</v>
      </c>
      <c r="R35" s="665" t="s">
        <v>18</v>
      </c>
      <c r="S35" s="666">
        <f t="shared" si="9"/>
        <v>100</v>
      </c>
      <c r="T35" s="665" t="s">
        <v>18</v>
      </c>
      <c r="U35" s="666">
        <f t="shared" si="10"/>
        <v>100</v>
      </c>
      <c r="V35" s="665" t="s">
        <v>18</v>
      </c>
      <c r="W35" s="666">
        <f t="shared" si="11"/>
        <v>100</v>
      </c>
      <c r="X35" s="1262"/>
      <c r="Y35" s="3541"/>
      <c r="Z35" s="1261" t="str">
        <f t="shared" si="15"/>
        <v>噪音污染</v>
      </c>
      <c r="AA35" s="1261">
        <f t="shared" si="12"/>
        <v>1</v>
      </c>
      <c r="AB35" s="1261">
        <f t="shared" si="13"/>
        <v>1</v>
      </c>
      <c r="AC35" s="1261">
        <f t="shared" si="14"/>
        <v>1</v>
      </c>
    </row>
    <row r="36" spans="1:29" ht="15">
      <c r="A36" s="407"/>
      <c r="B36" s="362" t="s">
        <v>1699</v>
      </c>
      <c r="C36" s="3180" t="s">
        <v>3454</v>
      </c>
      <c r="D36" s="372">
        <v>100</v>
      </c>
      <c r="E36" s="3180" t="s">
        <v>3454</v>
      </c>
      <c r="F36" s="398">
        <f>SUMIF(109:109,E36,110:110)-SUMIF(109:109,C36,110:110)+100</f>
        <v>100</v>
      </c>
      <c r="G36" s="3180" t="s">
        <v>3454</v>
      </c>
      <c r="H36" s="372">
        <f>SUMIF(109:109,G36,110:110)-SUMIF(109:109,C36,110:110)+100</f>
        <v>100</v>
      </c>
      <c r="I36" s="3180" t="s">
        <v>3454</v>
      </c>
      <c r="J36" s="372">
        <f>SUMIF(109:109,I36,110:110)-SUMIF(109:109,C36,110:110)+100</f>
        <v>100</v>
      </c>
      <c r="K36" s="363"/>
      <c r="L36" s="2486"/>
      <c r="M36" s="2481"/>
      <c r="N36" s="2481"/>
      <c r="O36" s="2481"/>
      <c r="P36" s="3539"/>
      <c r="Q36" s="1260" t="str">
        <f t="shared" si="8"/>
        <v>公共部分装修</v>
      </c>
      <c r="R36" s="665" t="s">
        <v>18</v>
      </c>
      <c r="S36" s="666">
        <f t="shared" si="9"/>
        <v>100</v>
      </c>
      <c r="T36" s="665" t="s">
        <v>18</v>
      </c>
      <c r="U36" s="666">
        <f t="shared" si="10"/>
        <v>100</v>
      </c>
      <c r="V36" s="665" t="s">
        <v>18</v>
      </c>
      <c r="W36" s="666">
        <f t="shared" si="11"/>
        <v>100</v>
      </c>
      <c r="X36" s="1262"/>
      <c r="Y36" s="3541"/>
      <c r="Z36" s="1261" t="str">
        <f t="shared" si="15"/>
        <v>公共部分装修</v>
      </c>
      <c r="AA36" s="1261">
        <f t="shared" si="12"/>
        <v>1</v>
      </c>
      <c r="AB36" s="1261">
        <f t="shared" si="13"/>
        <v>1</v>
      </c>
      <c r="AC36" s="1261">
        <f t="shared" si="14"/>
        <v>1</v>
      </c>
    </row>
    <row r="37" spans="1:29" s="101" customFormat="1" ht="15">
      <c r="A37" s="408"/>
      <c r="B37" s="3171" t="s">
        <v>3834</v>
      </c>
      <c r="C37" s="3318" t="s">
        <v>3835</v>
      </c>
      <c r="D37" s="117">
        <v>100</v>
      </c>
      <c r="E37" s="3318" t="s">
        <v>3836</v>
      </c>
      <c r="F37" s="117">
        <f>G113</f>
        <v>103</v>
      </c>
      <c r="G37" s="3318" t="s">
        <v>3837</v>
      </c>
      <c r="H37" s="117">
        <f>E113</f>
        <v>101</v>
      </c>
      <c r="I37" s="3318" t="s">
        <v>3837</v>
      </c>
      <c r="J37" s="117">
        <f>H37</f>
        <v>101</v>
      </c>
      <c r="K37" s="363">
        <v>1</v>
      </c>
      <c r="L37" s="2482"/>
      <c r="M37" s="2433"/>
      <c r="N37" s="2433"/>
      <c r="O37" s="2433"/>
      <c r="P37" s="3539"/>
      <c r="Q37" s="528" t="str">
        <f t="shared" si="8"/>
        <v>成新度</v>
      </c>
      <c r="R37" s="662" t="s">
        <v>18</v>
      </c>
      <c r="S37" s="663">
        <f t="shared" si="9"/>
        <v>103</v>
      </c>
      <c r="T37" s="662" t="s">
        <v>18</v>
      </c>
      <c r="U37" s="663">
        <f t="shared" si="10"/>
        <v>101</v>
      </c>
      <c r="V37" s="662" t="s">
        <v>18</v>
      </c>
      <c r="W37" s="663">
        <f t="shared" si="11"/>
        <v>101</v>
      </c>
      <c r="X37" s="664"/>
      <c r="Y37" s="3541"/>
      <c r="Z37" s="50" t="str">
        <f t="shared" si="15"/>
        <v>成新度</v>
      </c>
      <c r="AA37" s="50">
        <f t="shared" si="12"/>
        <v>0.970873786407767</v>
      </c>
      <c r="AB37" s="50">
        <f t="shared" si="13"/>
        <v>0.99009900990099009</v>
      </c>
      <c r="AC37" s="50">
        <f t="shared" si="14"/>
        <v>0.99009900990099009</v>
      </c>
    </row>
    <row r="38" spans="1:29" ht="15">
      <c r="A38" s="407"/>
      <c r="B38" s="362" t="s">
        <v>1700</v>
      </c>
      <c r="C38" s="1756" t="s">
        <v>3443</v>
      </c>
      <c r="D38" s="372">
        <v>100</v>
      </c>
      <c r="E38" s="1756" t="s">
        <v>3443</v>
      </c>
      <c r="F38" s="398">
        <f>SUMIF(114:114,E38,115:115)-SUMIF(114:114,C38,115:115)+100</f>
        <v>100</v>
      </c>
      <c r="G38" s="1756" t="s">
        <v>3443</v>
      </c>
      <c r="H38" s="372">
        <f>SUMIF(114:114,G38,115:115)-SUMIF(114:114,C38,115:115)+100</f>
        <v>100</v>
      </c>
      <c r="I38" s="1756" t="s">
        <v>3443</v>
      </c>
      <c r="J38" s="372">
        <f>SUMIF(114:114,I38,115:115)-SUMIF(114:114,C38,115:115)+100</f>
        <v>100</v>
      </c>
      <c r="K38" s="363">
        <v>1</v>
      </c>
      <c r="L38" s="2486"/>
      <c r="M38" s="2481"/>
      <c r="N38" s="2481"/>
      <c r="O38" s="2481"/>
      <c r="P38" s="3539" t="s">
        <v>1696</v>
      </c>
      <c r="Q38" s="1260" t="str">
        <f t="shared" si="8"/>
        <v>物业管理</v>
      </c>
      <c r="R38" s="665" t="s">
        <v>18</v>
      </c>
      <c r="S38" s="666">
        <f t="shared" si="9"/>
        <v>100</v>
      </c>
      <c r="T38" s="665" t="s">
        <v>18</v>
      </c>
      <c r="U38" s="666">
        <f t="shared" si="10"/>
        <v>100</v>
      </c>
      <c r="V38" s="665" t="s">
        <v>18</v>
      </c>
      <c r="W38" s="666">
        <f t="shared" si="11"/>
        <v>100</v>
      </c>
      <c r="X38" s="1262"/>
      <c r="Y38" s="3541" t="s">
        <v>1696</v>
      </c>
      <c r="Z38" s="1261" t="str">
        <f t="shared" si="15"/>
        <v>物业管理</v>
      </c>
      <c r="AA38" s="1261">
        <f t="shared" si="12"/>
        <v>1</v>
      </c>
      <c r="AB38" s="1261">
        <f t="shared" si="13"/>
        <v>1</v>
      </c>
      <c r="AC38" s="1261">
        <f t="shared" si="14"/>
        <v>1</v>
      </c>
    </row>
    <row r="39" spans="1:29" ht="15">
      <c r="A39" s="407"/>
      <c r="B39" s="362" t="s">
        <v>1701</v>
      </c>
      <c r="C39" s="1756" t="s">
        <v>3407</v>
      </c>
      <c r="D39" s="372">
        <v>100</v>
      </c>
      <c r="E39" s="1756" t="s">
        <v>3407</v>
      </c>
      <c r="F39" s="398">
        <f>SUMIF(116:116,E39,117:117)-SUMIF(116:116,C39,117:117)+100</f>
        <v>100</v>
      </c>
      <c r="G39" s="1756" t="s">
        <v>3407</v>
      </c>
      <c r="H39" s="372">
        <f>SUMIF(116:116,G39,117:117)-SUMIF(116:116,C39,117:117)+100</f>
        <v>100</v>
      </c>
      <c r="I39" s="1756" t="s">
        <v>3407</v>
      </c>
      <c r="J39" s="372">
        <f>SUMIF(116:116,I39,117:117)-SUMIF(116:116,C39,117:117)+100</f>
        <v>100</v>
      </c>
      <c r="K39" s="363"/>
      <c r="L39" s="2486"/>
      <c r="M39" s="2481"/>
      <c r="N39" s="2481"/>
      <c r="O39" s="2481"/>
      <c r="P39" s="3539"/>
      <c r="Q39" s="1260" t="str">
        <f t="shared" si="8"/>
        <v>市政基础设施</v>
      </c>
      <c r="R39" s="665" t="s">
        <v>18</v>
      </c>
      <c r="S39" s="666">
        <f t="shared" si="9"/>
        <v>100</v>
      </c>
      <c r="T39" s="665" t="s">
        <v>18</v>
      </c>
      <c r="U39" s="666">
        <f t="shared" si="10"/>
        <v>100</v>
      </c>
      <c r="V39" s="665" t="s">
        <v>18</v>
      </c>
      <c r="W39" s="666">
        <f t="shared" si="11"/>
        <v>100</v>
      </c>
      <c r="X39" s="1262"/>
      <c r="Y39" s="3541"/>
      <c r="Z39" s="1261" t="str">
        <f t="shared" si="15"/>
        <v>市政基础设施</v>
      </c>
      <c r="AA39" s="1261">
        <f t="shared" si="12"/>
        <v>1</v>
      </c>
      <c r="AB39" s="1261">
        <f t="shared" si="13"/>
        <v>1</v>
      </c>
      <c r="AC39" s="1261">
        <f t="shared" si="14"/>
        <v>1</v>
      </c>
    </row>
    <row r="40" spans="1:29" ht="15" hidden="1">
      <c r="A40" s="407"/>
      <c r="B40" s="3171" t="s">
        <v>3551</v>
      </c>
      <c r="C40" s="1756" t="s">
        <v>3461</v>
      </c>
      <c r="D40" s="372">
        <v>100</v>
      </c>
      <c r="E40" s="1756" t="s">
        <v>3461</v>
      </c>
      <c r="F40" s="398">
        <f>SUMIF(118:118,E40,119:119)-SUMIF(118:118,C40,119:119)+100</f>
        <v>100</v>
      </c>
      <c r="G40" s="1756" t="s">
        <v>3461</v>
      </c>
      <c r="H40" s="372">
        <f>SUMIF(118:118,G40,119:119)-SUMIF(118:118,C40,119:119)+100</f>
        <v>100</v>
      </c>
      <c r="I40" s="1756" t="s">
        <v>3463</v>
      </c>
      <c r="J40" s="372">
        <f>SUMIF(118:118,I40,119:119)-SUMIF(118:118,C40,119:119)+100</f>
        <v>100</v>
      </c>
      <c r="K40" s="363"/>
      <c r="L40" s="2486"/>
      <c r="M40" s="2481"/>
      <c r="N40" s="2481"/>
      <c r="O40" s="2481"/>
      <c r="P40" s="3539"/>
      <c r="Q40" s="1260" t="str">
        <f t="shared" si="8"/>
        <v>原始户型</v>
      </c>
      <c r="R40" s="665" t="s">
        <v>18</v>
      </c>
      <c r="S40" s="666">
        <f t="shared" si="9"/>
        <v>100</v>
      </c>
      <c r="T40" s="665" t="s">
        <v>18</v>
      </c>
      <c r="U40" s="666">
        <f t="shared" si="10"/>
        <v>100</v>
      </c>
      <c r="V40" s="665" t="s">
        <v>18</v>
      </c>
      <c r="W40" s="666">
        <f t="shared" si="11"/>
        <v>100</v>
      </c>
      <c r="X40" s="1262"/>
      <c r="Y40" s="3541"/>
      <c r="Z40" s="1261" t="str">
        <f t="shared" si="15"/>
        <v>原始户型</v>
      </c>
      <c r="AA40" s="1261">
        <f t="shared" si="12"/>
        <v>1</v>
      </c>
      <c r="AB40" s="1261">
        <f t="shared" si="13"/>
        <v>1</v>
      </c>
      <c r="AC40" s="1261">
        <f t="shared" si="14"/>
        <v>1</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39"/>
      <c r="Q41" s="529" t="str">
        <f t="shared" si="8"/>
        <v>单套/主力户型建筑面积</v>
      </c>
      <c r="R41" s="667" t="s">
        <v>18</v>
      </c>
      <c r="S41" s="668">
        <f t="shared" si="9"/>
        <v>100</v>
      </c>
      <c r="T41" s="667" t="s">
        <v>18</v>
      </c>
      <c r="U41" s="668">
        <f t="shared" si="10"/>
        <v>100</v>
      </c>
      <c r="V41" s="667" t="s">
        <v>18</v>
      </c>
      <c r="W41" s="668">
        <f t="shared" si="11"/>
        <v>100</v>
      </c>
      <c r="X41" s="669"/>
      <c r="Y41" s="3541"/>
      <c r="Z41" s="670" t="str">
        <f t="shared" si="15"/>
        <v>单套/主力户型建筑面积</v>
      </c>
      <c r="AA41" s="1261">
        <f t="shared" si="12"/>
        <v>1</v>
      </c>
      <c r="AB41" s="1261">
        <f t="shared" si="13"/>
        <v>1</v>
      </c>
      <c r="AC41" s="1261">
        <f t="shared" si="14"/>
        <v>1</v>
      </c>
    </row>
    <row r="42" spans="1:29" ht="15">
      <c r="A42" s="407"/>
      <c r="B42" s="362" t="s">
        <v>1703</v>
      </c>
      <c r="C42" s="1756" t="s">
        <v>3548</v>
      </c>
      <c r="D42" s="372">
        <v>100</v>
      </c>
      <c r="E42" s="1756" t="s">
        <v>3454</v>
      </c>
      <c r="F42" s="398">
        <f>SUMIF(122:122,E42,123:123)-SUMIF(122:122,C42,123:123)+100</f>
        <v>103</v>
      </c>
      <c r="G42" s="1756" t="s">
        <v>3454</v>
      </c>
      <c r="H42" s="372">
        <f>SUMIF(122:122,G42,123:123)-SUMIF(122:122,C42,123:123)+100</f>
        <v>103</v>
      </c>
      <c r="I42" s="1756" t="s">
        <v>3454</v>
      </c>
      <c r="J42" s="372">
        <f>SUMIF(122:122,I42,123:123)-SUMIF(122:122,C42,123:123)+100</f>
        <v>103</v>
      </c>
      <c r="K42" s="363">
        <v>1.5</v>
      </c>
      <c r="L42" s="2486"/>
      <c r="M42" s="2481"/>
      <c r="N42" s="2481"/>
      <c r="O42" s="2481"/>
      <c r="P42" s="3539"/>
      <c r="Q42" s="1260" t="str">
        <f t="shared" si="8"/>
        <v>内部装修</v>
      </c>
      <c r="R42" s="665" t="s">
        <v>18</v>
      </c>
      <c r="S42" s="666">
        <f t="shared" si="9"/>
        <v>103</v>
      </c>
      <c r="T42" s="665" t="s">
        <v>18</v>
      </c>
      <c r="U42" s="666">
        <f t="shared" si="10"/>
        <v>103</v>
      </c>
      <c r="V42" s="665" t="s">
        <v>18</v>
      </c>
      <c r="W42" s="666">
        <f t="shared" si="11"/>
        <v>103</v>
      </c>
      <c r="X42" s="1262"/>
      <c r="Y42" s="3541"/>
      <c r="Z42" s="1261" t="str">
        <f t="shared" si="15"/>
        <v>内部装修</v>
      </c>
      <c r="AA42" s="1261">
        <f t="shared" si="12"/>
        <v>0.970873786407767</v>
      </c>
      <c r="AB42" s="1261">
        <f t="shared" si="13"/>
        <v>0.970873786407767</v>
      </c>
      <c r="AC42" s="1261">
        <f t="shared" si="14"/>
        <v>0.970873786407767</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c r="L43" s="2486"/>
      <c r="M43" s="2481"/>
      <c r="N43" s="2481"/>
      <c r="O43" s="2481"/>
      <c r="P43" s="3539"/>
      <c r="Q43" s="1260" t="str">
        <f t="shared" si="8"/>
        <v>内部装修维护情况</v>
      </c>
      <c r="R43" s="665" t="s">
        <v>18</v>
      </c>
      <c r="S43" s="666">
        <f t="shared" si="9"/>
        <v>100</v>
      </c>
      <c r="T43" s="665" t="s">
        <v>18</v>
      </c>
      <c r="U43" s="666">
        <f t="shared" si="10"/>
        <v>100</v>
      </c>
      <c r="V43" s="665" t="s">
        <v>18</v>
      </c>
      <c r="W43" s="666">
        <f t="shared" si="11"/>
        <v>100</v>
      </c>
      <c r="X43" s="1262"/>
      <c r="Y43" s="3541"/>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39"/>
      <c r="Q44" s="528">
        <f t="shared" si="8"/>
        <v>0</v>
      </c>
      <c r="R44" s="662" t="s">
        <v>18</v>
      </c>
      <c r="S44" s="663">
        <f t="shared" si="9"/>
        <v>100</v>
      </c>
      <c r="T44" s="662" t="s">
        <v>18</v>
      </c>
      <c r="U44" s="663">
        <f t="shared" si="10"/>
        <v>100</v>
      </c>
      <c r="V44" s="662" t="s">
        <v>18</v>
      </c>
      <c r="W44" s="663">
        <f t="shared" si="11"/>
        <v>100</v>
      </c>
      <c r="X44" s="664"/>
      <c r="Y44" s="3541"/>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39"/>
      <c r="Q45" s="1260">
        <f t="shared" si="8"/>
        <v>0</v>
      </c>
      <c r="R45" s="665" t="s">
        <v>18</v>
      </c>
      <c r="S45" s="666">
        <f t="shared" si="9"/>
        <v>100</v>
      </c>
      <c r="T45" s="665" t="s">
        <v>18</v>
      </c>
      <c r="U45" s="666">
        <f t="shared" si="10"/>
        <v>100</v>
      </c>
      <c r="V45" s="665" t="s">
        <v>18</v>
      </c>
      <c r="W45" s="666">
        <f t="shared" si="11"/>
        <v>100</v>
      </c>
      <c r="X45" s="1262"/>
      <c r="Y45" s="3541"/>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40"/>
      <c r="Q46" s="1260">
        <f t="shared" si="8"/>
        <v>111</v>
      </c>
      <c r="R46" s="665" t="s">
        <v>17</v>
      </c>
      <c r="S46" s="666">
        <f t="shared" si="9"/>
        <v>100</v>
      </c>
      <c r="T46" s="665" t="s">
        <v>17</v>
      </c>
      <c r="U46" s="666">
        <f t="shared" si="10"/>
        <v>100</v>
      </c>
      <c r="V46" s="665" t="s">
        <v>17</v>
      </c>
      <c r="W46" s="666">
        <f t="shared" si="11"/>
        <v>100</v>
      </c>
      <c r="X46" s="1262"/>
      <c r="Y46" s="3542"/>
      <c r="Z46" s="1261">
        <f t="shared" si="15"/>
        <v>111</v>
      </c>
      <c r="AA46" s="1261">
        <f t="shared" si="12"/>
        <v>1</v>
      </c>
      <c r="AB46" s="1261">
        <f t="shared" si="13"/>
        <v>1</v>
      </c>
      <c r="AC46" s="1261">
        <f t="shared" si="14"/>
        <v>1</v>
      </c>
    </row>
    <row r="47" spans="1:29" ht="15">
      <c r="A47" s="414" t="s">
        <v>1705</v>
      </c>
      <c r="B47" s="415"/>
      <c r="C47" s="1079" t="s">
        <v>16</v>
      </c>
      <c r="D47" s="416"/>
      <c r="E47" s="417">
        <f>案例!J2</f>
        <v>19287</v>
      </c>
      <c r="F47" s="418"/>
      <c r="G47" s="419">
        <f>案例!$J$3</f>
        <v>20837</v>
      </c>
      <c r="H47" s="420"/>
      <c r="I47" s="417">
        <f>案例!$J$4</f>
        <v>20211</v>
      </c>
      <c r="J47" s="420"/>
      <c r="K47" s="1761"/>
      <c r="L47" s="2488"/>
      <c r="M47" s="2481"/>
      <c r="N47" s="2481"/>
      <c r="O47" s="2481"/>
      <c r="P47" s="3534" t="str">
        <f>A47</f>
        <v>成交单价（元/平方米）</v>
      </c>
      <c r="Q47" s="3534"/>
      <c r="R47" s="3535">
        <f>E47</f>
        <v>19287</v>
      </c>
      <c r="S47" s="3535"/>
      <c r="T47" s="3535">
        <f>G47</f>
        <v>20837</v>
      </c>
      <c r="U47" s="3535"/>
      <c r="V47" s="3535">
        <f>I47</f>
        <v>20211</v>
      </c>
      <c r="W47" s="3535"/>
      <c r="X47" s="383"/>
      <c r="Y47" s="671"/>
      <c r="Z47" s="383"/>
      <c r="AA47" s="383"/>
      <c r="AB47" s="383"/>
      <c r="AC47" s="383"/>
    </row>
    <row r="48" spans="1:29" ht="15.75" thickBot="1">
      <c r="A48" s="421" t="s">
        <v>1706</v>
      </c>
      <c r="B48" s="422"/>
      <c r="C48" s="1080">
        <f>R49</f>
        <v>20325</v>
      </c>
      <c r="D48" s="2135" t="s">
        <v>2134</v>
      </c>
      <c r="E48" s="1081">
        <f>R48</f>
        <v>19035</v>
      </c>
      <c r="F48" s="2136"/>
      <c r="G48" s="1080">
        <f>T48</f>
        <v>21290</v>
      </c>
      <c r="H48" s="2136"/>
      <c r="I48" s="1081">
        <f>V48</f>
        <v>20651</v>
      </c>
      <c r="J48" s="2136"/>
      <c r="K48" s="2137">
        <f>F48+H48+J48</f>
        <v>0</v>
      </c>
      <c r="L48" s="2488"/>
      <c r="M48" s="2481"/>
      <c r="N48" s="2481"/>
      <c r="O48" s="2481"/>
      <c r="P48" s="3534" t="str">
        <f>A48</f>
        <v>比较价值（元/平方米）</v>
      </c>
      <c r="Q48" s="3534"/>
      <c r="R48" s="3535">
        <f>IF(F1="售价",ROUND(PRODUCT(R47,AA7:AA46),0),ROUND(PRODUCT(R47,AA7:AA46),1))</f>
        <v>19035</v>
      </c>
      <c r="S48" s="3535"/>
      <c r="T48" s="3535">
        <f>IF(F1="售价",ROUND(PRODUCT(T47,AB7:AB46),0),ROUND(PRODUCT(T47,AB7:AB46),1))</f>
        <v>21290</v>
      </c>
      <c r="U48" s="3535"/>
      <c r="V48" s="3535">
        <f>IF(F1="售价",ROUND(PRODUCT(V47,AC7:AC46),0),ROUND(PRODUCT(V47,AC7:AC46),1))</f>
        <v>20651</v>
      </c>
      <c r="W48" s="3535"/>
      <c r="X48" s="383"/>
      <c r="Y48" s="383"/>
      <c r="Z48" s="383"/>
      <c r="AA48" s="383"/>
      <c r="AB48" s="383"/>
      <c r="AC48" s="383"/>
    </row>
    <row r="49" spans="1:29" ht="15.75" thickBot="1">
      <c r="A49" s="425" t="s">
        <v>1707</v>
      </c>
      <c r="B49" s="426"/>
      <c r="C49" s="1082">
        <f>R49</f>
        <v>20325</v>
      </c>
      <c r="D49" s="349"/>
      <c r="E49" s="349"/>
      <c r="F49" s="349"/>
      <c r="G49" s="349"/>
      <c r="H49" s="349"/>
      <c r="I49" s="349"/>
      <c r="J49" s="349"/>
      <c r="K49" s="1762"/>
      <c r="L49" s="2488"/>
      <c r="M49" s="2481"/>
      <c r="N49" s="2481"/>
      <c r="O49" s="2481"/>
      <c r="P49" s="3531" t="str">
        <f>A49</f>
        <v>估价对象XX用房的比较价值（楼面单价，元/平方米）</v>
      </c>
      <c r="Q49" s="3532"/>
      <c r="R49" s="3533">
        <f>IF(F1="售价",ROUND(IF(D48="简单平均",AVERAGE(R48:V48),R48*F48+T48*H48+V48*J48),0),ROUND(IF(D48="简单平均",AVERAGE(R48:V48),R48*F48+T48*H48+V48*J48),1))</f>
        <v>20325</v>
      </c>
      <c r="S49" s="3533"/>
      <c r="T49" s="3533"/>
      <c r="U49" s="3533"/>
      <c r="V49" s="3533"/>
      <c r="W49" s="3533"/>
      <c r="X49" s="383"/>
      <c r="Y49" s="383"/>
      <c r="Z49" s="383"/>
      <c r="AA49" s="383"/>
      <c r="AB49" s="383"/>
      <c r="AC49" s="383"/>
    </row>
    <row r="50" spans="1:29">
      <c r="A50" s="3198"/>
      <c r="B50" s="2481"/>
      <c r="C50" s="2481">
        <v>1965</v>
      </c>
      <c r="D50" s="2481"/>
      <c r="E50" s="2481">
        <v>2005</v>
      </c>
      <c r="F50" s="2481"/>
      <c r="G50" s="2481">
        <v>1982</v>
      </c>
      <c r="H50" s="2481"/>
      <c r="I50" s="2481">
        <v>1981</v>
      </c>
      <c r="J50" s="2481"/>
      <c r="K50" s="2493"/>
      <c r="L50" s="2489"/>
      <c r="M50" s="2481"/>
      <c r="N50" s="2481"/>
      <c r="O50" s="2481"/>
    </row>
    <row r="51" spans="1:29">
      <c r="A51" s="2481"/>
      <c r="B51" s="2481"/>
      <c r="C51" s="3319">
        <f>(1-(2010-C50)/50)*0.98</f>
        <v>9.7999999999999976E-2</v>
      </c>
      <c r="D51" s="2481"/>
      <c r="E51" s="3319">
        <f>(1-(2010-E50)/50)*0.98</f>
        <v>0.88200000000000001</v>
      </c>
      <c r="F51" s="2481"/>
      <c r="G51" s="3319">
        <f>(1-(2010-G50)/50)*0.98</f>
        <v>0.43119999999999992</v>
      </c>
      <c r="H51" s="2481"/>
      <c r="I51" s="3319">
        <f>(1-(2010-I50)/50)*0.98</f>
        <v>0.41160000000000002</v>
      </c>
      <c r="J51" s="2481"/>
      <c r="K51" s="2493"/>
      <c r="L51" s="2489"/>
      <c r="M51" s="2481"/>
      <c r="N51" s="2481"/>
      <c r="O51" s="2481"/>
    </row>
    <row r="52" spans="1:29" ht="13.5" customHeight="1">
      <c r="A52" s="2481"/>
      <c r="B52" s="2481"/>
      <c r="C52" s="430" t="s">
        <v>1708</v>
      </c>
      <c r="D52" s="431"/>
      <c r="E52" s="432">
        <f>IF(E47&lt;E48,E48/E47-1,E47/E48-1)</f>
        <v>1.3238770685579215E-2</v>
      </c>
      <c r="F52" s="433" t="str">
        <f>IF(OR(E52&gt;=0.3,E52&lt;=-0.3),"超过30%","")</f>
        <v/>
      </c>
      <c r="G52" s="432">
        <f>IF(G47&lt;G48,G48/G47-1,G47/G48-1)</f>
        <v>2.1740173729423606E-2</v>
      </c>
      <c r="H52" s="433" t="str">
        <f>IF(OR(G52&gt;=0.3,G52&lt;=-0.3),"超过30%","")</f>
        <v/>
      </c>
      <c r="I52" s="432">
        <f>IF(I47&lt;I48,I48/I47-1,I47/I48-1)</f>
        <v>2.1770323091385935E-2</v>
      </c>
      <c r="J52" s="433" t="str">
        <f>IF(OR(I52&gt;=0.3,I52&lt;=-0.3),"超过30%","")</f>
        <v/>
      </c>
      <c r="K52" s="2493"/>
      <c r="L52" s="2489"/>
      <c r="M52" s="2481"/>
      <c r="N52" s="2481"/>
      <c r="O52" s="2481"/>
    </row>
    <row r="53" spans="1:29" ht="13.5" customHeight="1">
      <c r="A53" s="2481"/>
      <c r="B53" s="2481"/>
      <c r="C53" s="430" t="s">
        <v>1709</v>
      </c>
      <c r="D53" s="434"/>
      <c r="E53" s="432">
        <f>IF(E48&lt;G48,G48/E48-1,E48/G48-1)</f>
        <v>0.11846598371421058</v>
      </c>
      <c r="F53" s="433" t="str">
        <f>IF(OR(E53&gt;=0.2,E53&lt;=-0.2),"超过20%","")</f>
        <v/>
      </c>
      <c r="G53" s="432">
        <f>IF(G48&lt;I48,I48/G48-1,G48/I48-1)</f>
        <v>3.0942811486126542E-2</v>
      </c>
      <c r="H53" s="433" t="str">
        <f>IF(OR(G53&gt;=0.2,G53&lt;=-0.2),"超过20%","")</f>
        <v/>
      </c>
      <c r="I53" s="432">
        <f>IF(I48&lt;E48,E48/I48-1,I48/E48-1)</f>
        <v>8.4896243761491963E-2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8.0365012702856786E-2</v>
      </c>
      <c r="F54" s="433" t="str">
        <f>IF(OR(E54&gt;=0.3,E54&lt;=-0.3),"超过30%","")</f>
        <v/>
      </c>
      <c r="G54" s="432">
        <f>IF(G47&lt;I47,I47/G47-1,G47/I47-1)</f>
        <v>3.0973232398199047E-2</v>
      </c>
      <c r="H54" s="433" t="str">
        <f>IF(OR(G54&gt;=0.3,G54&lt;=-0.3),"超过30%","")</f>
        <v/>
      </c>
      <c r="I54" s="432">
        <f>IF(I47&lt;E47,E47/I47-1,I47/E47-1)</f>
        <v>4.7907917249961018E-2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2010-3</v>
      </c>
      <c r="D58" s="1101">
        <f>EDATE(C58,-1)</f>
        <v>40210</v>
      </c>
      <c r="E58" s="1101">
        <f>EDATE(D58,-1)</f>
        <v>40179</v>
      </c>
      <c r="F58" s="1101">
        <f t="shared" ref="F58:O58" si="16">EDATE(E58,-1)</f>
        <v>40148</v>
      </c>
      <c r="G58" s="1101">
        <f t="shared" si="16"/>
        <v>40118</v>
      </c>
      <c r="H58" s="1101">
        <f t="shared" si="16"/>
        <v>40087</v>
      </c>
      <c r="I58" s="1101">
        <f t="shared" si="16"/>
        <v>40057</v>
      </c>
      <c r="J58" s="1101">
        <f t="shared" si="16"/>
        <v>40026</v>
      </c>
      <c r="K58" s="1101">
        <f t="shared" si="16"/>
        <v>39995</v>
      </c>
      <c r="L58" s="1101">
        <f t="shared" si="16"/>
        <v>39965</v>
      </c>
      <c r="M58" s="1101">
        <f t="shared" si="16"/>
        <v>39934</v>
      </c>
      <c r="N58" s="1101">
        <f t="shared" si="16"/>
        <v>39904</v>
      </c>
      <c r="O58" s="1101">
        <f t="shared" si="16"/>
        <v>39873</v>
      </c>
      <c r="P58" s="3143">
        <f t="shared" ref="P58:AB58" si="17">EDATE(O58,-1)</f>
        <v>39845</v>
      </c>
      <c r="Q58" s="3143">
        <f t="shared" si="17"/>
        <v>39814</v>
      </c>
      <c r="R58" s="3143">
        <f t="shared" si="17"/>
        <v>39783</v>
      </c>
      <c r="S58" s="3143">
        <f t="shared" si="17"/>
        <v>39753</v>
      </c>
      <c r="T58" s="3143">
        <f t="shared" si="17"/>
        <v>39722</v>
      </c>
      <c r="U58" s="3143">
        <f t="shared" si="17"/>
        <v>39692</v>
      </c>
      <c r="V58" s="3143">
        <f t="shared" si="17"/>
        <v>39661</v>
      </c>
      <c r="W58" s="3143">
        <f t="shared" si="17"/>
        <v>39630</v>
      </c>
      <c r="X58" s="3143">
        <f t="shared" si="17"/>
        <v>39600</v>
      </c>
      <c r="Y58" s="3143">
        <f t="shared" si="17"/>
        <v>39569</v>
      </c>
      <c r="Z58" s="3143">
        <f t="shared" si="17"/>
        <v>39539</v>
      </c>
      <c r="AA58" s="3143">
        <f t="shared" si="17"/>
        <v>39508</v>
      </c>
      <c r="AB58" s="3143">
        <f t="shared" si="17"/>
        <v>39479</v>
      </c>
    </row>
    <row r="59" spans="1:29" s="101" customFormat="1" ht="15">
      <c r="A59" s="441"/>
      <c r="B59" s="1766"/>
      <c r="C59" s="1099">
        <v>100</v>
      </c>
      <c r="D59" s="444">
        <f>C59</f>
        <v>100</v>
      </c>
      <c r="E59" s="444">
        <f>D59</f>
        <v>100</v>
      </c>
      <c r="F59" s="444">
        <f>E59-$C$60</f>
        <v>98</v>
      </c>
      <c r="G59" s="444">
        <f>F59</f>
        <v>98</v>
      </c>
      <c r="H59" s="444">
        <f>G59</f>
        <v>98</v>
      </c>
      <c r="I59" s="444">
        <f>H59-$C$60</f>
        <v>96</v>
      </c>
      <c r="J59" s="444">
        <f>I59</f>
        <v>96</v>
      </c>
      <c r="K59" s="444">
        <f>J59</f>
        <v>96</v>
      </c>
      <c r="L59" s="444">
        <f t="shared" ref="L59" si="18">K59</f>
        <v>96</v>
      </c>
      <c r="M59" s="444">
        <f t="shared" ref="M59" si="19">L59</f>
        <v>96</v>
      </c>
      <c r="N59" s="444">
        <f t="shared" ref="N59" si="20">M59</f>
        <v>96</v>
      </c>
      <c r="O59" s="444">
        <f t="shared" ref="O59" si="21">N59</f>
        <v>96</v>
      </c>
      <c r="P59" s="444">
        <f t="shared" ref="P59" si="22">O59+$C$60</f>
        <v>98</v>
      </c>
      <c r="Q59" s="444">
        <f t="shared" ref="Q59" si="23">P59+$C$60</f>
        <v>100</v>
      </c>
      <c r="R59" s="444">
        <f t="shared" ref="R59:S59" si="24">Q59</f>
        <v>100</v>
      </c>
      <c r="S59" s="444">
        <f t="shared" si="24"/>
        <v>100</v>
      </c>
      <c r="T59" s="101">
        <f>S59</f>
        <v>100</v>
      </c>
      <c r="U59" s="101">
        <f>T59</f>
        <v>100</v>
      </c>
      <c r="V59" s="101">
        <f>U59-C60</f>
        <v>98</v>
      </c>
      <c r="W59" s="101">
        <f>V59</f>
        <v>98</v>
      </c>
      <c r="X59" s="101">
        <f>V59</f>
        <v>98</v>
      </c>
      <c r="Y59" s="101">
        <f>X59-C60</f>
        <v>96</v>
      </c>
      <c r="Z59" s="101">
        <f>Y59</f>
        <v>96</v>
      </c>
      <c r="AA59" s="101">
        <f>Y59</f>
        <v>96</v>
      </c>
      <c r="AB59" s="101">
        <f>AA59-C60</f>
        <v>94</v>
      </c>
    </row>
    <row r="60" spans="1:29" s="101" customFormat="1" ht="15.75" thickBot="1">
      <c r="A60" s="447" t="s">
        <v>1713</v>
      </c>
      <c r="B60" s="448"/>
      <c r="C60" s="449">
        <v>2</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3447</v>
      </c>
      <c r="D65" s="3145" t="s">
        <v>3448</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5">D68&amp;"（含）"&amp;"-"&amp;E68</f>
        <v>1（含）-2</v>
      </c>
      <c r="E67" s="476" t="str">
        <f t="shared" si="25"/>
        <v>2（含）-3</v>
      </c>
      <c r="F67" s="476" t="str">
        <f t="shared" si="25"/>
        <v>3（含）-</v>
      </c>
      <c r="G67" s="476" t="str">
        <f t="shared" si="25"/>
        <v>（含）-</v>
      </c>
      <c r="H67" s="476" t="str">
        <f t="shared" si="25"/>
        <v>（含）-</v>
      </c>
      <c r="I67" s="476" t="str">
        <f t="shared" si="25"/>
        <v>（含）-</v>
      </c>
      <c r="J67" s="476" t="str">
        <f t="shared" si="25"/>
        <v>（含）-</v>
      </c>
      <c r="K67" s="476" t="str">
        <f>K68&amp;"（含）"&amp;"-"&amp;L68</f>
        <v>（含）-</v>
      </c>
      <c r="L67" s="476" t="str">
        <f t="shared" si="25"/>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6">C69-$K11</f>
        <v>100</v>
      </c>
      <c r="E69" s="473">
        <f t="shared" si="26"/>
        <v>100</v>
      </c>
      <c r="F69" s="473">
        <f t="shared" si="26"/>
        <v>100</v>
      </c>
      <c r="G69" s="473">
        <f t="shared" si="26"/>
        <v>100</v>
      </c>
      <c r="H69" s="473">
        <f t="shared" si="26"/>
        <v>100</v>
      </c>
      <c r="I69" s="473">
        <f t="shared" si="26"/>
        <v>100</v>
      </c>
      <c r="J69" s="473">
        <f t="shared" si="26"/>
        <v>100</v>
      </c>
      <c r="K69" s="473">
        <f t="shared" si="26"/>
        <v>100</v>
      </c>
      <c r="L69" s="473">
        <f t="shared" si="26"/>
        <v>100</v>
      </c>
      <c r="M69" s="474">
        <f t="shared" si="26"/>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7">$C$87-($C$86-D86)*$K$25</f>
        <v>100</v>
      </c>
      <c r="E87" s="473">
        <f t="shared" si="27"/>
        <v>100</v>
      </c>
      <c r="F87" s="473">
        <f t="shared" si="27"/>
        <v>100</v>
      </c>
      <c r="G87" s="473">
        <f t="shared" si="27"/>
        <v>100</v>
      </c>
      <c r="H87" s="473">
        <f t="shared" si="27"/>
        <v>100</v>
      </c>
      <c r="I87" s="473">
        <f t="shared" si="27"/>
        <v>100</v>
      </c>
      <c r="J87" s="473">
        <f t="shared" si="27"/>
        <v>100</v>
      </c>
      <c r="K87" s="473">
        <f t="shared" si="27"/>
        <v>100</v>
      </c>
      <c r="L87" s="473">
        <f t="shared" si="27"/>
        <v>100</v>
      </c>
      <c r="M87" s="473">
        <f t="shared" si="27"/>
        <v>100</v>
      </c>
      <c r="N87" s="878"/>
      <c r="O87" s="878"/>
      <c r="P87" s="1769"/>
      <c r="Q87" s="437"/>
    </row>
    <row r="88" spans="1:17" s="101" customFormat="1" ht="15.75" thickTop="1">
      <c r="A88" s="368"/>
      <c r="B88" s="467" t="s">
        <v>1732</v>
      </c>
      <c r="C88" s="3158" t="s">
        <v>3418</v>
      </c>
      <c r="D88" s="3145" t="s">
        <v>3419</v>
      </c>
      <c r="E88" s="3145" t="s">
        <v>3420</v>
      </c>
      <c r="F88" s="3145" t="s">
        <v>3421</v>
      </c>
      <c r="G88" s="3145" t="s">
        <v>3422</v>
      </c>
      <c r="H88" s="3145" t="s">
        <v>3423</v>
      </c>
      <c r="I88" s="3159" t="s">
        <v>3424</v>
      </c>
      <c r="J88" s="3159" t="s">
        <v>3425</v>
      </c>
      <c r="K88" s="3145" t="s">
        <v>3426</v>
      </c>
      <c r="L88" s="3145" t="s">
        <v>3427</v>
      </c>
      <c r="M88" s="3145"/>
      <c r="N88" s="876"/>
      <c r="O88" s="876"/>
      <c r="P88" s="1769"/>
      <c r="Q88" s="437"/>
    </row>
    <row r="89" spans="1:17" s="101" customFormat="1" ht="15.75" thickBot="1">
      <c r="A89" s="368"/>
      <c r="B89" s="472"/>
      <c r="C89" s="510">
        <v>100</v>
      </c>
      <c r="D89" s="473">
        <f t="shared" ref="D89:M89" si="28">C89-$K26</f>
        <v>99.5</v>
      </c>
      <c r="E89" s="473">
        <f t="shared" si="28"/>
        <v>99</v>
      </c>
      <c r="F89" s="473">
        <f t="shared" si="28"/>
        <v>98.5</v>
      </c>
      <c r="G89" s="473">
        <f t="shared" si="28"/>
        <v>98</v>
      </c>
      <c r="H89" s="473">
        <f t="shared" si="28"/>
        <v>97.5</v>
      </c>
      <c r="I89" s="473">
        <f t="shared" si="28"/>
        <v>97</v>
      </c>
      <c r="J89" s="473">
        <f t="shared" si="28"/>
        <v>96.5</v>
      </c>
      <c r="K89" s="473">
        <f t="shared" si="28"/>
        <v>96</v>
      </c>
      <c r="L89" s="473">
        <f t="shared" si="28"/>
        <v>95.5</v>
      </c>
      <c r="M89" s="473">
        <f t="shared" si="28"/>
        <v>95</v>
      </c>
      <c r="N89" s="878"/>
      <c r="O89" s="878"/>
      <c r="P89" s="1769"/>
      <c r="Q89" s="437"/>
    </row>
    <row r="90" spans="1:17" s="406" customFormat="1" ht="15.75" thickTop="1">
      <c r="A90" s="482"/>
      <c r="B90" s="467" t="str">
        <f>B27</f>
        <v>楼层</v>
      </c>
      <c r="C90" s="3170" t="s">
        <v>3450</v>
      </c>
      <c r="D90" s="3170" t="s">
        <v>3451</v>
      </c>
      <c r="E90" s="3170" t="s">
        <v>3452</v>
      </c>
      <c r="F90" s="3170" t="s">
        <v>3455</v>
      </c>
      <c r="G90" s="3170" t="s">
        <v>3841</v>
      </c>
      <c r="H90" s="3170"/>
      <c r="I90" s="484"/>
      <c r="J90" s="484"/>
      <c r="K90" s="484"/>
      <c r="L90" s="485"/>
      <c r="M90" s="486"/>
      <c r="N90" s="879"/>
      <c r="O90" s="879"/>
      <c r="P90" s="1770"/>
      <c r="Q90" s="488"/>
    </row>
    <row r="91" spans="1:17" s="406" customFormat="1" ht="15.75" thickBot="1">
      <c r="A91" s="482"/>
      <c r="B91" s="472"/>
      <c r="C91" s="406">
        <f>E91-$J$91</f>
        <v>96</v>
      </c>
      <c r="D91" s="406">
        <v>100</v>
      </c>
      <c r="E91" s="406">
        <f>D91-$J$91</f>
        <v>98</v>
      </c>
      <c r="F91" s="406">
        <f>C91-$J$91</f>
        <v>94</v>
      </c>
      <c r="G91" s="489">
        <f>F91-$J$91</f>
        <v>92</v>
      </c>
      <c r="I91" s="491"/>
      <c r="J91" s="491">
        <f>K27</f>
        <v>2</v>
      </c>
      <c r="K91" s="491"/>
      <c r="L91" s="491"/>
      <c r="M91" s="492"/>
      <c r="N91" s="879"/>
      <c r="O91" s="879"/>
      <c r="P91" s="1770"/>
      <c r="Q91" s="488"/>
    </row>
    <row r="92" spans="1:17" ht="15.75" thickTop="1">
      <c r="A92" s="365"/>
      <c r="B92" s="467" t="str">
        <f>B28</f>
        <v>道路级别</v>
      </c>
      <c r="C92" s="3139" t="s">
        <v>3431</v>
      </c>
      <c r="D92" s="3139" t="s">
        <v>3430</v>
      </c>
      <c r="E92" s="3139" t="s">
        <v>3433</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3438</v>
      </c>
      <c r="D100" s="3144" t="s">
        <v>3439</v>
      </c>
      <c r="E100" s="3144" t="s">
        <v>3428</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9">C101-$K32</f>
        <v>99</v>
      </c>
      <c r="E101" s="473">
        <f t="shared" si="29"/>
        <v>98</v>
      </c>
      <c r="F101" s="473">
        <f t="shared" si="29"/>
        <v>97</v>
      </c>
      <c r="G101" s="473">
        <f t="shared" si="29"/>
        <v>96</v>
      </c>
      <c r="H101" s="473">
        <f t="shared" si="29"/>
        <v>95</v>
      </c>
      <c r="I101" s="473">
        <f t="shared" si="29"/>
        <v>94</v>
      </c>
      <c r="J101" s="473">
        <f t="shared" si="29"/>
        <v>93</v>
      </c>
      <c r="K101" s="473">
        <f t="shared" si="29"/>
        <v>92</v>
      </c>
      <c r="L101" s="473">
        <f t="shared" si="29"/>
        <v>91</v>
      </c>
      <c r="M101" s="473">
        <f t="shared" si="29"/>
        <v>90</v>
      </c>
      <c r="N101" s="878"/>
      <c r="O101" s="878"/>
      <c r="P101" s="1769"/>
      <c r="Q101" s="437"/>
    </row>
    <row r="102" spans="1:17" ht="15.75" thickTop="1">
      <c r="A102" s="365"/>
      <c r="B102" s="467" t="s">
        <v>1734</v>
      </c>
      <c r="C102" s="507" t="str">
        <f>C103&amp;"(含)"&amp;"-"&amp;D103</f>
        <v>0(含)-50</v>
      </c>
      <c r="D102" s="507" t="str">
        <f t="shared" ref="D102:L102" si="30">D103&amp;"(含)"&amp;"-"&amp;E103</f>
        <v>50(含)-55</v>
      </c>
      <c r="E102" s="507" t="str">
        <f t="shared" si="30"/>
        <v>55(含)-60</v>
      </c>
      <c r="F102" s="507" t="str">
        <f t="shared" si="30"/>
        <v>60(含)-65</v>
      </c>
      <c r="G102" s="507" t="str">
        <f t="shared" si="30"/>
        <v>65(含)-70</v>
      </c>
      <c r="H102" s="507" t="str">
        <f t="shared" si="30"/>
        <v>70(含)-75</v>
      </c>
      <c r="I102" s="507" t="str">
        <f t="shared" si="30"/>
        <v>75(含)-</v>
      </c>
      <c r="J102" s="507" t="str">
        <f t="shared" si="30"/>
        <v>(含)-</v>
      </c>
      <c r="K102" s="507" t="str">
        <f>K103&amp;"(含)"&amp;"-"&amp;L103</f>
        <v>(含)-0.5</v>
      </c>
      <c r="L102" s="507" t="str">
        <f t="shared" si="30"/>
        <v>0.5(含)-</v>
      </c>
      <c r="M102" s="507" t="str">
        <f>M103&amp;"(含)"&amp;"-"&amp;P103</f>
        <v>(含)-</v>
      </c>
      <c r="N102" s="876"/>
      <c r="O102" s="876"/>
      <c r="P102" s="1769"/>
      <c r="Q102" s="437"/>
    </row>
    <row r="103" spans="1:17" s="406" customFormat="1">
      <c r="A103" s="404"/>
      <c r="B103" s="521"/>
      <c r="C103" s="6">
        <v>0</v>
      </c>
      <c r="D103" s="6">
        <v>50</v>
      </c>
      <c r="E103" s="6">
        <v>55</v>
      </c>
      <c r="F103" s="6">
        <v>60</v>
      </c>
      <c r="G103" s="6">
        <v>65</v>
      </c>
      <c r="H103" s="6">
        <v>70</v>
      </c>
      <c r="I103" s="6">
        <v>75</v>
      </c>
      <c r="J103" s="6"/>
      <c r="K103" s="522"/>
      <c r="L103" s="522">
        <f>K33</f>
        <v>0.5</v>
      </c>
      <c r="M103" s="524"/>
      <c r="N103" s="879"/>
      <c r="O103" s="879"/>
      <c r="P103" s="1770"/>
      <c r="Q103" s="488"/>
    </row>
    <row r="104" spans="1:17" s="406" customFormat="1" ht="15.75" thickBot="1">
      <c r="A104" s="482"/>
      <c r="B104" s="472"/>
      <c r="C104" s="465">
        <f>D104+$L$103</f>
        <v>101.5</v>
      </c>
      <c r="D104" s="465">
        <f>E104+$L$103</f>
        <v>101</v>
      </c>
      <c r="E104" s="465">
        <f>F104+$L$103</f>
        <v>100.5</v>
      </c>
      <c r="F104" s="465">
        <v>100</v>
      </c>
      <c r="G104" s="465">
        <f>F104-$L$103</f>
        <v>99.5</v>
      </c>
      <c r="H104" s="465">
        <f>G104-$L$103</f>
        <v>99</v>
      </c>
      <c r="I104" s="465">
        <f t="shared" ref="I104:J104" si="31">H104-$L$103</f>
        <v>98.5</v>
      </c>
      <c r="J104" s="465">
        <f t="shared" si="31"/>
        <v>98</v>
      </c>
      <c r="K104" s="465"/>
      <c r="L104" s="465"/>
      <c r="M104" s="465"/>
      <c r="N104" s="878"/>
      <c r="O104" s="878"/>
      <c r="P104" s="1770"/>
      <c r="Q104" s="488"/>
    </row>
    <row r="105" spans="1:17" ht="15" thickTop="1">
      <c r="A105" s="407"/>
      <c r="B105" s="467" t="s">
        <v>1735</v>
      </c>
      <c r="C105" s="3139" t="s">
        <v>3408</v>
      </c>
      <c r="D105" s="3139" t="s">
        <v>3435</v>
      </c>
      <c r="E105" s="3145" t="s">
        <v>3449</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2">C106-$K34</f>
        <v>99.5</v>
      </c>
      <c r="E106" s="473">
        <f t="shared" si="32"/>
        <v>99</v>
      </c>
      <c r="F106" s="473">
        <f t="shared" si="32"/>
        <v>98.5</v>
      </c>
      <c r="G106" s="473">
        <f t="shared" si="32"/>
        <v>98</v>
      </c>
      <c r="H106" s="473">
        <f t="shared" si="32"/>
        <v>97.5</v>
      </c>
      <c r="I106" s="473">
        <f t="shared" si="32"/>
        <v>97</v>
      </c>
      <c r="J106" s="473">
        <f t="shared" si="32"/>
        <v>96.5</v>
      </c>
      <c r="K106" s="473">
        <f t="shared" si="32"/>
        <v>96</v>
      </c>
      <c r="L106" s="473">
        <f t="shared" si="32"/>
        <v>95.5</v>
      </c>
      <c r="M106" s="473">
        <f t="shared" si="32"/>
        <v>95</v>
      </c>
      <c r="N106" s="878"/>
      <c r="O106" s="878"/>
      <c r="P106" s="1769"/>
      <c r="Q106" s="437"/>
    </row>
    <row r="107" spans="1:17" ht="15" thickTop="1">
      <c r="A107" s="407"/>
      <c r="B107" s="3165" t="s">
        <v>3440</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3">C108-$K35</f>
        <v>97</v>
      </c>
      <c r="E108" s="473">
        <f t="shared" si="33"/>
        <v>94</v>
      </c>
      <c r="F108" s="473">
        <f t="shared" si="33"/>
        <v>91</v>
      </c>
      <c r="G108" s="473">
        <f t="shared" si="33"/>
        <v>88</v>
      </c>
      <c r="H108" s="473">
        <f t="shared" si="33"/>
        <v>85</v>
      </c>
      <c r="I108" s="473">
        <f t="shared" si="33"/>
        <v>82</v>
      </c>
      <c r="J108" s="473">
        <f t="shared" si="33"/>
        <v>79</v>
      </c>
      <c r="K108" s="473">
        <f t="shared" si="33"/>
        <v>76</v>
      </c>
      <c r="L108" s="473">
        <f t="shared" si="33"/>
        <v>73</v>
      </c>
      <c r="M108" s="473">
        <f t="shared" si="33"/>
        <v>70</v>
      </c>
      <c r="N108" s="878"/>
      <c r="O108" s="878"/>
      <c r="P108" s="1769"/>
      <c r="Q108" s="437"/>
    </row>
    <row r="109" spans="1:17" ht="15" thickTop="1">
      <c r="A109" s="407"/>
      <c r="B109" s="467" t="s">
        <v>1736</v>
      </c>
      <c r="C109" s="3139" t="s">
        <v>3413</v>
      </c>
      <c r="D109" s="3139" t="s">
        <v>3409</v>
      </c>
      <c r="E109" s="3139" t="s">
        <v>3444</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4">C110-$K36</f>
        <v>100</v>
      </c>
      <c r="E110" s="473">
        <f t="shared" si="34"/>
        <v>100</v>
      </c>
      <c r="F110" s="473">
        <f t="shared" si="34"/>
        <v>100</v>
      </c>
      <c r="G110" s="473">
        <f t="shared" si="34"/>
        <v>100</v>
      </c>
      <c r="H110" s="473">
        <f t="shared" si="34"/>
        <v>100</v>
      </c>
      <c r="I110" s="473">
        <f t="shared" si="34"/>
        <v>100</v>
      </c>
      <c r="J110" s="473">
        <f t="shared" si="34"/>
        <v>100</v>
      </c>
      <c r="K110" s="473">
        <f t="shared" si="34"/>
        <v>100</v>
      </c>
      <c r="L110" s="473">
        <f t="shared" si="34"/>
        <v>100</v>
      </c>
      <c r="M110" s="473">
        <f t="shared" si="34"/>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99</v>
      </c>
      <c r="D113" s="510">
        <v>100</v>
      </c>
      <c r="E113" s="473">
        <f>D113+$K37</f>
        <v>101</v>
      </c>
      <c r="F113" s="473">
        <f>E113+$K37</f>
        <v>102</v>
      </c>
      <c r="G113" s="473">
        <f>F113+$K37</f>
        <v>103</v>
      </c>
      <c r="H113" s="473">
        <f>G113+$K37</f>
        <v>104</v>
      </c>
      <c r="I113" s="473"/>
      <c r="J113" s="532"/>
      <c r="K113" s="532"/>
      <c r="L113" s="532"/>
      <c r="M113" s="533"/>
      <c r="N113" s="879"/>
      <c r="O113" s="879"/>
      <c r="P113" s="1770"/>
      <c r="Q113" s="488"/>
    </row>
    <row r="114" spans="1:17" ht="15" thickTop="1">
      <c r="A114" s="407"/>
      <c r="B114" s="467" t="s">
        <v>1737</v>
      </c>
      <c r="C114" s="3139" t="s">
        <v>3410</v>
      </c>
      <c r="D114" s="3139" t="s">
        <v>3434</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5">C115-$K38</f>
        <v>99</v>
      </c>
      <c r="E115" s="473">
        <f t="shared" si="35"/>
        <v>98</v>
      </c>
      <c r="F115" s="473">
        <f t="shared" si="35"/>
        <v>97</v>
      </c>
      <c r="G115" s="473">
        <f t="shared" si="35"/>
        <v>96</v>
      </c>
      <c r="H115" s="473">
        <f t="shared" si="35"/>
        <v>95</v>
      </c>
      <c r="I115" s="473">
        <f t="shared" si="35"/>
        <v>94</v>
      </c>
      <c r="J115" s="473">
        <f t="shared" si="35"/>
        <v>93</v>
      </c>
      <c r="K115" s="473">
        <f t="shared" si="35"/>
        <v>92</v>
      </c>
      <c r="L115" s="473">
        <f t="shared" si="35"/>
        <v>91</v>
      </c>
      <c r="M115" s="473">
        <f t="shared" si="35"/>
        <v>90</v>
      </c>
      <c r="N115" s="878"/>
      <c r="O115" s="878"/>
      <c r="P115" s="1769"/>
      <c r="Q115" s="437"/>
    </row>
    <row r="116" spans="1:17" ht="15" thickTop="1">
      <c r="A116" s="407"/>
      <c r="B116" s="467" t="s">
        <v>1738</v>
      </c>
      <c r="C116" s="3139" t="s">
        <v>3411</v>
      </c>
      <c r="D116" s="3139" t="s">
        <v>3412</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3460</v>
      </c>
      <c r="D118" s="3145" t="s">
        <v>3462</v>
      </c>
      <c r="E118" s="3145" t="s">
        <v>3464</v>
      </c>
      <c r="F118" s="3145" t="s">
        <v>3465</v>
      </c>
      <c r="G118" s="511"/>
      <c r="H118" s="511"/>
      <c r="I118" s="511"/>
      <c r="J118" s="511"/>
      <c r="K118" s="512"/>
      <c r="L118" s="513"/>
      <c r="M118" s="514"/>
      <c r="N118" s="877"/>
      <c r="O118" s="877"/>
      <c r="P118" s="1769"/>
      <c r="Q118" s="437"/>
    </row>
    <row r="119" spans="1:17" ht="15.75" thickBot="1">
      <c r="A119" s="365"/>
      <c r="B119" s="472"/>
      <c r="C119" s="473">
        <v>100</v>
      </c>
      <c r="D119" s="473">
        <f t="shared" ref="D119:M119" si="36">C119-$K40</f>
        <v>100</v>
      </c>
      <c r="E119" s="473">
        <f t="shared" si="36"/>
        <v>100</v>
      </c>
      <c r="F119" s="473">
        <f t="shared" si="36"/>
        <v>100</v>
      </c>
      <c r="G119" s="473">
        <f t="shared" si="36"/>
        <v>100</v>
      </c>
      <c r="H119" s="473">
        <f t="shared" si="36"/>
        <v>100</v>
      </c>
      <c r="I119" s="473">
        <f t="shared" si="36"/>
        <v>100</v>
      </c>
      <c r="J119" s="473">
        <f t="shared" si="36"/>
        <v>100</v>
      </c>
      <c r="K119" s="473">
        <f t="shared" si="36"/>
        <v>100</v>
      </c>
      <c r="L119" s="473">
        <f t="shared" si="36"/>
        <v>100</v>
      </c>
      <c r="M119" s="473">
        <f t="shared" si="36"/>
        <v>100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3413</v>
      </c>
      <c r="D122" s="3139" t="s">
        <v>3409</v>
      </c>
      <c r="E122" s="3139" t="s">
        <v>3444</v>
      </c>
      <c r="F122" s="3145" t="s">
        <v>3552</v>
      </c>
      <c r="G122" s="511"/>
      <c r="H122" s="511"/>
      <c r="I122" s="511"/>
      <c r="J122" s="511"/>
      <c r="K122" s="512"/>
      <c r="L122" s="513"/>
      <c r="M122" s="514"/>
      <c r="N122" s="877"/>
      <c r="O122" s="877"/>
      <c r="P122" s="1769"/>
      <c r="Q122" s="437"/>
    </row>
    <row r="123" spans="1:17" ht="15.75" thickBot="1">
      <c r="A123" s="365"/>
      <c r="B123" s="472"/>
      <c r="C123" s="473">
        <v>100</v>
      </c>
      <c r="D123" s="473">
        <f t="shared" ref="D123:M123" si="37">C123-$K42</f>
        <v>98.5</v>
      </c>
      <c r="E123" s="473">
        <f t="shared" si="37"/>
        <v>97</v>
      </c>
      <c r="F123" s="473">
        <f t="shared" si="37"/>
        <v>95.5</v>
      </c>
      <c r="G123" s="473">
        <f t="shared" si="37"/>
        <v>94</v>
      </c>
      <c r="H123" s="473">
        <f t="shared" si="37"/>
        <v>92.5</v>
      </c>
      <c r="I123" s="473">
        <f t="shared" si="37"/>
        <v>91</v>
      </c>
      <c r="J123" s="473">
        <f t="shared" si="37"/>
        <v>89.5</v>
      </c>
      <c r="K123" s="473">
        <f t="shared" si="37"/>
        <v>88</v>
      </c>
      <c r="L123" s="473">
        <f t="shared" si="37"/>
        <v>86.5</v>
      </c>
      <c r="M123" s="473">
        <f t="shared" si="37"/>
        <v>85</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69"/>
      <c r="Q125" s="437"/>
    </row>
    <row r="126" spans="1:17" s="406" customFormat="1" ht="15" thickTop="1">
      <c r="A126" s="404"/>
      <c r="B126" s="467">
        <f>B44</f>
        <v>0</v>
      </c>
      <c r="C126" s="3183" t="s">
        <v>3466</v>
      </c>
      <c r="D126" s="3183" t="s">
        <v>3467</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1</v>
      </c>
      <c r="J128" s="511"/>
      <c r="K128" s="512"/>
      <c r="L128" s="513"/>
      <c r="M128" s="514"/>
      <c r="N128" s="877"/>
      <c r="O128" s="877"/>
      <c r="P128" s="1769"/>
      <c r="Q128" s="437"/>
    </row>
    <row r="129" spans="1:17" ht="15.75" thickBot="1">
      <c r="A129" s="365"/>
      <c r="B129" s="472"/>
      <c r="C129" s="489">
        <f t="shared" ref="C129:D129" si="38">D129+$I$128</f>
        <v>103</v>
      </c>
      <c r="D129" s="489">
        <f t="shared" si="38"/>
        <v>102</v>
      </c>
      <c r="E129" s="489">
        <f>F129+$I$128</f>
        <v>101</v>
      </c>
      <c r="F129" s="489">
        <v>100</v>
      </c>
      <c r="G129" s="489">
        <f t="shared" ref="G129" si="39">F129-$I$128</f>
        <v>99</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61.85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59" t="s">
        <v>1767</v>
      </c>
      <c r="S4" s="3560"/>
      <c r="T4" s="3559" t="s">
        <v>1768</v>
      </c>
      <c r="U4" s="3560"/>
      <c r="V4" s="3535" t="s">
        <v>1769</v>
      </c>
      <c r="W4" s="3535"/>
      <c r="X4" s="1262"/>
      <c r="Y4" s="3559" t="s">
        <v>1771</v>
      </c>
      <c r="Z4" s="3560"/>
      <c r="AA4" s="3546" t="s">
        <v>1767</v>
      </c>
      <c r="AB4" s="3535" t="s">
        <v>1768</v>
      </c>
      <c r="AC4" s="3546" t="s">
        <v>1769</v>
      </c>
    </row>
    <row r="5" spans="1:29" ht="15">
      <c r="A5" s="346"/>
      <c r="B5" s="347"/>
      <c r="C5" s="3576" t="s">
        <v>1673</v>
      </c>
      <c r="D5" s="3573"/>
      <c r="E5" s="3577" t="s">
        <v>1674</v>
      </c>
      <c r="F5" s="3568"/>
      <c r="G5" s="3576" t="s">
        <v>1675</v>
      </c>
      <c r="H5" s="3573"/>
      <c r="I5" s="3576" t="s">
        <v>1676</v>
      </c>
      <c r="J5" s="3573"/>
      <c r="K5" s="535"/>
      <c r="L5" s="2480"/>
      <c r="M5" s="2481"/>
      <c r="N5" s="2481"/>
      <c r="O5" s="2481"/>
      <c r="P5" s="3555"/>
      <c r="Q5" s="3556"/>
      <c r="R5" s="3561"/>
      <c r="S5" s="3562"/>
      <c r="T5" s="3561"/>
      <c r="U5" s="3562"/>
      <c r="V5" s="3535"/>
      <c r="W5" s="3535"/>
      <c r="X5" s="1262"/>
      <c r="Y5" s="3561"/>
      <c r="Z5" s="3562"/>
      <c r="AA5" s="3547"/>
      <c r="AB5" s="3535"/>
      <c r="AC5" s="3547"/>
    </row>
    <row r="6" spans="1:29" ht="15.75" thickBot="1">
      <c r="A6" s="348"/>
      <c r="B6" s="349"/>
      <c r="C6" s="3565" t="s">
        <v>1677</v>
      </c>
      <c r="D6" s="3566"/>
      <c r="E6" s="3574" t="s">
        <v>1677</v>
      </c>
      <c r="F6" s="3575"/>
      <c r="G6" s="3565" t="s">
        <v>1677</v>
      </c>
      <c r="H6" s="3566"/>
      <c r="I6" s="3565" t="s">
        <v>1677</v>
      </c>
      <c r="J6" s="3566"/>
      <c r="K6" s="535" t="s">
        <v>1678</v>
      </c>
      <c r="L6" s="2480"/>
      <c r="M6" s="2481"/>
      <c r="N6" s="2481"/>
      <c r="O6" s="2481"/>
      <c r="P6" s="3557"/>
      <c r="Q6" s="3558"/>
      <c r="R6" s="3561"/>
      <c r="S6" s="3562"/>
      <c r="T6" s="3563"/>
      <c r="U6" s="3564"/>
      <c r="V6" s="3535"/>
      <c r="W6" s="3535"/>
      <c r="X6" s="1262"/>
      <c r="Y6" s="3563"/>
      <c r="Z6" s="3564"/>
      <c r="AA6" s="3548"/>
      <c r="AB6" s="3535"/>
      <c r="AC6" s="3548"/>
    </row>
    <row r="7" spans="1:29" s="101" customFormat="1" ht="15.75" thickBot="1">
      <c r="A7" s="350" t="s">
        <v>1679</v>
      </c>
      <c r="B7" s="351"/>
      <c r="C7" s="352">
        <f>'数据-取费表'!B2</f>
        <v>40268</v>
      </c>
      <c r="D7" s="353">
        <v>100</v>
      </c>
      <c r="E7" s="354"/>
      <c r="F7" s="355">
        <f>SUMIF(58:58,YEAR(E7)&amp;"-"&amp;MONTH(E7),59:59)</f>
        <v>0</v>
      </c>
      <c r="G7" s="354"/>
      <c r="H7" s="353">
        <f>SUMIF(58:58,YEAR(G7)&amp;"-"&amp;MONTH(G7),59:59)</f>
        <v>0</v>
      </c>
      <c r="I7" s="354"/>
      <c r="J7" s="353">
        <f>SUMIF(58:58,YEAR(I7)&amp;"-"&amp;MONTH(I7),59:59)</f>
        <v>0</v>
      </c>
      <c r="K7" s="38"/>
      <c r="L7" s="2482"/>
      <c r="M7" s="2433"/>
      <c r="N7" s="2433"/>
      <c r="O7" s="2433"/>
      <c r="P7" s="3569" t="s">
        <v>1680</v>
      </c>
      <c r="Q7" s="3571"/>
      <c r="R7" s="662" t="s">
        <v>14</v>
      </c>
      <c r="S7" s="663">
        <f t="shared" ref="S7:S15" si="0">F7</f>
        <v>0</v>
      </c>
      <c r="T7" s="662" t="s">
        <v>14</v>
      </c>
      <c r="U7" s="663">
        <f t="shared" ref="U7:U15" si="1">H7</f>
        <v>0</v>
      </c>
      <c r="V7" s="662" t="s">
        <v>14</v>
      </c>
      <c r="W7" s="663">
        <f t="shared" ref="W7:W15" si="2">J7</f>
        <v>0</v>
      </c>
      <c r="X7" s="664"/>
      <c r="Y7" s="3569" t="s">
        <v>1680</v>
      </c>
      <c r="Z7" s="3570"/>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69" t="s">
        <v>1683</v>
      </c>
      <c r="Q8" s="3570"/>
      <c r="R8" s="662" t="s">
        <v>14</v>
      </c>
      <c r="S8" s="663">
        <f t="shared" si="0"/>
        <v>100</v>
      </c>
      <c r="T8" s="662" t="s">
        <v>14</v>
      </c>
      <c r="U8" s="663">
        <f t="shared" si="1"/>
        <v>100</v>
      </c>
      <c r="V8" s="662" t="s">
        <v>14</v>
      </c>
      <c r="W8" s="663">
        <f t="shared" si="2"/>
        <v>100</v>
      </c>
      <c r="X8" s="664"/>
      <c r="Y8" s="3569" t="s">
        <v>1683</v>
      </c>
      <c r="Z8" s="3570"/>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45"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45"/>
      <c r="Q10" s="528" t="str">
        <f t="shared" si="6"/>
        <v>土地使用年限（年）</v>
      </c>
      <c r="R10" s="662" t="s">
        <v>14</v>
      </c>
      <c r="S10" s="663">
        <f t="shared" si="0"/>
        <v>100</v>
      </c>
      <c r="T10" s="662" t="s">
        <v>14</v>
      </c>
      <c r="U10" s="663">
        <f t="shared" si="1"/>
        <v>100</v>
      </c>
      <c r="V10" s="662" t="s">
        <v>14</v>
      </c>
      <c r="W10" s="663">
        <f t="shared" si="2"/>
        <v>100</v>
      </c>
      <c r="X10" s="664"/>
      <c r="Y10" s="340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45"/>
      <c r="Q11" s="528" t="str">
        <f t="shared" si="6"/>
        <v>容积率</v>
      </c>
      <c r="R11" s="662" t="s">
        <v>14</v>
      </c>
      <c r="S11" s="663" t="e">
        <f t="shared" si="0"/>
        <v>#N/A</v>
      </c>
      <c r="T11" s="662" t="s">
        <v>14</v>
      </c>
      <c r="U11" s="663" t="e">
        <f t="shared" si="1"/>
        <v>#N/A</v>
      </c>
      <c r="V11" s="662" t="s">
        <v>14</v>
      </c>
      <c r="W11" s="663" t="e">
        <f t="shared" si="2"/>
        <v>#N/A</v>
      </c>
      <c r="X11" s="664"/>
      <c r="Y11" s="3409"/>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45"/>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45"/>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45"/>
      <c r="Q14" s="528">
        <f t="shared" si="6"/>
        <v>111</v>
      </c>
      <c r="R14" s="662" t="s">
        <v>14</v>
      </c>
      <c r="S14" s="663">
        <f t="shared" si="0"/>
        <v>100</v>
      </c>
      <c r="T14" s="662" t="s">
        <v>14</v>
      </c>
      <c r="U14" s="663">
        <f t="shared" si="1"/>
        <v>100</v>
      </c>
      <c r="V14" s="662" t="s">
        <v>14</v>
      </c>
      <c r="W14" s="663">
        <f t="shared" si="2"/>
        <v>100</v>
      </c>
      <c r="X14" s="664"/>
      <c r="Y14" s="3409"/>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43" t="s">
        <v>1691</v>
      </c>
      <c r="Q15" s="1260" t="str">
        <f t="shared" si="6"/>
        <v>商业繁华度</v>
      </c>
      <c r="R15" s="665" t="s">
        <v>14</v>
      </c>
      <c r="S15" s="666">
        <f t="shared" si="0"/>
        <v>100</v>
      </c>
      <c r="T15" s="665" t="s">
        <v>14</v>
      </c>
      <c r="U15" s="666">
        <f t="shared" si="1"/>
        <v>100</v>
      </c>
      <c r="V15" s="665" t="s">
        <v>14</v>
      </c>
      <c r="W15" s="666">
        <f t="shared" si="2"/>
        <v>100</v>
      </c>
      <c r="X15" s="1262"/>
      <c r="Y15" s="353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44"/>
      <c r="Q16" s="1260"/>
      <c r="R16" s="665"/>
      <c r="S16" s="666"/>
      <c r="T16" s="665"/>
      <c r="U16" s="666"/>
      <c r="V16" s="665"/>
      <c r="W16" s="666"/>
      <c r="X16" s="1262"/>
      <c r="Y16" s="3537"/>
      <c r="Z16" s="1261"/>
      <c r="AA16" s="1261">
        <v>1</v>
      </c>
      <c r="AB16" s="1261">
        <v>1</v>
      </c>
      <c r="AC16" s="1261">
        <v>1</v>
      </c>
    </row>
    <row r="17" spans="1:29" ht="99.75">
      <c r="A17" s="365"/>
      <c r="B17" s="388" t="s">
        <v>1259</v>
      </c>
      <c r="C17" s="1750" t="str">
        <f>估价对象房地状况!C6</f>
        <v>周边有104路、119路、125路、430路等多条公交线路及地铁5号线和平里北街站，综合评价交通便捷度较好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44"/>
      <c r="Q17" s="1260" t="str">
        <f>B17</f>
        <v>交通便捷度</v>
      </c>
      <c r="R17" s="665" t="s">
        <v>14</v>
      </c>
      <c r="S17" s="666">
        <f>F17</f>
        <v>100</v>
      </c>
      <c r="T17" s="665" t="s">
        <v>14</v>
      </c>
      <c r="U17" s="666">
        <f>H17</f>
        <v>100</v>
      </c>
      <c r="V17" s="665" t="s">
        <v>14</v>
      </c>
      <c r="W17" s="666">
        <f>J17</f>
        <v>100</v>
      </c>
      <c r="X17" s="1262"/>
      <c r="Y17" s="3537"/>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44"/>
      <c r="Q18" s="1260"/>
      <c r="R18" s="665"/>
      <c r="S18" s="666"/>
      <c r="T18" s="665"/>
      <c r="U18" s="666"/>
      <c r="V18" s="665"/>
      <c r="W18" s="666"/>
      <c r="X18" s="1262"/>
      <c r="Y18" s="3537"/>
      <c r="Z18" s="1261"/>
      <c r="AA18" s="1261">
        <v>1</v>
      </c>
      <c r="AB18" s="1261">
        <v>1</v>
      </c>
      <c r="AC18" s="1261">
        <v>1</v>
      </c>
    </row>
    <row r="19" spans="1:29" ht="228">
      <c r="A19" s="365"/>
      <c r="B19" s="388" t="s">
        <v>1774</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44"/>
      <c r="Q19" s="1260" t="str">
        <f>B19</f>
        <v>公共配套设施</v>
      </c>
      <c r="R19" s="665" t="s">
        <v>14</v>
      </c>
      <c r="S19" s="666">
        <f>F19</f>
        <v>100</v>
      </c>
      <c r="T19" s="665" t="s">
        <v>14</v>
      </c>
      <c r="U19" s="666">
        <f>H19</f>
        <v>100</v>
      </c>
      <c r="V19" s="665" t="s">
        <v>14</v>
      </c>
      <c r="W19" s="666">
        <f>J19</f>
        <v>100</v>
      </c>
      <c r="X19" s="1262"/>
      <c r="Y19" s="3537"/>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44"/>
      <c r="Q20" s="1260"/>
      <c r="R20" s="665"/>
      <c r="S20" s="666"/>
      <c r="T20" s="665"/>
      <c r="U20" s="666"/>
      <c r="V20" s="665"/>
      <c r="W20" s="666"/>
      <c r="X20" s="1262"/>
      <c r="Y20" s="3537"/>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44"/>
      <c r="Q21" s="1260" t="str">
        <f>B21</f>
        <v>基础设施水平</v>
      </c>
      <c r="R21" s="665" t="s">
        <v>14</v>
      </c>
      <c r="S21" s="666">
        <f>F21</f>
        <v>100</v>
      </c>
      <c r="T21" s="665" t="s">
        <v>14</v>
      </c>
      <c r="U21" s="666">
        <f>H21</f>
        <v>100</v>
      </c>
      <c r="V21" s="665" t="s">
        <v>14</v>
      </c>
      <c r="W21" s="666">
        <f>J21</f>
        <v>100</v>
      </c>
      <c r="X21" s="1262"/>
      <c r="Y21" s="3537"/>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44"/>
      <c r="Q22" s="1260"/>
      <c r="R22" s="665"/>
      <c r="S22" s="666"/>
      <c r="T22" s="665"/>
      <c r="U22" s="666"/>
      <c r="V22" s="665"/>
      <c r="W22" s="666"/>
      <c r="X22" s="1262"/>
      <c r="Y22" s="3537"/>
      <c r="Z22" s="1261"/>
      <c r="AA22" s="1261">
        <v>1</v>
      </c>
      <c r="AB22" s="1261">
        <v>1</v>
      </c>
      <c r="AC22" s="1261">
        <v>1</v>
      </c>
    </row>
    <row r="23" spans="1:29" ht="114">
      <c r="A23" s="365"/>
      <c r="B23" s="388" t="s">
        <v>1261</v>
      </c>
      <c r="C23" s="1800" t="str">
        <f>估价对象房地状况!C9</f>
        <v>周边有地坛公园、青年湖公园、柳荫公园等自然及人文景观，综合评价环境状况较好。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44"/>
      <c r="Q23" s="1260" t="str">
        <f>B23</f>
        <v>自然及人文环境</v>
      </c>
      <c r="R23" s="665" t="s">
        <v>14</v>
      </c>
      <c r="S23" s="666">
        <f>F23</f>
        <v>100</v>
      </c>
      <c r="T23" s="665" t="s">
        <v>14</v>
      </c>
      <c r="U23" s="666">
        <f>H23</f>
        <v>100</v>
      </c>
      <c r="V23" s="665" t="s">
        <v>14</v>
      </c>
      <c r="W23" s="666">
        <f>J23</f>
        <v>100</v>
      </c>
      <c r="X23" s="1262"/>
      <c r="Y23" s="3537"/>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44"/>
      <c r="Q24" s="1260"/>
      <c r="R24" s="665"/>
      <c r="S24" s="666"/>
      <c r="T24" s="665"/>
      <c r="U24" s="666"/>
      <c r="V24" s="665"/>
      <c r="W24" s="666"/>
      <c r="X24" s="1262"/>
      <c r="Y24" s="3537"/>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44"/>
      <c r="Q25" s="1260" t="str">
        <f t="shared" ref="Q25:Q46" si="8">B25</f>
        <v>临街状况</v>
      </c>
      <c r="R25" s="665" t="s">
        <v>14</v>
      </c>
      <c r="S25" s="666">
        <f>F25</f>
        <v>100</v>
      </c>
      <c r="T25" s="665" t="s">
        <v>14</v>
      </c>
      <c r="U25" s="666">
        <f>H25</f>
        <v>100</v>
      </c>
      <c r="V25" s="665" t="s">
        <v>14</v>
      </c>
      <c r="W25" s="666">
        <f>J25</f>
        <v>100</v>
      </c>
      <c r="X25" s="1262"/>
      <c r="Y25" s="3537"/>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44"/>
      <c r="Q26" s="1260" t="str">
        <f t="shared" si="8"/>
        <v>平面位置/可视性</v>
      </c>
      <c r="R26" s="665" t="s">
        <v>14</v>
      </c>
      <c r="S26" s="666">
        <f>F26</f>
        <v>100</v>
      </c>
      <c r="T26" s="665" t="s">
        <v>14</v>
      </c>
      <c r="U26" s="666">
        <f>H26</f>
        <v>100</v>
      </c>
      <c r="V26" s="665" t="s">
        <v>14</v>
      </c>
      <c r="W26" s="666">
        <f>J26</f>
        <v>100</v>
      </c>
      <c r="X26" s="1262"/>
      <c r="Y26" s="3537"/>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44"/>
      <c r="Q27" s="528" t="str">
        <f t="shared" si="8"/>
        <v>人流量</v>
      </c>
      <c r="R27" s="662" t="s">
        <v>14</v>
      </c>
      <c r="S27" s="663">
        <f>F27</f>
        <v>100</v>
      </c>
      <c r="T27" s="662" t="s">
        <v>14</v>
      </c>
      <c r="U27" s="663">
        <f>H27</f>
        <v>100</v>
      </c>
      <c r="V27" s="662" t="s">
        <v>14</v>
      </c>
      <c r="W27" s="663">
        <f>J27</f>
        <v>100</v>
      </c>
      <c r="X27" s="664"/>
      <c r="Y27" s="3537"/>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44"/>
      <c r="Q28" s="1260" t="str">
        <f t="shared" si="8"/>
        <v>楼层</v>
      </c>
      <c r="R28" s="665" t="s">
        <v>14</v>
      </c>
      <c r="S28" s="666">
        <f t="shared" ref="S28:S46" si="9">F28</f>
        <v>100</v>
      </c>
      <c r="T28" s="665" t="s">
        <v>14</v>
      </c>
      <c r="U28" s="666">
        <f t="shared" ref="U28:U46" si="10">H28</f>
        <v>100</v>
      </c>
      <c r="V28" s="665" t="s">
        <v>14</v>
      </c>
      <c r="W28" s="666">
        <f t="shared" ref="W28:W46" si="11">J28</f>
        <v>100</v>
      </c>
      <c r="X28" s="1262"/>
      <c r="Y28" s="3537"/>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44"/>
      <c r="Q29" s="1260">
        <f t="shared" si="8"/>
        <v>111</v>
      </c>
      <c r="R29" s="665" t="s">
        <v>14</v>
      </c>
      <c r="S29" s="666">
        <f t="shared" si="9"/>
        <v>100</v>
      </c>
      <c r="T29" s="665" t="s">
        <v>14</v>
      </c>
      <c r="U29" s="666">
        <f t="shared" si="10"/>
        <v>100</v>
      </c>
      <c r="V29" s="665" t="s">
        <v>14</v>
      </c>
      <c r="W29" s="666">
        <f t="shared" si="11"/>
        <v>100</v>
      </c>
      <c r="X29" s="1262"/>
      <c r="Y29" s="3537"/>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44"/>
      <c r="Q30" s="1260">
        <f t="shared" si="8"/>
        <v>111</v>
      </c>
      <c r="R30" s="665" t="s">
        <v>14</v>
      </c>
      <c r="S30" s="666">
        <f t="shared" si="9"/>
        <v>100</v>
      </c>
      <c r="T30" s="665" t="s">
        <v>14</v>
      </c>
      <c r="U30" s="666">
        <f t="shared" si="10"/>
        <v>100</v>
      </c>
      <c r="V30" s="665" t="s">
        <v>14</v>
      </c>
      <c r="W30" s="666">
        <f t="shared" si="11"/>
        <v>100</v>
      </c>
      <c r="X30" s="1262"/>
      <c r="Y30" s="3537"/>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44"/>
      <c r="Q31" s="1260">
        <f t="shared" si="8"/>
        <v>111</v>
      </c>
      <c r="R31" s="665" t="s">
        <v>14</v>
      </c>
      <c r="S31" s="666">
        <f t="shared" si="9"/>
        <v>100</v>
      </c>
      <c r="T31" s="665" t="s">
        <v>14</v>
      </c>
      <c r="U31" s="666">
        <f t="shared" si="10"/>
        <v>100</v>
      </c>
      <c r="V31" s="665" t="s">
        <v>14</v>
      </c>
      <c r="W31" s="666">
        <f t="shared" si="11"/>
        <v>100</v>
      </c>
      <c r="X31" s="1262"/>
      <c r="Y31" s="3537"/>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38" t="s">
        <v>1696</v>
      </c>
      <c r="Q32" s="1260" t="str">
        <f t="shared" si="8"/>
        <v>商业类型</v>
      </c>
      <c r="R32" s="665" t="s">
        <v>14</v>
      </c>
      <c r="S32" s="666">
        <f t="shared" si="9"/>
        <v>100</v>
      </c>
      <c r="T32" s="665" t="s">
        <v>14</v>
      </c>
      <c r="U32" s="666">
        <f t="shared" si="10"/>
        <v>100</v>
      </c>
      <c r="V32" s="665" t="s">
        <v>14</v>
      </c>
      <c r="W32" s="666">
        <f t="shared" si="11"/>
        <v>100</v>
      </c>
      <c r="X32" s="1262"/>
      <c r="Y32" s="3541"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39"/>
      <c r="Q33" s="529" t="str">
        <f t="shared" si="8"/>
        <v>项目建筑规模</v>
      </c>
      <c r="R33" s="667" t="s">
        <v>14</v>
      </c>
      <c r="S33" s="668" t="e">
        <f t="shared" si="9"/>
        <v>#N/A</v>
      </c>
      <c r="T33" s="667" t="s">
        <v>14</v>
      </c>
      <c r="U33" s="668" t="e">
        <f t="shared" si="10"/>
        <v>#N/A</v>
      </c>
      <c r="V33" s="667" t="s">
        <v>14</v>
      </c>
      <c r="W33" s="668" t="e">
        <f t="shared" si="11"/>
        <v>#N/A</v>
      </c>
      <c r="X33" s="669"/>
      <c r="Y33" s="3541"/>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39"/>
      <c r="Q34" s="1260" t="str">
        <f t="shared" si="8"/>
        <v>建筑结构</v>
      </c>
      <c r="R34" s="665" t="s">
        <v>14</v>
      </c>
      <c r="S34" s="666">
        <f t="shared" si="9"/>
        <v>100</v>
      </c>
      <c r="T34" s="665" t="s">
        <v>14</v>
      </c>
      <c r="U34" s="666">
        <f t="shared" si="10"/>
        <v>100</v>
      </c>
      <c r="V34" s="665" t="s">
        <v>14</v>
      </c>
      <c r="W34" s="666">
        <f t="shared" si="11"/>
        <v>100</v>
      </c>
      <c r="X34" s="1262"/>
      <c r="Y34" s="3541"/>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39"/>
      <c r="Q35" s="1260" t="str">
        <f t="shared" si="8"/>
        <v>公共部分装修</v>
      </c>
      <c r="R35" s="665" t="s">
        <v>14</v>
      </c>
      <c r="S35" s="666">
        <f t="shared" si="9"/>
        <v>100</v>
      </c>
      <c r="T35" s="665" t="s">
        <v>14</v>
      </c>
      <c r="U35" s="666">
        <f t="shared" si="10"/>
        <v>100</v>
      </c>
      <c r="V35" s="665" t="s">
        <v>14</v>
      </c>
      <c r="W35" s="666">
        <f t="shared" si="11"/>
        <v>100</v>
      </c>
      <c r="X35" s="1262"/>
      <c r="Y35" s="3541"/>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39"/>
      <c r="Q36" s="1260" t="str">
        <f t="shared" si="8"/>
        <v>成新度</v>
      </c>
      <c r="R36" s="665" t="s">
        <v>14</v>
      </c>
      <c r="S36" s="666" t="e">
        <f t="shared" si="9"/>
        <v>#N/A</v>
      </c>
      <c r="T36" s="665" t="s">
        <v>14</v>
      </c>
      <c r="U36" s="666" t="e">
        <f t="shared" si="10"/>
        <v>#N/A</v>
      </c>
      <c r="V36" s="665" t="s">
        <v>14</v>
      </c>
      <c r="W36" s="666" t="e">
        <f t="shared" si="11"/>
        <v>#N/A</v>
      </c>
      <c r="X36" s="1262"/>
      <c r="Y36" s="3541"/>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39"/>
      <c r="Q37" s="528" t="str">
        <f t="shared" si="8"/>
        <v>市政基础设施</v>
      </c>
      <c r="R37" s="662" t="s">
        <v>14</v>
      </c>
      <c r="S37" s="663">
        <f t="shared" si="9"/>
        <v>100</v>
      </c>
      <c r="T37" s="662" t="s">
        <v>14</v>
      </c>
      <c r="U37" s="663">
        <f t="shared" si="10"/>
        <v>100</v>
      </c>
      <c r="V37" s="662" t="s">
        <v>14</v>
      </c>
      <c r="W37" s="663">
        <f t="shared" si="11"/>
        <v>100</v>
      </c>
      <c r="X37" s="664"/>
      <c r="Y37" s="3541"/>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39" t="s">
        <v>1696</v>
      </c>
      <c r="Q38" s="1260" t="str">
        <f t="shared" si="8"/>
        <v>业态</v>
      </c>
      <c r="R38" s="665" t="s">
        <v>14</v>
      </c>
      <c r="S38" s="666">
        <f t="shared" si="9"/>
        <v>100</v>
      </c>
      <c r="T38" s="665" t="s">
        <v>14</v>
      </c>
      <c r="U38" s="666">
        <f t="shared" si="10"/>
        <v>100</v>
      </c>
      <c r="V38" s="665" t="s">
        <v>14</v>
      </c>
      <c r="W38" s="666">
        <f t="shared" si="11"/>
        <v>100</v>
      </c>
      <c r="X38" s="1262"/>
      <c r="Y38" s="3541"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39"/>
      <c r="Q39" s="1260" t="str">
        <f t="shared" si="8"/>
        <v>层高</v>
      </c>
      <c r="R39" s="665" t="s">
        <v>14</v>
      </c>
      <c r="S39" s="666">
        <f t="shared" si="9"/>
        <v>100</v>
      </c>
      <c r="T39" s="665" t="s">
        <v>14</v>
      </c>
      <c r="U39" s="666">
        <f t="shared" si="10"/>
        <v>100</v>
      </c>
      <c r="V39" s="665" t="s">
        <v>14</v>
      </c>
      <c r="W39" s="666">
        <f t="shared" si="11"/>
        <v>100</v>
      </c>
      <c r="X39" s="1262"/>
      <c r="Y39" s="3541"/>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39"/>
      <c r="Q40" s="1260" t="str">
        <f t="shared" si="8"/>
        <v>单套建筑面积</v>
      </c>
      <c r="R40" s="665" t="s">
        <v>14</v>
      </c>
      <c r="S40" s="666">
        <f t="shared" si="9"/>
        <v>100</v>
      </c>
      <c r="T40" s="665" t="s">
        <v>14</v>
      </c>
      <c r="U40" s="666">
        <f t="shared" si="10"/>
        <v>100</v>
      </c>
      <c r="V40" s="665" t="s">
        <v>14</v>
      </c>
      <c r="W40" s="666">
        <f t="shared" si="11"/>
        <v>100</v>
      </c>
      <c r="X40" s="1262"/>
      <c r="Y40" s="3541"/>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39"/>
      <c r="Q41" s="529" t="str">
        <f t="shared" si="8"/>
        <v>进深比</v>
      </c>
      <c r="R41" s="667" t="s">
        <v>14</v>
      </c>
      <c r="S41" s="668">
        <f t="shared" si="9"/>
        <v>100</v>
      </c>
      <c r="T41" s="667" t="s">
        <v>14</v>
      </c>
      <c r="U41" s="668">
        <f t="shared" si="10"/>
        <v>100</v>
      </c>
      <c r="V41" s="667" t="s">
        <v>14</v>
      </c>
      <c r="W41" s="668">
        <f t="shared" si="11"/>
        <v>100</v>
      </c>
      <c r="X41" s="669"/>
      <c r="Y41" s="3541"/>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39"/>
      <c r="Q42" s="1260" t="str">
        <f t="shared" si="8"/>
        <v>内部装修</v>
      </c>
      <c r="R42" s="665" t="s">
        <v>14</v>
      </c>
      <c r="S42" s="666">
        <f t="shared" si="9"/>
        <v>100</v>
      </c>
      <c r="T42" s="665" t="s">
        <v>14</v>
      </c>
      <c r="U42" s="666">
        <f t="shared" si="10"/>
        <v>100</v>
      </c>
      <c r="V42" s="665" t="s">
        <v>14</v>
      </c>
      <c r="W42" s="666">
        <f t="shared" si="11"/>
        <v>100</v>
      </c>
      <c r="X42" s="1262"/>
      <c r="Y42" s="3541"/>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39"/>
      <c r="Q43" s="1260" t="str">
        <f t="shared" si="8"/>
        <v>内部装修维护情况</v>
      </c>
      <c r="R43" s="665" t="s">
        <v>14</v>
      </c>
      <c r="S43" s="666">
        <f t="shared" si="9"/>
        <v>100</v>
      </c>
      <c r="T43" s="665" t="s">
        <v>14</v>
      </c>
      <c r="U43" s="666">
        <f t="shared" si="10"/>
        <v>100</v>
      </c>
      <c r="V43" s="665" t="s">
        <v>14</v>
      </c>
      <c r="W43" s="666">
        <f t="shared" si="11"/>
        <v>100</v>
      </c>
      <c r="X43" s="1262"/>
      <c r="Y43" s="3541"/>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39"/>
      <c r="Q44" s="528">
        <f t="shared" si="8"/>
        <v>111</v>
      </c>
      <c r="R44" s="662" t="s">
        <v>14</v>
      </c>
      <c r="S44" s="663">
        <f t="shared" si="9"/>
        <v>100</v>
      </c>
      <c r="T44" s="662" t="s">
        <v>14</v>
      </c>
      <c r="U44" s="663">
        <f t="shared" si="10"/>
        <v>100</v>
      </c>
      <c r="V44" s="662" t="s">
        <v>14</v>
      </c>
      <c r="W44" s="663">
        <f t="shared" si="11"/>
        <v>100</v>
      </c>
      <c r="X44" s="664"/>
      <c r="Y44" s="3541"/>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39"/>
      <c r="Q45" s="1260">
        <f t="shared" si="8"/>
        <v>111</v>
      </c>
      <c r="R45" s="665" t="s">
        <v>14</v>
      </c>
      <c r="S45" s="666">
        <f t="shared" si="9"/>
        <v>100</v>
      </c>
      <c r="T45" s="665" t="s">
        <v>14</v>
      </c>
      <c r="U45" s="666">
        <f t="shared" si="10"/>
        <v>100</v>
      </c>
      <c r="V45" s="665" t="s">
        <v>14</v>
      </c>
      <c r="W45" s="666">
        <f t="shared" si="11"/>
        <v>100</v>
      </c>
      <c r="X45" s="1262"/>
      <c r="Y45" s="3541"/>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40"/>
      <c r="Q46" s="1260">
        <f t="shared" si="8"/>
        <v>111</v>
      </c>
      <c r="R46" s="665" t="s">
        <v>14</v>
      </c>
      <c r="S46" s="666">
        <f t="shared" si="9"/>
        <v>100</v>
      </c>
      <c r="T46" s="665" t="s">
        <v>14</v>
      </c>
      <c r="U46" s="666">
        <f t="shared" si="10"/>
        <v>100</v>
      </c>
      <c r="V46" s="665" t="s">
        <v>14</v>
      </c>
      <c r="W46" s="666">
        <f t="shared" si="11"/>
        <v>100</v>
      </c>
      <c r="X46" s="1262"/>
      <c r="Y46" s="3542"/>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34" t="str">
        <f>A47</f>
        <v>成交单价（元/平方米）</v>
      </c>
      <c r="Q47" s="3534"/>
      <c r="R47" s="3535">
        <f>E47</f>
        <v>0</v>
      </c>
      <c r="S47" s="3535"/>
      <c r="T47" s="3535">
        <f>G47</f>
        <v>0</v>
      </c>
      <c r="U47" s="3535"/>
      <c r="V47" s="3535">
        <f>I47</f>
        <v>0</v>
      </c>
      <c r="W47" s="3535"/>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34" t="str">
        <f>A48</f>
        <v>比较价值（元/平方米）</v>
      </c>
      <c r="Q48" s="3534"/>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31" t="str">
        <f>A49</f>
        <v>估价对象XX用房的比较价值（楼面单价，元/平方米）</v>
      </c>
      <c r="Q49" s="3532"/>
      <c r="R49" s="3533" t="e">
        <f>IF(F1="售价",ROUND(IF(D48="简单平均",AVERAGE(R48:V48),R48*F48+T48*H48+V48*J48),0),ROUND(IF(D48="简单平均",AVERAGE(R48:V48),R48*F48+T48*H48+V48*J48),1))</f>
        <v>#DIV/0!</v>
      </c>
      <c r="S49" s="3533"/>
      <c r="T49" s="3533"/>
      <c r="U49" s="3533"/>
      <c r="V49" s="3533"/>
      <c r="W49" s="3533"/>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2010-3</v>
      </c>
      <c r="D58" s="1101">
        <f>EDATE(C58,-1)</f>
        <v>40210</v>
      </c>
      <c r="E58" s="1101">
        <f t="shared" ref="E58:N58" si="13">EDATE(D58,-1)</f>
        <v>40179</v>
      </c>
      <c r="F58" s="1101">
        <f t="shared" si="13"/>
        <v>40148</v>
      </c>
      <c r="G58" s="1101">
        <f t="shared" si="13"/>
        <v>40118</v>
      </c>
      <c r="H58" s="1101">
        <f t="shared" si="13"/>
        <v>40087</v>
      </c>
      <c r="I58" s="1101">
        <f t="shared" si="13"/>
        <v>40057</v>
      </c>
      <c r="J58" s="1101">
        <f t="shared" si="13"/>
        <v>40026</v>
      </c>
      <c r="K58" s="1101">
        <f t="shared" si="13"/>
        <v>39995</v>
      </c>
      <c r="L58" s="1101">
        <f t="shared" si="13"/>
        <v>39965</v>
      </c>
      <c r="M58" s="1101">
        <f t="shared" si="13"/>
        <v>39934</v>
      </c>
      <c r="N58" s="1101">
        <f t="shared" si="13"/>
        <v>39904</v>
      </c>
      <c r="O58" s="1101">
        <f>EDATE(N58,-1)</f>
        <v>39873</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61.85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84" t="s">
        <v>1771</v>
      </c>
      <c r="Q4" s="3585"/>
      <c r="R4" s="3588" t="s">
        <v>1767</v>
      </c>
      <c r="S4" s="3589"/>
      <c r="T4" s="3588" t="s">
        <v>1768</v>
      </c>
      <c r="U4" s="3589"/>
      <c r="V4" s="3590" t="s">
        <v>1769</v>
      </c>
      <c r="W4" s="3590"/>
      <c r="X4" s="1803"/>
      <c r="Y4" s="3588" t="s">
        <v>1771</v>
      </c>
      <c r="Z4" s="3589"/>
      <c r="AA4" s="3592" t="s">
        <v>1767</v>
      </c>
      <c r="AB4" s="3592" t="s">
        <v>1768</v>
      </c>
      <c r="AC4" s="3581" t="s">
        <v>1769</v>
      </c>
    </row>
    <row r="5" spans="1:29" ht="15">
      <c r="A5" s="346"/>
      <c r="B5" s="347"/>
      <c r="C5" s="3576" t="s">
        <v>1673</v>
      </c>
      <c r="D5" s="3573"/>
      <c r="E5" s="3577" t="s">
        <v>1674</v>
      </c>
      <c r="F5" s="3568"/>
      <c r="G5" s="3576" t="s">
        <v>1675</v>
      </c>
      <c r="H5" s="3573"/>
      <c r="I5" s="3576" t="s">
        <v>1676</v>
      </c>
      <c r="J5" s="3573"/>
      <c r="K5" s="535"/>
      <c r="L5" s="2480"/>
      <c r="M5" s="2481"/>
      <c r="N5" s="2481"/>
      <c r="O5" s="2481"/>
      <c r="P5" s="3586"/>
      <c r="Q5" s="3556"/>
      <c r="R5" s="3561"/>
      <c r="S5" s="3562"/>
      <c r="T5" s="3561"/>
      <c r="U5" s="3562"/>
      <c r="V5" s="3535"/>
      <c r="W5" s="3535"/>
      <c r="X5" s="1262"/>
      <c r="Y5" s="3561"/>
      <c r="Z5" s="3562"/>
      <c r="AA5" s="3547"/>
      <c r="AB5" s="3547"/>
      <c r="AC5" s="3582"/>
    </row>
    <row r="6" spans="1:29" ht="15.75" thickBot="1">
      <c r="A6" s="348"/>
      <c r="B6" s="349"/>
      <c r="C6" s="3565" t="s">
        <v>1677</v>
      </c>
      <c r="D6" s="3566"/>
      <c r="E6" s="3574" t="s">
        <v>1677</v>
      </c>
      <c r="F6" s="3575"/>
      <c r="G6" s="3565" t="s">
        <v>1677</v>
      </c>
      <c r="H6" s="3566"/>
      <c r="I6" s="3565" t="s">
        <v>1677</v>
      </c>
      <c r="J6" s="3566"/>
      <c r="K6" s="535" t="s">
        <v>1678</v>
      </c>
      <c r="L6" s="2480"/>
      <c r="M6" s="2481"/>
      <c r="N6" s="2481"/>
      <c r="O6" s="2481"/>
      <c r="P6" s="3587"/>
      <c r="Q6" s="3558"/>
      <c r="R6" s="3561"/>
      <c r="S6" s="3562"/>
      <c r="T6" s="3563"/>
      <c r="U6" s="3564"/>
      <c r="V6" s="3535"/>
      <c r="W6" s="3535"/>
      <c r="X6" s="1262"/>
      <c r="Y6" s="3563"/>
      <c r="Z6" s="3564"/>
      <c r="AA6" s="3548"/>
      <c r="AB6" s="3548"/>
      <c r="AC6" s="3583"/>
    </row>
    <row r="7" spans="1:29" s="101" customFormat="1" ht="15.75" thickBot="1">
      <c r="A7" s="350" t="s">
        <v>1679</v>
      </c>
      <c r="B7" s="351"/>
      <c r="C7" s="352">
        <f>'数据-取费表'!B2</f>
        <v>40268</v>
      </c>
      <c r="D7" s="353">
        <v>100</v>
      </c>
      <c r="E7" s="354"/>
      <c r="F7" s="355">
        <f>SUMIF(59:59,YEAR(E7)&amp;"-"&amp;MONTH(E7),60:60)</f>
        <v>0</v>
      </c>
      <c r="G7" s="354"/>
      <c r="H7" s="353">
        <f>SUMIF(59:59,YEAR(G7)&amp;"-"&amp;MONTH(G7),60:60)</f>
        <v>0</v>
      </c>
      <c r="I7" s="354"/>
      <c r="J7" s="353">
        <f>SUMIF(59:59,YEAR(I7)&amp;"-"&amp;MONTH(I7),60:60)</f>
        <v>0</v>
      </c>
      <c r="K7" s="38"/>
      <c r="L7" s="2482"/>
      <c r="M7" s="2433"/>
      <c r="N7" s="2433"/>
      <c r="O7" s="2433"/>
      <c r="P7" s="3591" t="s">
        <v>1680</v>
      </c>
      <c r="Q7" s="3571"/>
      <c r="R7" s="662" t="s">
        <v>14</v>
      </c>
      <c r="S7" s="663">
        <f t="shared" ref="S7:S15" si="0">F7</f>
        <v>0</v>
      </c>
      <c r="T7" s="662" t="s">
        <v>14</v>
      </c>
      <c r="U7" s="663">
        <f t="shared" ref="U7:U15" si="1">H7</f>
        <v>0</v>
      </c>
      <c r="V7" s="662" t="s">
        <v>14</v>
      </c>
      <c r="W7" s="663">
        <f t="shared" ref="W7:W15" si="2">J7</f>
        <v>0</v>
      </c>
      <c r="X7" s="664"/>
      <c r="Y7" s="3569" t="s">
        <v>1680</v>
      </c>
      <c r="Z7" s="3570"/>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591" t="s">
        <v>1683</v>
      </c>
      <c r="Q8" s="3570"/>
      <c r="R8" s="662" t="s">
        <v>14</v>
      </c>
      <c r="S8" s="663">
        <f t="shared" si="0"/>
        <v>100</v>
      </c>
      <c r="T8" s="662" t="s">
        <v>14</v>
      </c>
      <c r="U8" s="663">
        <f t="shared" si="1"/>
        <v>100</v>
      </c>
      <c r="V8" s="662" t="s">
        <v>14</v>
      </c>
      <c r="W8" s="663">
        <f t="shared" si="2"/>
        <v>100</v>
      </c>
      <c r="X8" s="664"/>
      <c r="Y8" s="3569" t="s">
        <v>1683</v>
      </c>
      <c r="Z8" s="3570"/>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45"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45"/>
      <c r="Q10" s="528" t="str">
        <f t="shared" si="6"/>
        <v>土地使用年限（年）</v>
      </c>
      <c r="R10" s="662" t="s">
        <v>14</v>
      </c>
      <c r="S10" s="663">
        <f t="shared" si="0"/>
        <v>100</v>
      </c>
      <c r="T10" s="662" t="s">
        <v>14</v>
      </c>
      <c r="U10" s="663">
        <f t="shared" si="1"/>
        <v>100</v>
      </c>
      <c r="V10" s="662" t="s">
        <v>14</v>
      </c>
      <c r="W10" s="663">
        <f t="shared" si="2"/>
        <v>100</v>
      </c>
      <c r="X10" s="664"/>
      <c r="Y10" s="3409"/>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45"/>
      <c r="Q11" s="528" t="str">
        <f t="shared" si="6"/>
        <v>容积率</v>
      </c>
      <c r="R11" s="662" t="s">
        <v>14</v>
      </c>
      <c r="S11" s="663">
        <f t="shared" si="0"/>
        <v>100</v>
      </c>
      <c r="T11" s="662" t="s">
        <v>14</v>
      </c>
      <c r="U11" s="663">
        <f t="shared" si="1"/>
        <v>100</v>
      </c>
      <c r="V11" s="662" t="s">
        <v>14</v>
      </c>
      <c r="W11" s="663">
        <f t="shared" si="2"/>
        <v>100</v>
      </c>
      <c r="X11" s="664"/>
      <c r="Y11" s="3409"/>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45"/>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45"/>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45"/>
      <c r="Q14" s="528">
        <f t="shared" si="6"/>
        <v>111</v>
      </c>
      <c r="R14" s="662" t="s">
        <v>14</v>
      </c>
      <c r="S14" s="663">
        <f t="shared" si="0"/>
        <v>100</v>
      </c>
      <c r="T14" s="662" t="s">
        <v>14</v>
      </c>
      <c r="U14" s="663">
        <f t="shared" si="1"/>
        <v>100</v>
      </c>
      <c r="V14" s="662" t="s">
        <v>14</v>
      </c>
      <c r="W14" s="663">
        <f t="shared" si="2"/>
        <v>100</v>
      </c>
      <c r="X14" s="664"/>
      <c r="Y14" s="3409"/>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43" t="s">
        <v>1691</v>
      </c>
      <c r="Q15" s="1260" t="str">
        <f t="shared" si="6"/>
        <v>办公集聚程度</v>
      </c>
      <c r="R15" s="665" t="s">
        <v>14</v>
      </c>
      <c r="S15" s="666">
        <f t="shared" si="0"/>
        <v>100</v>
      </c>
      <c r="T15" s="665" t="s">
        <v>14</v>
      </c>
      <c r="U15" s="666">
        <f t="shared" si="1"/>
        <v>100</v>
      </c>
      <c r="V15" s="665" t="s">
        <v>14</v>
      </c>
      <c r="W15" s="666">
        <f t="shared" si="2"/>
        <v>100</v>
      </c>
      <c r="X15" s="1262"/>
      <c r="Y15" s="3536"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44"/>
      <c r="Q16" s="1260"/>
      <c r="R16" s="665"/>
      <c r="S16" s="666"/>
      <c r="T16" s="665"/>
      <c r="U16" s="666"/>
      <c r="V16" s="665"/>
      <c r="W16" s="666"/>
      <c r="X16" s="1262"/>
      <c r="Y16" s="3537"/>
      <c r="Z16" s="1261"/>
      <c r="AA16" s="1261">
        <v>1</v>
      </c>
      <c r="AB16" s="1261">
        <v>1</v>
      </c>
      <c r="AC16" s="1806">
        <v>1</v>
      </c>
    </row>
    <row r="17" spans="1:29" ht="99.75">
      <c r="A17" s="365"/>
      <c r="B17" s="554" t="s">
        <v>1259</v>
      </c>
      <c r="C17" s="1807" t="str">
        <f>估价对象房地状况!C6</f>
        <v>周边有104路、119路、125路、430路等多条公交线路及地铁5号线和平里北街站，综合评价交通便捷度较好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44"/>
      <c r="Q17" s="1260" t="str">
        <f>B17</f>
        <v>交通便捷度</v>
      </c>
      <c r="R17" s="665" t="s">
        <v>14</v>
      </c>
      <c r="S17" s="666">
        <f>F17</f>
        <v>100</v>
      </c>
      <c r="T17" s="665" t="s">
        <v>14</v>
      </c>
      <c r="U17" s="666">
        <f>H17</f>
        <v>100</v>
      </c>
      <c r="V17" s="665" t="s">
        <v>14</v>
      </c>
      <c r="W17" s="666">
        <f>J17</f>
        <v>100</v>
      </c>
      <c r="X17" s="1262"/>
      <c r="Y17" s="3537"/>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44"/>
      <c r="Q18" s="1260"/>
      <c r="R18" s="665"/>
      <c r="S18" s="666"/>
      <c r="T18" s="665"/>
      <c r="U18" s="666"/>
      <c r="V18" s="665"/>
      <c r="W18" s="666"/>
      <c r="X18" s="1262"/>
      <c r="Y18" s="3537"/>
      <c r="Z18" s="1261"/>
      <c r="AA18" s="1261">
        <v>1</v>
      </c>
      <c r="AB18" s="1261">
        <v>1</v>
      </c>
      <c r="AC18" s="1806">
        <v>1</v>
      </c>
    </row>
    <row r="19" spans="1:29" ht="199.5">
      <c r="A19" s="365"/>
      <c r="B19" s="554" t="s">
        <v>1808</v>
      </c>
      <c r="C19" s="1807"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44"/>
      <c r="Q19" s="1260" t="str">
        <f>B19</f>
        <v>公共配套设施</v>
      </c>
      <c r="R19" s="665" t="s">
        <v>14</v>
      </c>
      <c r="S19" s="666">
        <f>F19</f>
        <v>100</v>
      </c>
      <c r="T19" s="665" t="s">
        <v>14</v>
      </c>
      <c r="U19" s="666">
        <f>H19</f>
        <v>100</v>
      </c>
      <c r="V19" s="665" t="s">
        <v>14</v>
      </c>
      <c r="W19" s="666">
        <f>J19</f>
        <v>100</v>
      </c>
      <c r="X19" s="1262"/>
      <c r="Y19" s="3537"/>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44"/>
      <c r="Q20" s="1260"/>
      <c r="R20" s="665"/>
      <c r="S20" s="666"/>
      <c r="T20" s="665"/>
      <c r="U20" s="666"/>
      <c r="V20" s="665"/>
      <c r="W20" s="666"/>
      <c r="X20" s="1262"/>
      <c r="Y20" s="3537"/>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44"/>
      <c r="Q21" s="1260" t="str">
        <f>B21</f>
        <v>基础设施水平</v>
      </c>
      <c r="R21" s="665" t="s">
        <v>14</v>
      </c>
      <c r="S21" s="666">
        <f>F21</f>
        <v>100</v>
      </c>
      <c r="T21" s="665" t="s">
        <v>14</v>
      </c>
      <c r="U21" s="666">
        <f>H21</f>
        <v>100</v>
      </c>
      <c r="V21" s="665" t="s">
        <v>14</v>
      </c>
      <c r="W21" s="666">
        <f>J21</f>
        <v>100</v>
      </c>
      <c r="X21" s="1262"/>
      <c r="Y21" s="3537"/>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44"/>
      <c r="Q22" s="1260"/>
      <c r="R22" s="665"/>
      <c r="S22" s="666"/>
      <c r="T22" s="665"/>
      <c r="U22" s="666"/>
      <c r="V22" s="665"/>
      <c r="W22" s="666"/>
      <c r="X22" s="1262"/>
      <c r="Y22" s="3537"/>
      <c r="Z22" s="1261"/>
      <c r="AA22" s="1261">
        <v>1</v>
      </c>
      <c r="AB22" s="1261">
        <v>1</v>
      </c>
      <c r="AC22" s="1806">
        <v>1</v>
      </c>
    </row>
    <row r="23" spans="1:29" ht="99.75">
      <c r="A23" s="365"/>
      <c r="B23" s="554" t="s">
        <v>1810</v>
      </c>
      <c r="C23" s="1807" t="str">
        <f>估价对象房地状况!C9</f>
        <v>周边有地坛公园、青年湖公园、柳荫公园等自然及人文景观，综合评价环境状况较好。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44"/>
      <c r="Q23" s="1260" t="str">
        <f>B23</f>
        <v>环境质量</v>
      </c>
      <c r="R23" s="665" t="s">
        <v>14</v>
      </c>
      <c r="S23" s="666">
        <f>F23</f>
        <v>100</v>
      </c>
      <c r="T23" s="665" t="s">
        <v>14</v>
      </c>
      <c r="U23" s="666">
        <f>H23</f>
        <v>100</v>
      </c>
      <c r="V23" s="665" t="s">
        <v>14</v>
      </c>
      <c r="W23" s="666">
        <f>J23</f>
        <v>100</v>
      </c>
      <c r="X23" s="1262"/>
      <c r="Y23" s="3537"/>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44"/>
      <c r="Q24" s="1260"/>
      <c r="R24" s="665"/>
      <c r="S24" s="666"/>
      <c r="T24" s="665"/>
      <c r="U24" s="666"/>
      <c r="V24" s="665"/>
      <c r="W24" s="666"/>
      <c r="X24" s="1262"/>
      <c r="Y24" s="3537"/>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44"/>
      <c r="Q25" s="1260" t="str">
        <f>B25</f>
        <v>毗邻道路的类型与等级</v>
      </c>
      <c r="R25" s="665" t="s">
        <v>14</v>
      </c>
      <c r="S25" s="666">
        <f>F25</f>
        <v>100</v>
      </c>
      <c r="T25" s="665" t="s">
        <v>14</v>
      </c>
      <c r="U25" s="666">
        <f>H25</f>
        <v>100</v>
      </c>
      <c r="V25" s="665" t="s">
        <v>14</v>
      </c>
      <c r="W25" s="666">
        <f>J25</f>
        <v>100</v>
      </c>
      <c r="X25" s="1262"/>
      <c r="Y25" s="3537"/>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44"/>
      <c r="Q26" s="1260"/>
      <c r="R26" s="665"/>
      <c r="S26" s="666"/>
      <c r="T26" s="665"/>
      <c r="U26" s="666"/>
      <c r="V26" s="665"/>
      <c r="W26" s="666"/>
      <c r="X26" s="1262"/>
      <c r="Y26" s="3537"/>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44"/>
      <c r="Q27" s="1260" t="str">
        <f t="shared" ref="Q27:Q47" si="8">B27</f>
        <v>楼层</v>
      </c>
      <c r="R27" s="665" t="s">
        <v>14</v>
      </c>
      <c r="S27" s="666">
        <f>F27</f>
        <v>100</v>
      </c>
      <c r="T27" s="665" t="s">
        <v>14</v>
      </c>
      <c r="U27" s="666">
        <f>H27</f>
        <v>100</v>
      </c>
      <c r="V27" s="665" t="s">
        <v>14</v>
      </c>
      <c r="W27" s="666">
        <f>J27</f>
        <v>100</v>
      </c>
      <c r="X27" s="1262"/>
      <c r="Y27" s="3537"/>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44"/>
      <c r="Q28" s="528" t="str">
        <f t="shared" si="8"/>
        <v>朝向</v>
      </c>
      <c r="R28" s="662" t="s">
        <v>14</v>
      </c>
      <c r="S28" s="663">
        <f>F28</f>
        <v>100</v>
      </c>
      <c r="T28" s="662" t="s">
        <v>14</v>
      </c>
      <c r="U28" s="663">
        <f>H28</f>
        <v>100</v>
      </c>
      <c r="V28" s="662" t="s">
        <v>14</v>
      </c>
      <c r="W28" s="663">
        <f>J28</f>
        <v>100</v>
      </c>
      <c r="X28" s="664"/>
      <c r="Y28" s="3537"/>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44"/>
      <c r="Q29" s="1260">
        <f t="shared" si="8"/>
        <v>111</v>
      </c>
      <c r="R29" s="665" t="s">
        <v>14</v>
      </c>
      <c r="S29" s="666">
        <f t="shared" ref="S29:S47" si="9">F29</f>
        <v>100</v>
      </c>
      <c r="T29" s="665" t="s">
        <v>14</v>
      </c>
      <c r="U29" s="666">
        <f t="shared" ref="U29:U47" si="10">H29</f>
        <v>100</v>
      </c>
      <c r="V29" s="665" t="s">
        <v>14</v>
      </c>
      <c r="W29" s="666">
        <f t="shared" ref="W29:W47" si="11">J29</f>
        <v>100</v>
      </c>
      <c r="X29" s="1262"/>
      <c r="Y29" s="3537"/>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44"/>
      <c r="Q30" s="1260">
        <f t="shared" si="8"/>
        <v>111</v>
      </c>
      <c r="R30" s="665" t="s">
        <v>14</v>
      </c>
      <c r="S30" s="666">
        <f t="shared" si="9"/>
        <v>100</v>
      </c>
      <c r="T30" s="665" t="s">
        <v>14</v>
      </c>
      <c r="U30" s="666">
        <f t="shared" si="10"/>
        <v>100</v>
      </c>
      <c r="V30" s="665" t="s">
        <v>14</v>
      </c>
      <c r="W30" s="666">
        <f t="shared" si="11"/>
        <v>100</v>
      </c>
      <c r="X30" s="1262"/>
      <c r="Y30" s="3537"/>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44"/>
      <c r="Q31" s="1260">
        <f t="shared" si="8"/>
        <v>111</v>
      </c>
      <c r="R31" s="665" t="s">
        <v>14</v>
      </c>
      <c r="S31" s="666">
        <f t="shared" si="9"/>
        <v>100</v>
      </c>
      <c r="T31" s="665" t="s">
        <v>14</v>
      </c>
      <c r="U31" s="666">
        <f t="shared" si="10"/>
        <v>100</v>
      </c>
      <c r="V31" s="665" t="s">
        <v>14</v>
      </c>
      <c r="W31" s="666">
        <f t="shared" si="11"/>
        <v>100</v>
      </c>
      <c r="X31" s="1262"/>
      <c r="Y31" s="3537"/>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44"/>
      <c r="Q32" s="1260">
        <f t="shared" si="8"/>
        <v>111</v>
      </c>
      <c r="R32" s="665" t="s">
        <v>14</v>
      </c>
      <c r="S32" s="666">
        <f t="shared" si="9"/>
        <v>100</v>
      </c>
      <c r="T32" s="665" t="s">
        <v>14</v>
      </c>
      <c r="U32" s="666">
        <f t="shared" si="10"/>
        <v>100</v>
      </c>
      <c r="V32" s="665" t="s">
        <v>14</v>
      </c>
      <c r="W32" s="666">
        <f t="shared" si="11"/>
        <v>100</v>
      </c>
      <c r="X32" s="1262"/>
      <c r="Y32" s="3537"/>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38" t="s">
        <v>1696</v>
      </c>
      <c r="Q33" s="1260" t="str">
        <f t="shared" si="8"/>
        <v>建筑类型</v>
      </c>
      <c r="R33" s="665" t="s">
        <v>14</v>
      </c>
      <c r="S33" s="666">
        <f t="shared" si="9"/>
        <v>100</v>
      </c>
      <c r="T33" s="665" t="s">
        <v>14</v>
      </c>
      <c r="U33" s="666">
        <f t="shared" si="10"/>
        <v>100</v>
      </c>
      <c r="V33" s="665" t="s">
        <v>14</v>
      </c>
      <c r="W33" s="666">
        <f t="shared" si="11"/>
        <v>100</v>
      </c>
      <c r="X33" s="1262"/>
      <c r="Y33" s="3541"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39"/>
      <c r="Q34" s="529" t="str">
        <f t="shared" si="8"/>
        <v>项目建筑规模</v>
      </c>
      <c r="R34" s="667" t="s">
        <v>14</v>
      </c>
      <c r="S34" s="668" t="e">
        <f t="shared" si="9"/>
        <v>#N/A</v>
      </c>
      <c r="T34" s="667" t="s">
        <v>14</v>
      </c>
      <c r="U34" s="668" t="e">
        <f t="shared" si="10"/>
        <v>#N/A</v>
      </c>
      <c r="V34" s="667" t="s">
        <v>14</v>
      </c>
      <c r="W34" s="668" t="e">
        <f t="shared" si="11"/>
        <v>#N/A</v>
      </c>
      <c r="X34" s="669"/>
      <c r="Y34" s="3541"/>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39"/>
      <c r="Q35" s="1260" t="str">
        <f t="shared" si="8"/>
        <v>建筑结构</v>
      </c>
      <c r="R35" s="665" t="s">
        <v>14</v>
      </c>
      <c r="S35" s="666">
        <f t="shared" si="9"/>
        <v>100</v>
      </c>
      <c r="T35" s="665" t="s">
        <v>14</v>
      </c>
      <c r="U35" s="666">
        <f t="shared" si="10"/>
        <v>100</v>
      </c>
      <c r="V35" s="665" t="s">
        <v>14</v>
      </c>
      <c r="W35" s="666">
        <f t="shared" si="11"/>
        <v>100</v>
      </c>
      <c r="X35" s="1262"/>
      <c r="Y35" s="3541"/>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39"/>
      <c r="Q36" s="1260" t="str">
        <f t="shared" si="8"/>
        <v>公共部分装修</v>
      </c>
      <c r="R36" s="665" t="s">
        <v>14</v>
      </c>
      <c r="S36" s="666">
        <f t="shared" si="9"/>
        <v>100</v>
      </c>
      <c r="T36" s="665" t="s">
        <v>14</v>
      </c>
      <c r="U36" s="666">
        <f t="shared" si="10"/>
        <v>100</v>
      </c>
      <c r="V36" s="665" t="s">
        <v>14</v>
      </c>
      <c r="W36" s="666">
        <f t="shared" si="11"/>
        <v>100</v>
      </c>
      <c r="X36" s="1262"/>
      <c r="Y36" s="3541"/>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39"/>
      <c r="Q37" s="1260" t="str">
        <f t="shared" si="8"/>
        <v>成新度</v>
      </c>
      <c r="R37" s="665" t="s">
        <v>14</v>
      </c>
      <c r="S37" s="666" t="e">
        <f t="shared" si="9"/>
        <v>#N/A</v>
      </c>
      <c r="T37" s="665" t="s">
        <v>14</v>
      </c>
      <c r="U37" s="666" t="e">
        <f t="shared" si="10"/>
        <v>#N/A</v>
      </c>
      <c r="V37" s="665" t="s">
        <v>14</v>
      </c>
      <c r="W37" s="666" t="e">
        <f t="shared" si="11"/>
        <v>#N/A</v>
      </c>
      <c r="X37" s="1262"/>
      <c r="Y37" s="3541"/>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39"/>
      <c r="Q38" s="528" t="str">
        <f t="shared" si="8"/>
        <v>写字楼等级</v>
      </c>
      <c r="R38" s="662" t="s">
        <v>14</v>
      </c>
      <c r="S38" s="663">
        <f t="shared" si="9"/>
        <v>100</v>
      </c>
      <c r="T38" s="662" t="s">
        <v>14</v>
      </c>
      <c r="U38" s="663">
        <f t="shared" si="10"/>
        <v>100</v>
      </c>
      <c r="V38" s="662" t="s">
        <v>14</v>
      </c>
      <c r="W38" s="663">
        <f t="shared" si="11"/>
        <v>100</v>
      </c>
      <c r="X38" s="664"/>
      <c r="Y38" s="3541"/>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39" t="s">
        <v>1696</v>
      </c>
      <c r="Q39" s="1260" t="str">
        <f t="shared" si="8"/>
        <v>物业管理</v>
      </c>
      <c r="R39" s="665" t="s">
        <v>14</v>
      </c>
      <c r="S39" s="666">
        <f t="shared" si="9"/>
        <v>100</v>
      </c>
      <c r="T39" s="665" t="s">
        <v>14</v>
      </c>
      <c r="U39" s="666">
        <f t="shared" si="10"/>
        <v>100</v>
      </c>
      <c r="V39" s="665" t="s">
        <v>14</v>
      </c>
      <c r="W39" s="666">
        <f t="shared" si="11"/>
        <v>100</v>
      </c>
      <c r="X39" s="1262"/>
      <c r="Y39" s="3541"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39"/>
      <c r="Q40" s="1260" t="str">
        <f t="shared" si="8"/>
        <v>市政基础设施</v>
      </c>
      <c r="R40" s="665" t="s">
        <v>14</v>
      </c>
      <c r="S40" s="666">
        <f t="shared" si="9"/>
        <v>100</v>
      </c>
      <c r="T40" s="665" t="s">
        <v>14</v>
      </c>
      <c r="U40" s="666">
        <f t="shared" si="10"/>
        <v>100</v>
      </c>
      <c r="V40" s="665" t="s">
        <v>14</v>
      </c>
      <c r="W40" s="666">
        <f t="shared" si="11"/>
        <v>100</v>
      </c>
      <c r="X40" s="1262"/>
      <c r="Y40" s="3541"/>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39"/>
      <c r="Q41" s="1260" t="str">
        <f t="shared" si="8"/>
        <v>层高</v>
      </c>
      <c r="R41" s="665" t="s">
        <v>14</v>
      </c>
      <c r="S41" s="666">
        <f t="shared" si="9"/>
        <v>100</v>
      </c>
      <c r="T41" s="665" t="s">
        <v>14</v>
      </c>
      <c r="U41" s="666">
        <f t="shared" si="10"/>
        <v>100</v>
      </c>
      <c r="V41" s="665" t="s">
        <v>14</v>
      </c>
      <c r="W41" s="666">
        <f t="shared" si="11"/>
        <v>100</v>
      </c>
      <c r="X41" s="1262"/>
      <c r="Y41" s="3541"/>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39"/>
      <c r="Q42" s="529" t="str">
        <f t="shared" si="8"/>
        <v>单套建筑面积</v>
      </c>
      <c r="R42" s="667" t="s">
        <v>14</v>
      </c>
      <c r="S42" s="668">
        <f t="shared" si="9"/>
        <v>100</v>
      </c>
      <c r="T42" s="667" t="s">
        <v>14</v>
      </c>
      <c r="U42" s="668">
        <f t="shared" si="10"/>
        <v>100</v>
      </c>
      <c r="V42" s="667" t="s">
        <v>14</v>
      </c>
      <c r="W42" s="668">
        <f t="shared" si="11"/>
        <v>100</v>
      </c>
      <c r="X42" s="669"/>
      <c r="Y42" s="3541"/>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39"/>
      <c r="Q43" s="1260" t="str">
        <f t="shared" si="8"/>
        <v>内部装修</v>
      </c>
      <c r="R43" s="665" t="s">
        <v>14</v>
      </c>
      <c r="S43" s="666">
        <f t="shared" si="9"/>
        <v>100</v>
      </c>
      <c r="T43" s="665" t="s">
        <v>14</v>
      </c>
      <c r="U43" s="666">
        <f t="shared" si="10"/>
        <v>100</v>
      </c>
      <c r="V43" s="665" t="s">
        <v>14</v>
      </c>
      <c r="W43" s="666">
        <f t="shared" si="11"/>
        <v>100</v>
      </c>
      <c r="X43" s="1262"/>
      <c r="Y43" s="3541"/>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39"/>
      <c r="Q44" s="1260" t="str">
        <f t="shared" si="8"/>
        <v>内部装修维护情况</v>
      </c>
      <c r="R44" s="665" t="s">
        <v>14</v>
      </c>
      <c r="S44" s="666">
        <f t="shared" si="9"/>
        <v>100</v>
      </c>
      <c r="T44" s="665" t="s">
        <v>14</v>
      </c>
      <c r="U44" s="666">
        <f t="shared" si="10"/>
        <v>100</v>
      </c>
      <c r="V44" s="665" t="s">
        <v>14</v>
      </c>
      <c r="W44" s="666">
        <f t="shared" si="11"/>
        <v>100</v>
      </c>
      <c r="X44" s="1262"/>
      <c r="Y44" s="3541"/>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39"/>
      <c r="Q45" s="528">
        <f t="shared" si="8"/>
        <v>111</v>
      </c>
      <c r="R45" s="662" t="s">
        <v>14</v>
      </c>
      <c r="S45" s="663">
        <f t="shared" si="9"/>
        <v>100</v>
      </c>
      <c r="T45" s="662" t="s">
        <v>14</v>
      </c>
      <c r="U45" s="663">
        <f t="shared" si="10"/>
        <v>100</v>
      </c>
      <c r="V45" s="662" t="s">
        <v>14</v>
      </c>
      <c r="W45" s="663">
        <f t="shared" si="11"/>
        <v>100</v>
      </c>
      <c r="X45" s="664"/>
      <c r="Y45" s="3541"/>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39"/>
      <c r="Q46" s="1260">
        <f t="shared" si="8"/>
        <v>111</v>
      </c>
      <c r="R46" s="665" t="s">
        <v>14</v>
      </c>
      <c r="S46" s="666">
        <f t="shared" si="9"/>
        <v>100</v>
      </c>
      <c r="T46" s="665" t="s">
        <v>14</v>
      </c>
      <c r="U46" s="666">
        <f t="shared" si="10"/>
        <v>100</v>
      </c>
      <c r="V46" s="665" t="s">
        <v>14</v>
      </c>
      <c r="W46" s="666">
        <f t="shared" si="11"/>
        <v>100</v>
      </c>
      <c r="X46" s="1262"/>
      <c r="Y46" s="3541"/>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40"/>
      <c r="Q47" s="1260">
        <f t="shared" si="8"/>
        <v>111</v>
      </c>
      <c r="R47" s="665" t="s">
        <v>14</v>
      </c>
      <c r="S47" s="666">
        <f t="shared" si="9"/>
        <v>100</v>
      </c>
      <c r="T47" s="665" t="s">
        <v>14</v>
      </c>
      <c r="U47" s="666">
        <f t="shared" si="10"/>
        <v>100</v>
      </c>
      <c r="V47" s="665" t="s">
        <v>14</v>
      </c>
      <c r="W47" s="666">
        <f t="shared" si="11"/>
        <v>100</v>
      </c>
      <c r="X47" s="1262"/>
      <c r="Y47" s="3542"/>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45" t="str">
        <f>A48</f>
        <v>成交单价（元/平方米）</v>
      </c>
      <c r="Q48" s="3534"/>
      <c r="R48" s="3535">
        <f>E48</f>
        <v>0</v>
      </c>
      <c r="S48" s="3535"/>
      <c r="T48" s="3535">
        <f>G48</f>
        <v>0</v>
      </c>
      <c r="U48" s="3535"/>
      <c r="V48" s="3535">
        <f>I48</f>
        <v>0</v>
      </c>
      <c r="W48" s="3535"/>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45" t="str">
        <f>A49</f>
        <v>比较价值（元/平方米）</v>
      </c>
      <c r="Q49" s="3534"/>
      <c r="R49" s="3535" t="e">
        <f>IF(F1="售价",ROUND(PRODUCT(R48,AA7:AA47),0),ROUND(PRODUCT(R48,AA7:AA47),1))</f>
        <v>#DIV/0!</v>
      </c>
      <c r="S49" s="3535"/>
      <c r="T49" s="3535" t="e">
        <f>IF(F1="售价",ROUND(PRODUCT(T48,AB7:AB47),0),ROUND(PRODUCT(T48,AB7:AB47),1))</f>
        <v>#DIV/0!</v>
      </c>
      <c r="U49" s="3535"/>
      <c r="V49" s="3535" t="e">
        <f>IF(F1="售价",ROUND(PRODUCT(V48,AC7:AC47),0),ROUND(PRODUCT(V48,AC7:AC47),1))</f>
        <v>#DIV/0!</v>
      </c>
      <c r="W49" s="3535"/>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578" t="str">
        <f>A50</f>
        <v>估价对象XX用房的比较价值（楼面单价，元/平方米）</v>
      </c>
      <c r="Q50" s="3579"/>
      <c r="R50" s="3580" t="e">
        <f>IF(F1="售价",ROUND(IF(D49="简单平均",AVERAGE(R49:V49),R49*F49+T49*H49+V49*J49),0),ROUND(IF(D49="简单平均",AVERAGE(R49:V49),R49*F49+T49*H49+V49*J49),1))</f>
        <v>#DIV/0!</v>
      </c>
      <c r="S50" s="3580"/>
      <c r="T50" s="3580"/>
      <c r="U50" s="3580"/>
      <c r="V50" s="3580"/>
      <c r="W50" s="3580"/>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2010-3</v>
      </c>
      <c r="D59" s="1101">
        <f>EDATE(C59,-1)</f>
        <v>40210</v>
      </c>
      <c r="E59" s="1101">
        <f>EDATE(D59,-1)</f>
        <v>40179</v>
      </c>
      <c r="F59" s="1101">
        <f t="shared" ref="F59:O59" si="13">EDATE(E59,-1)</f>
        <v>40148</v>
      </c>
      <c r="G59" s="1101">
        <f t="shared" si="13"/>
        <v>40118</v>
      </c>
      <c r="H59" s="1101">
        <f t="shared" si="13"/>
        <v>40087</v>
      </c>
      <c r="I59" s="1101">
        <f t="shared" si="13"/>
        <v>40057</v>
      </c>
      <c r="J59" s="1101">
        <f t="shared" si="13"/>
        <v>40026</v>
      </c>
      <c r="K59" s="1101">
        <f t="shared" si="13"/>
        <v>39995</v>
      </c>
      <c r="L59" s="1101">
        <f t="shared" si="13"/>
        <v>39965</v>
      </c>
      <c r="M59" s="1101">
        <f t="shared" si="13"/>
        <v>39934</v>
      </c>
      <c r="N59" s="1101">
        <f t="shared" si="13"/>
        <v>39904</v>
      </c>
      <c r="O59" s="1101">
        <f t="shared" si="13"/>
        <v>39873</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61.85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858"/>
      <c r="M4" s="859"/>
      <c r="N4" s="859"/>
      <c r="O4" s="859"/>
      <c r="P4" s="3553" t="s">
        <v>1771</v>
      </c>
      <c r="Q4" s="3554"/>
      <c r="R4" s="3559" t="s">
        <v>1767</v>
      </c>
      <c r="S4" s="3560"/>
      <c r="T4" s="3559" t="s">
        <v>1768</v>
      </c>
      <c r="U4" s="3560"/>
      <c r="V4" s="3535" t="s">
        <v>1769</v>
      </c>
      <c r="W4" s="3535"/>
      <c r="X4" s="1262"/>
      <c r="Y4" s="3559" t="s">
        <v>1771</v>
      </c>
      <c r="Z4" s="3560"/>
      <c r="AA4" s="3546" t="s">
        <v>1767</v>
      </c>
      <c r="AB4" s="3547" t="s">
        <v>1768</v>
      </c>
      <c r="AC4" s="3546" t="s">
        <v>1769</v>
      </c>
    </row>
    <row r="5" spans="1:29" ht="15">
      <c r="A5" s="346"/>
      <c r="B5" s="347"/>
      <c r="C5" s="3576" t="s">
        <v>1673</v>
      </c>
      <c r="D5" s="3573"/>
      <c r="E5" s="3577" t="s">
        <v>1674</v>
      </c>
      <c r="F5" s="3568"/>
      <c r="G5" s="3576" t="s">
        <v>1675</v>
      </c>
      <c r="H5" s="3573"/>
      <c r="I5" s="3576" t="s">
        <v>1676</v>
      </c>
      <c r="J5" s="3573"/>
      <c r="K5" s="535"/>
      <c r="L5" s="858"/>
      <c r="M5" s="859"/>
      <c r="N5" s="859"/>
      <c r="O5" s="859"/>
      <c r="P5" s="3555"/>
      <c r="Q5" s="3556"/>
      <c r="R5" s="3561"/>
      <c r="S5" s="3562"/>
      <c r="T5" s="3561"/>
      <c r="U5" s="3562"/>
      <c r="V5" s="3535"/>
      <c r="W5" s="3535"/>
      <c r="X5" s="1262"/>
      <c r="Y5" s="3561"/>
      <c r="Z5" s="3562"/>
      <c r="AA5" s="3547"/>
      <c r="AB5" s="3547"/>
      <c r="AC5" s="3547"/>
    </row>
    <row r="6" spans="1:29" ht="15.75" thickBot="1">
      <c r="A6" s="348"/>
      <c r="B6" s="349"/>
      <c r="C6" s="3565" t="s">
        <v>1677</v>
      </c>
      <c r="D6" s="3566"/>
      <c r="E6" s="3574" t="s">
        <v>1677</v>
      </c>
      <c r="F6" s="3575"/>
      <c r="G6" s="3565" t="s">
        <v>1677</v>
      </c>
      <c r="H6" s="3566"/>
      <c r="I6" s="3565" t="s">
        <v>1677</v>
      </c>
      <c r="J6" s="3566"/>
      <c r="K6" s="535" t="s">
        <v>1678</v>
      </c>
      <c r="L6" s="858"/>
      <c r="M6" s="859"/>
      <c r="N6" s="859"/>
      <c r="O6" s="859"/>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c r="F7" s="355">
        <f>SUMIF(52:52,YEAR(E7)&amp;"-"&amp;MONTH(E7),53:53)</f>
        <v>0</v>
      </c>
      <c r="G7" s="354"/>
      <c r="H7" s="353">
        <f>SUMIF(52:52,YEAR(G7)&amp;"-"&amp;MONTH(G7),53:53)</f>
        <v>0</v>
      </c>
      <c r="I7" s="354"/>
      <c r="J7" s="353">
        <f>SUMIF(52:52,YEAR(I7)&amp;"-"&amp;MONTH(I7),53:53)</f>
        <v>0</v>
      </c>
      <c r="K7" s="38"/>
      <c r="L7" s="860"/>
      <c r="M7" s="861"/>
      <c r="N7" s="861"/>
      <c r="O7" s="861"/>
      <c r="P7" s="3569" t="s">
        <v>1680</v>
      </c>
      <c r="Q7" s="3571"/>
      <c r="R7" s="662" t="s">
        <v>14</v>
      </c>
      <c r="S7" s="663">
        <f t="shared" ref="S7:S15" si="0">F7</f>
        <v>0</v>
      </c>
      <c r="T7" s="662" t="s">
        <v>14</v>
      </c>
      <c r="U7" s="663">
        <f t="shared" ref="U7:U15" si="1">H7</f>
        <v>0</v>
      </c>
      <c r="V7" s="662" t="s">
        <v>14</v>
      </c>
      <c r="W7" s="663">
        <f t="shared" ref="W7:W15" si="2">J7</f>
        <v>0</v>
      </c>
      <c r="X7" s="664"/>
      <c r="Y7" s="3569" t="s">
        <v>1680</v>
      </c>
      <c r="Z7" s="3570"/>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69" t="s">
        <v>1683</v>
      </c>
      <c r="Q8" s="3570"/>
      <c r="R8" s="662" t="s">
        <v>14</v>
      </c>
      <c r="S8" s="663">
        <f t="shared" si="0"/>
        <v>100</v>
      </c>
      <c r="T8" s="662" t="s">
        <v>14</v>
      </c>
      <c r="U8" s="663">
        <f t="shared" si="1"/>
        <v>100</v>
      </c>
      <c r="V8" s="662" t="s">
        <v>14</v>
      </c>
      <c r="W8" s="663">
        <f t="shared" si="2"/>
        <v>100</v>
      </c>
      <c r="X8" s="664"/>
      <c r="Y8" s="3569" t="s">
        <v>1683</v>
      </c>
      <c r="Z8" s="3570"/>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34"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34"/>
      <c r="Q10" s="528" t="str">
        <f t="shared" si="6"/>
        <v>土地使用年限（年）</v>
      </c>
      <c r="R10" s="662" t="s">
        <v>14</v>
      </c>
      <c r="S10" s="663">
        <f t="shared" si="0"/>
        <v>100</v>
      </c>
      <c r="T10" s="662" t="s">
        <v>14</v>
      </c>
      <c r="U10" s="663">
        <f t="shared" si="1"/>
        <v>100</v>
      </c>
      <c r="V10" s="662" t="s">
        <v>14</v>
      </c>
      <c r="W10" s="663">
        <f t="shared" si="2"/>
        <v>100</v>
      </c>
      <c r="X10" s="664"/>
      <c r="Y10" s="3409"/>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34"/>
      <c r="Q11" s="528" t="str">
        <f t="shared" si="6"/>
        <v>容积率</v>
      </c>
      <c r="R11" s="662" t="s">
        <v>14</v>
      </c>
      <c r="S11" s="663">
        <f t="shared" si="0"/>
        <v>100</v>
      </c>
      <c r="T11" s="662" t="s">
        <v>14</v>
      </c>
      <c r="U11" s="663">
        <f t="shared" si="1"/>
        <v>100</v>
      </c>
      <c r="V11" s="662" t="s">
        <v>14</v>
      </c>
      <c r="W11" s="663">
        <f t="shared" si="2"/>
        <v>100</v>
      </c>
      <c r="X11" s="664"/>
      <c r="Y11" s="3409"/>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34"/>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34"/>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34"/>
      <c r="Q14" s="528">
        <f t="shared" si="6"/>
        <v>111</v>
      </c>
      <c r="R14" s="662" t="s">
        <v>14</v>
      </c>
      <c r="S14" s="663">
        <f t="shared" si="0"/>
        <v>100</v>
      </c>
      <c r="T14" s="662" t="s">
        <v>14</v>
      </c>
      <c r="U14" s="663">
        <f t="shared" si="1"/>
        <v>100</v>
      </c>
      <c r="V14" s="662" t="s">
        <v>14</v>
      </c>
      <c r="W14" s="663">
        <f t="shared" si="2"/>
        <v>100</v>
      </c>
      <c r="X14" s="664"/>
      <c r="Y14" s="3409"/>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36" t="s">
        <v>1691</v>
      </c>
      <c r="Q15" s="1260" t="str">
        <f t="shared" si="6"/>
        <v>产业集聚程度</v>
      </c>
      <c r="R15" s="665" t="s">
        <v>14</v>
      </c>
      <c r="S15" s="666">
        <f t="shared" si="0"/>
        <v>100</v>
      </c>
      <c r="T15" s="665" t="s">
        <v>14</v>
      </c>
      <c r="U15" s="666">
        <f t="shared" si="1"/>
        <v>100</v>
      </c>
      <c r="V15" s="665" t="s">
        <v>14</v>
      </c>
      <c r="W15" s="666">
        <f t="shared" si="2"/>
        <v>100</v>
      </c>
      <c r="X15" s="1262"/>
      <c r="Y15" s="353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37"/>
      <c r="Q16" s="1260"/>
      <c r="R16" s="665"/>
      <c r="S16" s="666"/>
      <c r="T16" s="665"/>
      <c r="U16" s="666"/>
      <c r="V16" s="665"/>
      <c r="W16" s="666"/>
      <c r="X16" s="1262"/>
      <c r="Y16" s="3537"/>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37"/>
      <c r="Q17" s="1260" t="str">
        <f>B17</f>
        <v>交通便捷度</v>
      </c>
      <c r="R17" s="665" t="s">
        <v>14</v>
      </c>
      <c r="S17" s="666">
        <f>F17</f>
        <v>100</v>
      </c>
      <c r="T17" s="665" t="s">
        <v>14</v>
      </c>
      <c r="U17" s="666">
        <f>H17</f>
        <v>100</v>
      </c>
      <c r="V17" s="665" t="s">
        <v>14</v>
      </c>
      <c r="W17" s="666">
        <f>J17</f>
        <v>100</v>
      </c>
      <c r="X17" s="1262"/>
      <c r="Y17" s="3537"/>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37"/>
      <c r="Q18" s="1260"/>
      <c r="R18" s="665"/>
      <c r="S18" s="666"/>
      <c r="T18" s="665"/>
      <c r="U18" s="666"/>
      <c r="V18" s="665"/>
      <c r="W18" s="666"/>
      <c r="X18" s="1262"/>
      <c r="Y18" s="3537"/>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37"/>
      <c r="Q19" s="1260" t="str">
        <f>B19</f>
        <v>公共配套设施</v>
      </c>
      <c r="R19" s="665" t="s">
        <v>14</v>
      </c>
      <c r="S19" s="666">
        <f>F19</f>
        <v>100</v>
      </c>
      <c r="T19" s="665" t="s">
        <v>14</v>
      </c>
      <c r="U19" s="666">
        <f>H19</f>
        <v>100</v>
      </c>
      <c r="V19" s="665" t="s">
        <v>14</v>
      </c>
      <c r="W19" s="666">
        <f>J19</f>
        <v>100</v>
      </c>
      <c r="X19" s="1262"/>
      <c r="Y19" s="3537"/>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37"/>
      <c r="Q20" s="1260"/>
      <c r="R20" s="665"/>
      <c r="S20" s="666"/>
      <c r="T20" s="665"/>
      <c r="U20" s="666"/>
      <c r="V20" s="665"/>
      <c r="W20" s="666"/>
      <c r="X20" s="1262"/>
      <c r="Y20" s="3537"/>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37"/>
      <c r="Q21" s="1260" t="str">
        <f>B21</f>
        <v>基础设施水平</v>
      </c>
      <c r="R21" s="665" t="s">
        <v>14</v>
      </c>
      <c r="S21" s="666">
        <f>F21</f>
        <v>100</v>
      </c>
      <c r="T21" s="665" t="s">
        <v>14</v>
      </c>
      <c r="U21" s="666">
        <f>H21</f>
        <v>100</v>
      </c>
      <c r="V21" s="665" t="s">
        <v>14</v>
      </c>
      <c r="W21" s="666">
        <f>J21</f>
        <v>100</v>
      </c>
      <c r="X21" s="1262"/>
      <c r="Y21" s="3537"/>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37"/>
      <c r="Q22" s="1260"/>
      <c r="R22" s="665"/>
      <c r="S22" s="666"/>
      <c r="T22" s="665"/>
      <c r="U22" s="666"/>
      <c r="V22" s="665"/>
      <c r="W22" s="666"/>
      <c r="X22" s="1262"/>
      <c r="Y22" s="3537"/>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37"/>
      <c r="Q23" s="1260" t="str">
        <f>B23</f>
        <v>环境质量</v>
      </c>
      <c r="R23" s="665" t="s">
        <v>14</v>
      </c>
      <c r="S23" s="666">
        <f>F23</f>
        <v>100</v>
      </c>
      <c r="T23" s="665" t="s">
        <v>14</v>
      </c>
      <c r="U23" s="666">
        <f>H23</f>
        <v>100</v>
      </c>
      <c r="V23" s="665" t="s">
        <v>14</v>
      </c>
      <c r="W23" s="666">
        <f>J23</f>
        <v>100</v>
      </c>
      <c r="X23" s="1262"/>
      <c r="Y23" s="3537"/>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37"/>
      <c r="Q24" s="1260"/>
      <c r="R24" s="665"/>
      <c r="S24" s="666"/>
      <c r="T24" s="665"/>
      <c r="U24" s="666"/>
      <c r="V24" s="665"/>
      <c r="W24" s="666"/>
      <c r="X24" s="1262"/>
      <c r="Y24" s="3537"/>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37"/>
      <c r="Q25" s="1260">
        <f>B25</f>
        <v>111</v>
      </c>
      <c r="R25" s="665" t="s">
        <v>14</v>
      </c>
      <c r="S25" s="666">
        <f>F25</f>
        <v>100</v>
      </c>
      <c r="T25" s="665" t="s">
        <v>14</v>
      </c>
      <c r="U25" s="666">
        <f>H25</f>
        <v>100</v>
      </c>
      <c r="V25" s="665" t="s">
        <v>14</v>
      </c>
      <c r="W25" s="666">
        <f>J25</f>
        <v>100</v>
      </c>
      <c r="X25" s="1262"/>
      <c r="Y25" s="3537"/>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37"/>
      <c r="Q26" s="1260">
        <f t="shared" ref="Q26:Q40" si="8">B26</f>
        <v>111</v>
      </c>
      <c r="R26" s="665" t="s">
        <v>14</v>
      </c>
      <c r="S26" s="666">
        <f>F26</f>
        <v>100</v>
      </c>
      <c r="T26" s="665" t="s">
        <v>14</v>
      </c>
      <c r="U26" s="666">
        <f>H26</f>
        <v>100</v>
      </c>
      <c r="V26" s="665" t="s">
        <v>14</v>
      </c>
      <c r="W26" s="666">
        <f>J26</f>
        <v>100</v>
      </c>
      <c r="X26" s="1262"/>
      <c r="Y26" s="3537"/>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37"/>
      <c r="Q27" s="528">
        <f t="shared" si="8"/>
        <v>111</v>
      </c>
      <c r="R27" s="662" t="s">
        <v>14</v>
      </c>
      <c r="S27" s="663">
        <f>F27</f>
        <v>100</v>
      </c>
      <c r="T27" s="662" t="s">
        <v>14</v>
      </c>
      <c r="U27" s="663">
        <f>H27</f>
        <v>100</v>
      </c>
      <c r="V27" s="662" t="s">
        <v>14</v>
      </c>
      <c r="W27" s="663">
        <f>J27</f>
        <v>100</v>
      </c>
      <c r="X27" s="664"/>
      <c r="Y27" s="3537"/>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37"/>
      <c r="Q28" s="1260">
        <f t="shared" si="8"/>
        <v>111</v>
      </c>
      <c r="R28" s="665" t="s">
        <v>14</v>
      </c>
      <c r="S28" s="666">
        <f t="shared" ref="S28:S40" si="9">F28</f>
        <v>100</v>
      </c>
      <c r="T28" s="665" t="s">
        <v>14</v>
      </c>
      <c r="U28" s="666">
        <f t="shared" ref="U28:U40" si="10">H28</f>
        <v>100</v>
      </c>
      <c r="V28" s="665" t="s">
        <v>14</v>
      </c>
      <c r="W28" s="666">
        <f t="shared" ref="W28:W40" si="11">J28</f>
        <v>100</v>
      </c>
      <c r="X28" s="1262"/>
      <c r="Y28" s="3537"/>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593" t="s">
        <v>1696</v>
      </c>
      <c r="Q29" s="1260" t="str">
        <f t="shared" si="8"/>
        <v>建筑类型</v>
      </c>
      <c r="R29" s="665" t="s">
        <v>14</v>
      </c>
      <c r="S29" s="666">
        <f t="shared" si="9"/>
        <v>100</v>
      </c>
      <c r="T29" s="665" t="s">
        <v>14</v>
      </c>
      <c r="U29" s="666">
        <f t="shared" si="10"/>
        <v>100</v>
      </c>
      <c r="V29" s="665" t="s">
        <v>14</v>
      </c>
      <c r="W29" s="666">
        <f t="shared" si="11"/>
        <v>100</v>
      </c>
      <c r="X29" s="1262"/>
      <c r="Y29" s="3541"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41"/>
      <c r="Q30" s="529" t="str">
        <f t="shared" si="8"/>
        <v>项目建筑规模</v>
      </c>
      <c r="R30" s="667" t="s">
        <v>14</v>
      </c>
      <c r="S30" s="668" t="e">
        <f t="shared" si="9"/>
        <v>#N/A</v>
      </c>
      <c r="T30" s="667" t="s">
        <v>14</v>
      </c>
      <c r="U30" s="668" t="e">
        <f t="shared" si="10"/>
        <v>#N/A</v>
      </c>
      <c r="V30" s="667" t="s">
        <v>14</v>
      </c>
      <c r="W30" s="668" t="e">
        <f t="shared" si="11"/>
        <v>#N/A</v>
      </c>
      <c r="X30" s="669"/>
      <c r="Y30" s="3541"/>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41"/>
      <c r="Q31" s="1260" t="str">
        <f t="shared" si="8"/>
        <v>建筑结构</v>
      </c>
      <c r="R31" s="665" t="s">
        <v>14</v>
      </c>
      <c r="S31" s="666">
        <f t="shared" si="9"/>
        <v>100</v>
      </c>
      <c r="T31" s="665" t="s">
        <v>14</v>
      </c>
      <c r="U31" s="666">
        <f t="shared" si="10"/>
        <v>100</v>
      </c>
      <c r="V31" s="665" t="s">
        <v>14</v>
      </c>
      <c r="W31" s="666">
        <f t="shared" si="11"/>
        <v>100</v>
      </c>
      <c r="X31" s="1262"/>
      <c r="Y31" s="3541"/>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41"/>
      <c r="Q32" s="1260" t="str">
        <f t="shared" si="8"/>
        <v>公共部分装修</v>
      </c>
      <c r="R32" s="665" t="s">
        <v>14</v>
      </c>
      <c r="S32" s="666">
        <f t="shared" si="9"/>
        <v>100</v>
      </c>
      <c r="T32" s="665" t="s">
        <v>14</v>
      </c>
      <c r="U32" s="666">
        <f t="shared" si="10"/>
        <v>100</v>
      </c>
      <c r="V32" s="665" t="s">
        <v>14</v>
      </c>
      <c r="W32" s="666">
        <f t="shared" si="11"/>
        <v>100</v>
      </c>
      <c r="X32" s="1262"/>
      <c r="Y32" s="3541"/>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41"/>
      <c r="Q33" s="1260" t="str">
        <f t="shared" si="8"/>
        <v>成新度</v>
      </c>
      <c r="R33" s="665" t="s">
        <v>14</v>
      </c>
      <c r="S33" s="666" t="e">
        <f t="shared" si="9"/>
        <v>#N/A</v>
      </c>
      <c r="T33" s="665" t="s">
        <v>14</v>
      </c>
      <c r="U33" s="666" t="e">
        <f t="shared" si="10"/>
        <v>#N/A</v>
      </c>
      <c r="V33" s="665" t="s">
        <v>14</v>
      </c>
      <c r="W33" s="666" t="e">
        <f t="shared" si="11"/>
        <v>#N/A</v>
      </c>
      <c r="X33" s="1262"/>
      <c r="Y33" s="3541"/>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41"/>
      <c r="Q34" s="528" t="str">
        <f t="shared" si="8"/>
        <v>物业管理</v>
      </c>
      <c r="R34" s="662" t="s">
        <v>14</v>
      </c>
      <c r="S34" s="663">
        <f t="shared" si="9"/>
        <v>100</v>
      </c>
      <c r="T34" s="662" t="s">
        <v>14</v>
      </c>
      <c r="U34" s="663">
        <f t="shared" si="10"/>
        <v>100</v>
      </c>
      <c r="V34" s="662" t="s">
        <v>14</v>
      </c>
      <c r="W34" s="663">
        <f t="shared" si="11"/>
        <v>100</v>
      </c>
      <c r="X34" s="664"/>
      <c r="Y34" s="3541"/>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41" t="s">
        <v>1696</v>
      </c>
      <c r="Q35" s="1260" t="str">
        <f t="shared" si="8"/>
        <v>市政基础设施</v>
      </c>
      <c r="R35" s="665" t="s">
        <v>14</v>
      </c>
      <c r="S35" s="666">
        <f t="shared" si="9"/>
        <v>100</v>
      </c>
      <c r="T35" s="665" t="s">
        <v>14</v>
      </c>
      <c r="U35" s="666">
        <f t="shared" si="10"/>
        <v>100</v>
      </c>
      <c r="V35" s="665" t="s">
        <v>14</v>
      </c>
      <c r="W35" s="666">
        <f t="shared" si="11"/>
        <v>100</v>
      </c>
      <c r="X35" s="1262"/>
      <c r="Y35" s="3541"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41"/>
      <c r="Q36" s="1260" t="str">
        <f t="shared" si="8"/>
        <v>内部装修</v>
      </c>
      <c r="R36" s="665" t="s">
        <v>14</v>
      </c>
      <c r="S36" s="666">
        <f t="shared" si="9"/>
        <v>100</v>
      </c>
      <c r="T36" s="665" t="s">
        <v>14</v>
      </c>
      <c r="U36" s="666">
        <f t="shared" si="10"/>
        <v>100</v>
      </c>
      <c r="V36" s="665" t="s">
        <v>14</v>
      </c>
      <c r="W36" s="666">
        <f t="shared" si="11"/>
        <v>100</v>
      </c>
      <c r="X36" s="1262"/>
      <c r="Y36" s="3541"/>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41"/>
      <c r="Q37" s="1260" t="str">
        <f t="shared" si="8"/>
        <v>内部装修状况</v>
      </c>
      <c r="R37" s="665" t="s">
        <v>14</v>
      </c>
      <c r="S37" s="666">
        <f t="shared" si="9"/>
        <v>100</v>
      </c>
      <c r="T37" s="665" t="s">
        <v>14</v>
      </c>
      <c r="U37" s="666">
        <f t="shared" si="10"/>
        <v>100</v>
      </c>
      <c r="V37" s="665" t="s">
        <v>14</v>
      </c>
      <c r="W37" s="666">
        <f t="shared" si="11"/>
        <v>100</v>
      </c>
      <c r="X37" s="1262"/>
      <c r="Y37" s="3541"/>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41"/>
      <c r="Q38" s="529">
        <f t="shared" si="8"/>
        <v>111</v>
      </c>
      <c r="R38" s="667" t="s">
        <v>14</v>
      </c>
      <c r="S38" s="668">
        <f t="shared" si="9"/>
        <v>100</v>
      </c>
      <c r="T38" s="667" t="s">
        <v>14</v>
      </c>
      <c r="U38" s="668">
        <f t="shared" si="10"/>
        <v>100</v>
      </c>
      <c r="V38" s="667" t="s">
        <v>14</v>
      </c>
      <c r="W38" s="668">
        <f t="shared" si="11"/>
        <v>100</v>
      </c>
      <c r="X38" s="669"/>
      <c r="Y38" s="3541"/>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41"/>
      <c r="Q39" s="1260">
        <f t="shared" si="8"/>
        <v>111</v>
      </c>
      <c r="R39" s="665" t="s">
        <v>14</v>
      </c>
      <c r="S39" s="666">
        <f t="shared" si="9"/>
        <v>100</v>
      </c>
      <c r="T39" s="665" t="s">
        <v>14</v>
      </c>
      <c r="U39" s="666">
        <f t="shared" si="10"/>
        <v>100</v>
      </c>
      <c r="V39" s="665" t="s">
        <v>14</v>
      </c>
      <c r="W39" s="666">
        <f t="shared" si="11"/>
        <v>100</v>
      </c>
      <c r="X39" s="1262"/>
      <c r="Y39" s="3541"/>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42"/>
      <c r="Q40" s="1260">
        <f t="shared" si="8"/>
        <v>111</v>
      </c>
      <c r="R40" s="665" t="s">
        <v>14</v>
      </c>
      <c r="S40" s="666">
        <f t="shared" si="9"/>
        <v>100</v>
      </c>
      <c r="T40" s="665" t="s">
        <v>14</v>
      </c>
      <c r="U40" s="666">
        <f t="shared" si="10"/>
        <v>100</v>
      </c>
      <c r="V40" s="665" t="s">
        <v>14</v>
      </c>
      <c r="W40" s="666">
        <f t="shared" si="11"/>
        <v>100</v>
      </c>
      <c r="X40" s="1262"/>
      <c r="Y40" s="3542"/>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34" t="str">
        <f>A41</f>
        <v>成交单价（元/平方米）</v>
      </c>
      <c r="Q41" s="3534"/>
      <c r="R41" s="3535">
        <f>E41</f>
        <v>0</v>
      </c>
      <c r="S41" s="3535"/>
      <c r="T41" s="3535">
        <f>G41</f>
        <v>0</v>
      </c>
      <c r="U41" s="3535"/>
      <c r="V41" s="3535">
        <f>I41</f>
        <v>0</v>
      </c>
      <c r="W41" s="3535"/>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34" t="str">
        <f>A42</f>
        <v>比较价值（元/平方米）</v>
      </c>
      <c r="Q42" s="3534"/>
      <c r="R42" s="3535" t="e">
        <f>IF(F1="售价",ROUND(PRODUCT(R41,AA7:AA40),0),ROUND(PRODUCT(R41,AA7:AA40),1))</f>
        <v>#DIV/0!</v>
      </c>
      <c r="S42" s="3535"/>
      <c r="T42" s="3535" t="e">
        <f>IF(F1="售价",ROUND(PRODUCT(T41,AB7:AB40),0),ROUND(PRODUCT(T41,AB7:AB40),1))</f>
        <v>#DIV/0!</v>
      </c>
      <c r="U42" s="3535"/>
      <c r="V42" s="3535" t="e">
        <f>IF(F1="售价",ROUND(PRODUCT(V41,AC7:AC40),0),ROUND(PRODUCT(V41,AC7:AC40),1))</f>
        <v>#DIV/0!</v>
      </c>
      <c r="W42" s="3535"/>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31" t="str">
        <f>A43</f>
        <v>估价对象XX用房的比较价值（楼面单价，元/平方米）</v>
      </c>
      <c r="Q43" s="3532"/>
      <c r="R43" s="3533" t="e">
        <f>IF(F1="售价",ROUND(IF(D42="简单平均",AVERAGE(R42:V42),R42*F42+T42*H42+V42*J42),0),ROUND(IF(D42="简单平均",AVERAGE(R42:V42),R42*F42+T42*H42+V42*J42),1))</f>
        <v>#DIV/0!</v>
      </c>
      <c r="S43" s="3533"/>
      <c r="T43" s="3533"/>
      <c r="U43" s="3533"/>
      <c r="V43" s="3533"/>
      <c r="W43" s="3533"/>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2010-3</v>
      </c>
      <c r="D52" s="1101">
        <f>EDATE(C52,-1)</f>
        <v>40210</v>
      </c>
      <c r="E52" s="1101">
        <f t="shared" ref="E52:O52" si="13">EDATE(D52,-1)</f>
        <v>40179</v>
      </c>
      <c r="F52" s="1101">
        <f t="shared" si="13"/>
        <v>40148</v>
      </c>
      <c r="G52" s="1101">
        <f t="shared" si="13"/>
        <v>40118</v>
      </c>
      <c r="H52" s="1101">
        <f t="shared" si="13"/>
        <v>40087</v>
      </c>
      <c r="I52" s="1101">
        <f t="shared" si="13"/>
        <v>40057</v>
      </c>
      <c r="J52" s="1101">
        <f t="shared" si="13"/>
        <v>40026</v>
      </c>
      <c r="K52" s="1101">
        <f t="shared" si="13"/>
        <v>39995</v>
      </c>
      <c r="L52" s="1101">
        <f t="shared" si="13"/>
        <v>39965</v>
      </c>
      <c r="M52" s="1101">
        <f t="shared" si="13"/>
        <v>39934</v>
      </c>
      <c r="N52" s="1101">
        <f t="shared" si="13"/>
        <v>39904</v>
      </c>
      <c r="O52" s="1101">
        <f t="shared" si="13"/>
        <v>39873</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59" t="s">
        <v>1767</v>
      </c>
      <c r="S4" s="3560"/>
      <c r="T4" s="3559" t="s">
        <v>1768</v>
      </c>
      <c r="U4" s="3560"/>
      <c r="V4" s="3535" t="s">
        <v>1769</v>
      </c>
      <c r="W4" s="3535"/>
      <c r="X4" s="1262"/>
      <c r="Y4" s="3559" t="s">
        <v>1771</v>
      </c>
      <c r="Z4" s="3560"/>
      <c r="AA4" s="3546" t="s">
        <v>1767</v>
      </c>
      <c r="AB4" s="3547" t="s">
        <v>1768</v>
      </c>
      <c r="AC4" s="3546" t="s">
        <v>1769</v>
      </c>
    </row>
    <row r="5" spans="1:29" ht="15">
      <c r="A5" s="346"/>
      <c r="B5" s="347"/>
      <c r="C5" s="3576" t="s">
        <v>1673</v>
      </c>
      <c r="D5" s="3573"/>
      <c r="E5" s="3577" t="s">
        <v>1674</v>
      </c>
      <c r="F5" s="3568"/>
      <c r="G5" s="3576" t="s">
        <v>1675</v>
      </c>
      <c r="H5" s="3573"/>
      <c r="I5" s="3576" t="s">
        <v>1676</v>
      </c>
      <c r="J5" s="3573"/>
      <c r="K5" s="535"/>
      <c r="L5" s="2480"/>
      <c r="M5" s="2481"/>
      <c r="N5" s="2481"/>
      <c r="O5" s="2481"/>
      <c r="P5" s="3555"/>
      <c r="Q5" s="3556"/>
      <c r="R5" s="3561"/>
      <c r="S5" s="3562"/>
      <c r="T5" s="3561"/>
      <c r="U5" s="3562"/>
      <c r="V5" s="3535"/>
      <c r="W5" s="3535"/>
      <c r="X5" s="1262"/>
      <c r="Y5" s="3561"/>
      <c r="Z5" s="3562"/>
      <c r="AA5" s="3547"/>
      <c r="AB5" s="3547"/>
      <c r="AC5" s="3547"/>
    </row>
    <row r="6" spans="1:29" ht="15.75" thickBot="1">
      <c r="A6" s="348"/>
      <c r="B6" s="349"/>
      <c r="C6" s="3565" t="s">
        <v>1677</v>
      </c>
      <c r="D6" s="3566"/>
      <c r="E6" s="3574" t="s">
        <v>1677</v>
      </c>
      <c r="F6" s="3575"/>
      <c r="G6" s="3565" t="s">
        <v>1677</v>
      </c>
      <c r="H6" s="3566"/>
      <c r="I6" s="3565" t="s">
        <v>1677</v>
      </c>
      <c r="J6" s="3566"/>
      <c r="K6" s="535" t="s">
        <v>1678</v>
      </c>
      <c r="L6" s="2480"/>
      <c r="M6" s="2481"/>
      <c r="N6" s="2481"/>
      <c r="O6" s="2481"/>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c r="F7" s="355">
        <f>SUMIF(48:48,YEAR(E7)&amp;"-"&amp;MONTH(E7),49:49)</f>
        <v>0</v>
      </c>
      <c r="G7" s="354"/>
      <c r="H7" s="353">
        <f>SUMIF(48:48,YEAR(G7)&amp;"-"&amp;MONTH(G7),49:49)</f>
        <v>0</v>
      </c>
      <c r="I7" s="354"/>
      <c r="J7" s="353">
        <f>SUMIF(48:48,YEAR(I7)&amp;"-"&amp;MONTH(I7),49:49)</f>
        <v>0</v>
      </c>
      <c r="K7" s="38"/>
      <c r="L7" s="2482"/>
      <c r="M7" s="2433"/>
      <c r="N7" s="2433"/>
      <c r="O7" s="2433"/>
      <c r="P7" s="3569" t="s">
        <v>1680</v>
      </c>
      <c r="Q7" s="3571"/>
      <c r="R7" s="662" t="s">
        <v>14</v>
      </c>
      <c r="S7" s="663">
        <f t="shared" ref="S7:S14" si="0">F7</f>
        <v>0</v>
      </c>
      <c r="T7" s="662" t="s">
        <v>14</v>
      </c>
      <c r="U7" s="663">
        <f t="shared" ref="U7:U14" si="1">H7</f>
        <v>0</v>
      </c>
      <c r="V7" s="662" t="s">
        <v>14</v>
      </c>
      <c r="W7" s="663">
        <f t="shared" ref="W7:W14" si="2">J7</f>
        <v>0</v>
      </c>
      <c r="X7" s="664"/>
      <c r="Y7" s="3569" t="s">
        <v>1680</v>
      </c>
      <c r="Z7" s="3570"/>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69" t="s">
        <v>1683</v>
      </c>
      <c r="Q8" s="3570"/>
      <c r="R8" s="662" t="s">
        <v>14</v>
      </c>
      <c r="S8" s="663">
        <f t="shared" si="0"/>
        <v>100</v>
      </c>
      <c r="T8" s="662" t="s">
        <v>14</v>
      </c>
      <c r="U8" s="663">
        <f t="shared" si="1"/>
        <v>100</v>
      </c>
      <c r="V8" s="662" t="s">
        <v>14</v>
      </c>
      <c r="W8" s="663">
        <f t="shared" si="2"/>
        <v>100</v>
      </c>
      <c r="X8" s="664"/>
      <c r="Y8" s="3569" t="s">
        <v>1683</v>
      </c>
      <c r="Z8" s="3570"/>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34" t="s">
        <v>1686</v>
      </c>
      <c r="Q9" s="528" t="str">
        <f t="shared" ref="Q9:Q14" si="6">B9</f>
        <v>用途</v>
      </c>
      <c r="R9" s="662" t="s">
        <v>14</v>
      </c>
      <c r="S9" s="663">
        <f t="shared" si="0"/>
        <v>100</v>
      </c>
      <c r="T9" s="662" t="s">
        <v>14</v>
      </c>
      <c r="U9" s="663">
        <f t="shared" si="1"/>
        <v>100</v>
      </c>
      <c r="V9" s="662" t="s">
        <v>14</v>
      </c>
      <c r="W9" s="663">
        <f t="shared" si="2"/>
        <v>100</v>
      </c>
      <c r="X9" s="664"/>
      <c r="Y9" s="3409"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34"/>
      <c r="Q10" s="528" t="str">
        <f t="shared" si="6"/>
        <v>土地使用年限（年）</v>
      </c>
      <c r="R10" s="662" t="s">
        <v>14</v>
      </c>
      <c r="S10" s="663">
        <f t="shared" si="0"/>
        <v>100</v>
      </c>
      <c r="T10" s="662" t="s">
        <v>14</v>
      </c>
      <c r="U10" s="663">
        <f t="shared" si="1"/>
        <v>100</v>
      </c>
      <c r="V10" s="662" t="s">
        <v>14</v>
      </c>
      <c r="W10" s="663">
        <f t="shared" si="2"/>
        <v>100</v>
      </c>
      <c r="X10" s="664"/>
      <c r="Y10" s="340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34"/>
      <c r="Q11" s="528">
        <f t="shared" si="6"/>
        <v>111</v>
      </c>
      <c r="R11" s="662" t="s">
        <v>14</v>
      </c>
      <c r="S11" s="663">
        <f t="shared" si="0"/>
        <v>100</v>
      </c>
      <c r="T11" s="662" t="s">
        <v>14</v>
      </c>
      <c r="U11" s="663">
        <f t="shared" si="1"/>
        <v>100</v>
      </c>
      <c r="V11" s="662" t="s">
        <v>14</v>
      </c>
      <c r="W11" s="663">
        <f t="shared" si="2"/>
        <v>100</v>
      </c>
      <c r="X11" s="664"/>
      <c r="Y11" s="3409"/>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34"/>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34"/>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50">
        <f t="shared" si="5"/>
        <v>1</v>
      </c>
    </row>
    <row r="14" spans="1:29" ht="99.75">
      <c r="A14" s="343" t="s">
        <v>1690</v>
      </c>
      <c r="B14" s="552" t="s">
        <v>1829</v>
      </c>
      <c r="C14" s="1813" t="str">
        <f>IF(B1="工业",估价对象房地状况!G4,估价对象房地状况!C6)</f>
        <v>周边有104路、119路、125路、430路等多条公交线路及地铁5号线和平里北街站，综合评价交通便捷度较好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36" t="s">
        <v>1691</v>
      </c>
      <c r="Q14" s="1260" t="str">
        <f t="shared" si="6"/>
        <v>交通便捷度</v>
      </c>
      <c r="R14" s="665" t="s">
        <v>14</v>
      </c>
      <c r="S14" s="666">
        <f t="shared" si="0"/>
        <v>100</v>
      </c>
      <c r="T14" s="665" t="s">
        <v>14</v>
      </c>
      <c r="U14" s="666">
        <f t="shared" si="1"/>
        <v>100</v>
      </c>
      <c r="V14" s="665" t="s">
        <v>14</v>
      </c>
      <c r="W14" s="666">
        <f t="shared" si="2"/>
        <v>100</v>
      </c>
      <c r="X14" s="1262"/>
      <c r="Y14" s="353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37"/>
      <c r="Q15" s="1260"/>
      <c r="R15" s="665"/>
      <c r="S15" s="666"/>
      <c r="T15" s="665"/>
      <c r="U15" s="666"/>
      <c r="V15" s="665"/>
      <c r="W15" s="666"/>
      <c r="X15" s="1262"/>
      <c r="Y15" s="3537"/>
      <c r="Z15" s="1261"/>
      <c r="AA15" s="1261">
        <v>1</v>
      </c>
      <c r="AB15" s="1261">
        <v>1</v>
      </c>
      <c r="AC15" s="1261">
        <v>1</v>
      </c>
    </row>
    <row r="16" spans="1:29" ht="228">
      <c r="A16" s="346"/>
      <c r="B16" s="554"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37"/>
      <c r="Q16" s="1260" t="str">
        <f>B16</f>
        <v>公共配套设施</v>
      </c>
      <c r="R16" s="665" t="s">
        <v>14</v>
      </c>
      <c r="S16" s="666">
        <f>F16</f>
        <v>100</v>
      </c>
      <c r="T16" s="665" t="s">
        <v>14</v>
      </c>
      <c r="U16" s="666">
        <f>H16</f>
        <v>100</v>
      </c>
      <c r="V16" s="665" t="s">
        <v>14</v>
      </c>
      <c r="W16" s="666">
        <f>J16</f>
        <v>100</v>
      </c>
      <c r="X16" s="1262"/>
      <c r="Y16" s="3537"/>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37"/>
      <c r="Q17" s="1260"/>
      <c r="R17" s="665"/>
      <c r="S17" s="666"/>
      <c r="T17" s="665"/>
      <c r="U17" s="666"/>
      <c r="V17" s="665"/>
      <c r="W17" s="666"/>
      <c r="X17" s="1262"/>
      <c r="Y17" s="3537"/>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37"/>
      <c r="Q18" s="1260" t="str">
        <f>B18</f>
        <v>基础设施水平</v>
      </c>
      <c r="R18" s="665" t="s">
        <v>14</v>
      </c>
      <c r="S18" s="666">
        <f>F18</f>
        <v>100</v>
      </c>
      <c r="T18" s="665" t="s">
        <v>14</v>
      </c>
      <c r="U18" s="666">
        <f>H18</f>
        <v>100</v>
      </c>
      <c r="V18" s="665" t="s">
        <v>14</v>
      </c>
      <c r="W18" s="666">
        <f>J18</f>
        <v>100</v>
      </c>
      <c r="X18" s="1262"/>
      <c r="Y18" s="3537"/>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37"/>
      <c r="Q19" s="1260"/>
      <c r="R19" s="665"/>
      <c r="S19" s="666"/>
      <c r="T19" s="665"/>
      <c r="U19" s="666"/>
      <c r="V19" s="665"/>
      <c r="W19" s="666"/>
      <c r="X19" s="1262"/>
      <c r="Y19" s="3537"/>
      <c r="Z19" s="1261"/>
      <c r="AA19" s="1261">
        <v>1</v>
      </c>
      <c r="AB19" s="1261">
        <v>1</v>
      </c>
      <c r="AC19" s="1261">
        <v>1</v>
      </c>
    </row>
    <row r="20" spans="1:29" ht="114">
      <c r="A20" s="346"/>
      <c r="B20" s="554"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37"/>
      <c r="Q20" s="1260" t="str">
        <f>B20</f>
        <v>自然及人文环境</v>
      </c>
      <c r="R20" s="665" t="s">
        <v>14</v>
      </c>
      <c r="S20" s="666">
        <f>F20</f>
        <v>100</v>
      </c>
      <c r="T20" s="665" t="s">
        <v>14</v>
      </c>
      <c r="U20" s="666">
        <f>H20</f>
        <v>100</v>
      </c>
      <c r="V20" s="665" t="s">
        <v>14</v>
      </c>
      <c r="W20" s="666">
        <f>J20</f>
        <v>100</v>
      </c>
      <c r="X20" s="1262"/>
      <c r="Y20" s="353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37"/>
      <c r="Q21" s="1260"/>
      <c r="R21" s="665"/>
      <c r="S21" s="666"/>
      <c r="T21" s="665"/>
      <c r="U21" s="666"/>
      <c r="V21" s="665"/>
      <c r="W21" s="666"/>
      <c r="X21" s="1262"/>
      <c r="Y21" s="3537"/>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37"/>
      <c r="Q22" s="1260" t="str">
        <f>B22</f>
        <v>楼层</v>
      </c>
      <c r="R22" s="665" t="s">
        <v>14</v>
      </c>
      <c r="S22" s="666">
        <f>F22</f>
        <v>100</v>
      </c>
      <c r="T22" s="665" t="s">
        <v>14</v>
      </c>
      <c r="U22" s="666">
        <f>H22</f>
        <v>100</v>
      </c>
      <c r="V22" s="665" t="s">
        <v>14</v>
      </c>
      <c r="W22" s="666">
        <f>J22</f>
        <v>100</v>
      </c>
      <c r="X22" s="1262"/>
      <c r="Y22" s="353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37"/>
      <c r="Q23" s="1260">
        <f>B23</f>
        <v>111</v>
      </c>
      <c r="R23" s="665" t="s">
        <v>14</v>
      </c>
      <c r="S23" s="666">
        <f>F23</f>
        <v>100</v>
      </c>
      <c r="T23" s="665" t="s">
        <v>14</v>
      </c>
      <c r="U23" s="666">
        <f>H23</f>
        <v>100</v>
      </c>
      <c r="V23" s="665" t="s">
        <v>14</v>
      </c>
      <c r="W23" s="666">
        <f>J23</f>
        <v>100</v>
      </c>
      <c r="X23" s="1262"/>
      <c r="Y23" s="353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37"/>
      <c r="Q24" s="1260">
        <f t="shared" ref="Q24:Q36" si="8">B24</f>
        <v>111</v>
      </c>
      <c r="R24" s="665" t="s">
        <v>14</v>
      </c>
      <c r="S24" s="666">
        <f>F24</f>
        <v>100</v>
      </c>
      <c r="T24" s="665" t="s">
        <v>14</v>
      </c>
      <c r="U24" s="666">
        <f>H24</f>
        <v>100</v>
      </c>
      <c r="V24" s="665" t="s">
        <v>14</v>
      </c>
      <c r="W24" s="666">
        <f>J24</f>
        <v>100</v>
      </c>
      <c r="X24" s="1262"/>
      <c r="Y24" s="3537"/>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37"/>
      <c r="Q25" s="528">
        <f t="shared" si="8"/>
        <v>111</v>
      </c>
      <c r="R25" s="662" t="s">
        <v>14</v>
      </c>
      <c r="S25" s="663">
        <f>F25</f>
        <v>100</v>
      </c>
      <c r="T25" s="662" t="s">
        <v>14</v>
      </c>
      <c r="U25" s="663">
        <f>H25</f>
        <v>100</v>
      </c>
      <c r="V25" s="662" t="s">
        <v>14</v>
      </c>
      <c r="W25" s="663">
        <f>J25</f>
        <v>100</v>
      </c>
      <c r="X25" s="664"/>
      <c r="Y25" s="3537"/>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593"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41"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41"/>
      <c r="Q27" s="529" t="str">
        <f t="shared" si="8"/>
        <v>项目停车位配比</v>
      </c>
      <c r="R27" s="667" t="s">
        <v>14</v>
      </c>
      <c r="S27" s="668">
        <f t="shared" si="9"/>
        <v>100</v>
      </c>
      <c r="T27" s="667" t="s">
        <v>14</v>
      </c>
      <c r="U27" s="668">
        <f t="shared" si="10"/>
        <v>100</v>
      </c>
      <c r="V27" s="667" t="s">
        <v>14</v>
      </c>
      <c r="W27" s="668">
        <f t="shared" si="11"/>
        <v>100</v>
      </c>
      <c r="X27" s="669"/>
      <c r="Y27" s="3541"/>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41"/>
      <c r="Q28" s="1260" t="str">
        <f t="shared" si="8"/>
        <v>公共部分装修</v>
      </c>
      <c r="R28" s="665" t="s">
        <v>14</v>
      </c>
      <c r="S28" s="666">
        <f t="shared" si="9"/>
        <v>100</v>
      </c>
      <c r="T28" s="665" t="s">
        <v>14</v>
      </c>
      <c r="U28" s="666">
        <f t="shared" si="10"/>
        <v>100</v>
      </c>
      <c r="V28" s="665" t="s">
        <v>14</v>
      </c>
      <c r="W28" s="666">
        <f t="shared" si="11"/>
        <v>100</v>
      </c>
      <c r="X28" s="1262"/>
      <c r="Y28" s="3541"/>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41"/>
      <c r="Q29" s="1260" t="str">
        <f t="shared" si="8"/>
        <v>成新率</v>
      </c>
      <c r="R29" s="665" t="s">
        <v>14</v>
      </c>
      <c r="S29" s="666" t="e">
        <f t="shared" si="9"/>
        <v>#N/A</v>
      </c>
      <c r="T29" s="665" t="s">
        <v>14</v>
      </c>
      <c r="U29" s="666" t="e">
        <f t="shared" si="10"/>
        <v>#N/A</v>
      </c>
      <c r="V29" s="665" t="s">
        <v>14</v>
      </c>
      <c r="W29" s="666" t="e">
        <f t="shared" si="11"/>
        <v>#N/A</v>
      </c>
      <c r="X29" s="1262"/>
      <c r="Y29" s="3541"/>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41"/>
      <c r="Q30" s="1260" t="str">
        <f t="shared" si="8"/>
        <v>物业等级</v>
      </c>
      <c r="R30" s="665" t="s">
        <v>14</v>
      </c>
      <c r="S30" s="666">
        <f t="shared" si="9"/>
        <v>100</v>
      </c>
      <c r="T30" s="665" t="s">
        <v>14</v>
      </c>
      <c r="U30" s="666">
        <f t="shared" si="10"/>
        <v>100</v>
      </c>
      <c r="V30" s="665" t="s">
        <v>14</v>
      </c>
      <c r="W30" s="666">
        <f t="shared" si="11"/>
        <v>100</v>
      </c>
      <c r="X30" s="1262"/>
      <c r="Y30" s="3541"/>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41"/>
      <c r="Q31" s="528" t="str">
        <f t="shared" si="8"/>
        <v>停车位面积</v>
      </c>
      <c r="R31" s="662" t="s">
        <v>14</v>
      </c>
      <c r="S31" s="663" t="e">
        <f t="shared" si="9"/>
        <v>#N/A</v>
      </c>
      <c r="T31" s="662" t="s">
        <v>14</v>
      </c>
      <c r="U31" s="663" t="e">
        <f t="shared" si="10"/>
        <v>#N/A</v>
      </c>
      <c r="V31" s="662" t="s">
        <v>14</v>
      </c>
      <c r="W31" s="663" t="e">
        <f t="shared" si="11"/>
        <v>#N/A</v>
      </c>
      <c r="X31" s="664"/>
      <c r="Y31" s="3541"/>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41" t="s">
        <v>1696</v>
      </c>
      <c r="Q32" s="1260" t="str">
        <f t="shared" si="8"/>
        <v>车位类型</v>
      </c>
      <c r="R32" s="665" t="s">
        <v>14</v>
      </c>
      <c r="S32" s="666">
        <f t="shared" si="9"/>
        <v>100</v>
      </c>
      <c r="T32" s="665" t="s">
        <v>14</v>
      </c>
      <c r="U32" s="666">
        <f t="shared" si="10"/>
        <v>100</v>
      </c>
      <c r="V32" s="665" t="s">
        <v>14</v>
      </c>
      <c r="W32" s="666">
        <f t="shared" si="11"/>
        <v>100</v>
      </c>
      <c r="X32" s="1262"/>
      <c r="Y32" s="3541"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41"/>
      <c r="Q33" s="1260" t="str">
        <f t="shared" si="8"/>
        <v>是否直接入户</v>
      </c>
      <c r="R33" s="665" t="s">
        <v>14</v>
      </c>
      <c r="S33" s="666">
        <f t="shared" si="9"/>
        <v>100</v>
      </c>
      <c r="T33" s="665" t="s">
        <v>14</v>
      </c>
      <c r="U33" s="666">
        <f t="shared" si="10"/>
        <v>100</v>
      </c>
      <c r="V33" s="665" t="s">
        <v>14</v>
      </c>
      <c r="W33" s="666">
        <f t="shared" si="11"/>
        <v>100</v>
      </c>
      <c r="X33" s="1262"/>
      <c r="Y33" s="3541"/>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41"/>
      <c r="Q34" s="1260">
        <f t="shared" si="8"/>
        <v>111</v>
      </c>
      <c r="R34" s="665" t="s">
        <v>14</v>
      </c>
      <c r="S34" s="666">
        <f t="shared" si="9"/>
        <v>100</v>
      </c>
      <c r="T34" s="665" t="s">
        <v>14</v>
      </c>
      <c r="U34" s="666">
        <f t="shared" si="10"/>
        <v>100</v>
      </c>
      <c r="V34" s="665" t="s">
        <v>14</v>
      </c>
      <c r="W34" s="666">
        <f t="shared" si="11"/>
        <v>100</v>
      </c>
      <c r="X34" s="1262"/>
      <c r="Y34" s="3541"/>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41"/>
      <c r="Q35" s="529">
        <f t="shared" si="8"/>
        <v>111</v>
      </c>
      <c r="R35" s="667" t="s">
        <v>14</v>
      </c>
      <c r="S35" s="668">
        <f t="shared" si="9"/>
        <v>100</v>
      </c>
      <c r="T35" s="667" t="s">
        <v>14</v>
      </c>
      <c r="U35" s="668">
        <f t="shared" si="10"/>
        <v>100</v>
      </c>
      <c r="V35" s="667" t="s">
        <v>14</v>
      </c>
      <c r="W35" s="668">
        <f t="shared" si="11"/>
        <v>100</v>
      </c>
      <c r="X35" s="669"/>
      <c r="Y35" s="3541"/>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41"/>
      <c r="Q36" s="1260">
        <f t="shared" si="8"/>
        <v>111</v>
      </c>
      <c r="R36" s="665" t="s">
        <v>14</v>
      </c>
      <c r="S36" s="666">
        <f t="shared" si="9"/>
        <v>100</v>
      </c>
      <c r="T36" s="665" t="s">
        <v>14</v>
      </c>
      <c r="U36" s="666">
        <f t="shared" si="10"/>
        <v>100</v>
      </c>
      <c r="V36" s="665" t="s">
        <v>14</v>
      </c>
      <c r="W36" s="666">
        <f t="shared" si="11"/>
        <v>100</v>
      </c>
      <c r="X36" s="1262"/>
      <c r="Y36" s="3541"/>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34" t="str">
        <f>A37</f>
        <v>成交单价</v>
      </c>
      <c r="Q37" s="3534"/>
      <c r="R37" s="3535">
        <f>E37</f>
        <v>0</v>
      </c>
      <c r="S37" s="3535"/>
      <c r="T37" s="3535">
        <f>G37</f>
        <v>0</v>
      </c>
      <c r="U37" s="3535"/>
      <c r="V37" s="3535">
        <f>I37</f>
        <v>0</v>
      </c>
      <c r="W37" s="3535"/>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34" t="str">
        <f>A38</f>
        <v>比较价值（元/平方米）</v>
      </c>
      <c r="Q38" s="3534"/>
      <c r="R38" s="3535" t="e">
        <f>IF(F1="售价",ROUND(PRODUCT(R37,AA7:AA36),0),ROUND(PRODUCT(R37,AA7:AA36),1))</f>
        <v>#DIV/0!</v>
      </c>
      <c r="S38" s="3535"/>
      <c r="T38" s="3535" t="e">
        <f>IF(F1="售价",ROUND(PRODUCT(T37,AB7:AB36),0),ROUND(PRODUCT(T37,AB7:AB36),1))</f>
        <v>#DIV/0!</v>
      </c>
      <c r="U38" s="3535"/>
      <c r="V38" s="3535" t="e">
        <f>IF(F1="售价",ROUND(PRODUCT(V37,AC7:AC36),0),ROUND(PRODUCT(V37,AC7:AC36),1))</f>
        <v>#DIV/0!</v>
      </c>
      <c r="W38" s="3535"/>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31" t="str">
        <f>A39</f>
        <v>估价对象XX用房的比较价值（楼面单价，元/平方米）</v>
      </c>
      <c r="Q39" s="3532"/>
      <c r="R39" s="3594" t="e">
        <f>IF(F1="售价",ROUND(IF(D38="简单平均",AVERAGE(R38:W38),R38*F38+T38*H38+V38*J38),0),ROUND(IF(D38="简单平均",AVERAGE(R38:V38),R38*F38+T38*H38+V38*J38),1))</f>
        <v>#DIV/0!</v>
      </c>
      <c r="S39" s="3594"/>
      <c r="T39" s="3594"/>
      <c r="U39" s="3594"/>
      <c r="V39" s="3594"/>
      <c r="W39" s="3594"/>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2010-3</v>
      </c>
      <c r="D48" s="1101">
        <f>EDATE(C48,-1)</f>
        <v>40210</v>
      </c>
      <c r="E48" s="1101">
        <f t="shared" ref="E48:O48" si="13">EDATE(D48,-1)</f>
        <v>40179</v>
      </c>
      <c r="F48" s="1101">
        <f t="shared" si="13"/>
        <v>40148</v>
      </c>
      <c r="G48" s="1101">
        <f t="shared" si="13"/>
        <v>40118</v>
      </c>
      <c r="H48" s="1101">
        <f t="shared" si="13"/>
        <v>40087</v>
      </c>
      <c r="I48" s="1101">
        <f t="shared" si="13"/>
        <v>40057</v>
      </c>
      <c r="J48" s="1101">
        <f t="shared" si="13"/>
        <v>40026</v>
      </c>
      <c r="K48" s="1101">
        <f t="shared" si="13"/>
        <v>39995</v>
      </c>
      <c r="L48" s="1101">
        <f t="shared" si="13"/>
        <v>39965</v>
      </c>
      <c r="M48" s="1101">
        <f t="shared" si="13"/>
        <v>39934</v>
      </c>
      <c r="N48" s="1101">
        <f t="shared" si="13"/>
        <v>39904</v>
      </c>
      <c r="O48" s="1101">
        <f t="shared" si="13"/>
        <v>39873</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估价对象为北京市房地产,属开发建设的，该项目尚在开发建设中。根据《国有土地使用证》[]，估价对象（分摊）出让国有建设用地使用权面积为0平方米，规划建筑面积为61.85平方米。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2010年3月31日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59" t="s">
        <v>1767</v>
      </c>
      <c r="S4" s="3560"/>
      <c r="T4" s="3559" t="s">
        <v>1768</v>
      </c>
      <c r="U4" s="3560"/>
      <c r="V4" s="3535" t="s">
        <v>1769</v>
      </c>
      <c r="W4" s="3535"/>
      <c r="X4" s="1262"/>
      <c r="Y4" s="3559" t="s">
        <v>1771</v>
      </c>
      <c r="Z4" s="3560"/>
      <c r="AA4" s="3546" t="s">
        <v>1767</v>
      </c>
      <c r="AB4" s="3547" t="s">
        <v>1768</v>
      </c>
      <c r="AC4" s="3546" t="s">
        <v>1769</v>
      </c>
    </row>
    <row r="5" spans="1:29" ht="15">
      <c r="A5" s="346"/>
      <c r="B5" s="347"/>
      <c r="C5" s="3576" t="s">
        <v>1673</v>
      </c>
      <c r="D5" s="3573"/>
      <c r="E5" s="3577" t="s">
        <v>1674</v>
      </c>
      <c r="F5" s="3568"/>
      <c r="G5" s="3576" t="s">
        <v>1675</v>
      </c>
      <c r="H5" s="3573"/>
      <c r="I5" s="3576" t="s">
        <v>1676</v>
      </c>
      <c r="J5" s="3573"/>
      <c r="K5" s="535"/>
      <c r="L5" s="2480"/>
      <c r="M5" s="2481"/>
      <c r="N5" s="2481"/>
      <c r="O5" s="2481"/>
      <c r="P5" s="3555"/>
      <c r="Q5" s="3556"/>
      <c r="R5" s="3561"/>
      <c r="S5" s="3562"/>
      <c r="T5" s="3561"/>
      <c r="U5" s="3562"/>
      <c r="V5" s="3535"/>
      <c r="W5" s="3535"/>
      <c r="X5" s="1262"/>
      <c r="Y5" s="3561"/>
      <c r="Z5" s="3562"/>
      <c r="AA5" s="3547"/>
      <c r="AB5" s="3547"/>
      <c r="AC5" s="3547"/>
    </row>
    <row r="6" spans="1:29" ht="15.75" thickBot="1">
      <c r="A6" s="348"/>
      <c r="B6" s="349"/>
      <c r="C6" s="3565" t="s">
        <v>1677</v>
      </c>
      <c r="D6" s="3566"/>
      <c r="E6" s="3574" t="s">
        <v>1677</v>
      </c>
      <c r="F6" s="3575"/>
      <c r="G6" s="3565" t="s">
        <v>1677</v>
      </c>
      <c r="H6" s="3566"/>
      <c r="I6" s="3565" t="s">
        <v>1677</v>
      </c>
      <c r="J6" s="3566"/>
      <c r="K6" s="535" t="s">
        <v>1678</v>
      </c>
      <c r="L6" s="2480"/>
      <c r="M6" s="2481"/>
      <c r="N6" s="2481"/>
      <c r="O6" s="2481"/>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69" t="s">
        <v>1680</v>
      </c>
      <c r="Q7" s="3571"/>
      <c r="R7" s="662" t="s">
        <v>14</v>
      </c>
      <c r="S7" s="663">
        <f t="shared" ref="S7:S14" si="0">F7</f>
        <v>0</v>
      </c>
      <c r="T7" s="662" t="s">
        <v>14</v>
      </c>
      <c r="U7" s="663">
        <f t="shared" ref="U7:U14" si="1">H7</f>
        <v>0</v>
      </c>
      <c r="V7" s="662" t="s">
        <v>14</v>
      </c>
      <c r="W7" s="663">
        <f t="shared" ref="W7:W14" si="2">J7</f>
        <v>0</v>
      </c>
      <c r="X7" s="664"/>
      <c r="Y7" s="3569" t="s">
        <v>1680</v>
      </c>
      <c r="Z7" s="3570"/>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69" t="s">
        <v>1683</v>
      </c>
      <c r="Q8" s="3570"/>
      <c r="R8" s="662" t="s">
        <v>14</v>
      </c>
      <c r="S8" s="663">
        <f t="shared" si="0"/>
        <v>100</v>
      </c>
      <c r="T8" s="662" t="s">
        <v>14</v>
      </c>
      <c r="U8" s="663">
        <f t="shared" si="1"/>
        <v>100</v>
      </c>
      <c r="V8" s="662" t="s">
        <v>14</v>
      </c>
      <c r="W8" s="663">
        <f t="shared" si="2"/>
        <v>100</v>
      </c>
      <c r="X8" s="664"/>
      <c r="Y8" s="3569" t="s">
        <v>1683</v>
      </c>
      <c r="Z8" s="3570"/>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34" t="s">
        <v>1686</v>
      </c>
      <c r="Q9" s="528" t="str">
        <f t="shared" ref="Q9:Q14" si="6">B9</f>
        <v>用途</v>
      </c>
      <c r="R9" s="662" t="s">
        <v>14</v>
      </c>
      <c r="S9" s="663">
        <f t="shared" si="0"/>
        <v>100</v>
      </c>
      <c r="T9" s="662" t="s">
        <v>14</v>
      </c>
      <c r="U9" s="663">
        <f t="shared" si="1"/>
        <v>100</v>
      </c>
      <c r="V9" s="662" t="s">
        <v>14</v>
      </c>
      <c r="W9" s="663">
        <f t="shared" si="2"/>
        <v>100</v>
      </c>
      <c r="X9" s="664"/>
      <c r="Y9" s="3409"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34"/>
      <c r="Q10" s="528" t="str">
        <f t="shared" si="6"/>
        <v>土地使用年限（年）</v>
      </c>
      <c r="R10" s="662" t="s">
        <v>14</v>
      </c>
      <c r="S10" s="663">
        <f t="shared" si="0"/>
        <v>100</v>
      </c>
      <c r="T10" s="662" t="s">
        <v>14</v>
      </c>
      <c r="U10" s="663">
        <f t="shared" si="1"/>
        <v>100</v>
      </c>
      <c r="V10" s="662" t="s">
        <v>14</v>
      </c>
      <c r="W10" s="663">
        <f t="shared" si="2"/>
        <v>100</v>
      </c>
      <c r="X10" s="664"/>
      <c r="Y10" s="340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34"/>
      <c r="Q11" s="528">
        <f t="shared" si="6"/>
        <v>111</v>
      </c>
      <c r="R11" s="662" t="s">
        <v>14</v>
      </c>
      <c r="S11" s="663">
        <f t="shared" si="0"/>
        <v>100</v>
      </c>
      <c r="T11" s="662" t="s">
        <v>14</v>
      </c>
      <c r="U11" s="663">
        <f t="shared" si="1"/>
        <v>100</v>
      </c>
      <c r="V11" s="662" t="s">
        <v>14</v>
      </c>
      <c r="W11" s="663">
        <f t="shared" si="2"/>
        <v>100</v>
      </c>
      <c r="X11" s="664"/>
      <c r="Y11" s="3409"/>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34"/>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34"/>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50">
        <f t="shared" si="5"/>
        <v>1</v>
      </c>
    </row>
    <row r="14" spans="1:29" ht="99.75">
      <c r="A14" s="377" t="s">
        <v>1690</v>
      </c>
      <c r="B14" s="58" t="s">
        <v>1829</v>
      </c>
      <c r="C14" s="1813" t="str">
        <f>IF(B1="工业",估价对象房地状况!G4,估价对象房地状况!C6)</f>
        <v>周边有104路、119路、125路、430路等多条公交线路及地铁5号线和平里北街站，综合评价交通便捷度较好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36" t="s">
        <v>1691</v>
      </c>
      <c r="Q14" s="1260" t="str">
        <f t="shared" si="6"/>
        <v>交通便捷度</v>
      </c>
      <c r="R14" s="665" t="s">
        <v>14</v>
      </c>
      <c r="S14" s="666">
        <f t="shared" si="0"/>
        <v>100</v>
      </c>
      <c r="T14" s="665" t="s">
        <v>14</v>
      </c>
      <c r="U14" s="666">
        <f t="shared" si="1"/>
        <v>100</v>
      </c>
      <c r="V14" s="665" t="s">
        <v>14</v>
      </c>
      <c r="W14" s="666">
        <f t="shared" si="2"/>
        <v>100</v>
      </c>
      <c r="X14" s="1262"/>
      <c r="Y14" s="353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37"/>
      <c r="Q15" s="1260"/>
      <c r="R15" s="665"/>
      <c r="S15" s="666"/>
      <c r="T15" s="665"/>
      <c r="U15" s="666"/>
      <c r="V15" s="665"/>
      <c r="W15" s="666"/>
      <c r="X15" s="1262"/>
      <c r="Y15" s="3537"/>
      <c r="Z15" s="1261"/>
      <c r="AA15" s="1261">
        <v>1</v>
      </c>
      <c r="AB15" s="1261">
        <v>1</v>
      </c>
      <c r="AC15" s="1261">
        <v>1</v>
      </c>
    </row>
    <row r="16" spans="1:29" ht="228">
      <c r="A16" s="365"/>
      <c r="B16" s="388"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37"/>
      <c r="Q16" s="1260" t="str">
        <f>B16</f>
        <v>公共配套设施</v>
      </c>
      <c r="R16" s="665" t="s">
        <v>14</v>
      </c>
      <c r="S16" s="666">
        <f>F16</f>
        <v>100</v>
      </c>
      <c r="T16" s="665" t="s">
        <v>14</v>
      </c>
      <c r="U16" s="666">
        <f>H16</f>
        <v>100</v>
      </c>
      <c r="V16" s="665" t="s">
        <v>14</v>
      </c>
      <c r="W16" s="666">
        <f>J16</f>
        <v>100</v>
      </c>
      <c r="X16" s="1262"/>
      <c r="Y16" s="3537"/>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37"/>
      <c r="Q17" s="1260"/>
      <c r="R17" s="665"/>
      <c r="S17" s="666"/>
      <c r="T17" s="665"/>
      <c r="U17" s="666"/>
      <c r="V17" s="665"/>
      <c r="W17" s="666"/>
      <c r="X17" s="1262"/>
      <c r="Y17" s="3537"/>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37"/>
      <c r="Q18" s="1260" t="str">
        <f>B18</f>
        <v>基础设施水平</v>
      </c>
      <c r="R18" s="665" t="s">
        <v>14</v>
      </c>
      <c r="S18" s="666">
        <f>F18</f>
        <v>100</v>
      </c>
      <c r="T18" s="665" t="s">
        <v>14</v>
      </c>
      <c r="U18" s="666">
        <f>H18</f>
        <v>100</v>
      </c>
      <c r="V18" s="665" t="s">
        <v>14</v>
      </c>
      <c r="W18" s="666">
        <f>J18</f>
        <v>100</v>
      </c>
      <c r="X18" s="1262"/>
      <c r="Y18" s="3537"/>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37"/>
      <c r="Q19" s="1260"/>
      <c r="R19" s="665"/>
      <c r="S19" s="666"/>
      <c r="T19" s="665"/>
      <c r="U19" s="666"/>
      <c r="V19" s="665"/>
      <c r="W19" s="666"/>
      <c r="X19" s="1262"/>
      <c r="Y19" s="3537"/>
      <c r="Z19" s="1261"/>
      <c r="AA19" s="1261">
        <v>1</v>
      </c>
      <c r="AB19" s="1261">
        <v>1</v>
      </c>
      <c r="AC19" s="1261">
        <v>1</v>
      </c>
    </row>
    <row r="20" spans="1:29" ht="114">
      <c r="A20" s="365"/>
      <c r="B20" s="388"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37"/>
      <c r="Q20" s="1260" t="str">
        <f>B20</f>
        <v>自然及人文环境</v>
      </c>
      <c r="R20" s="665" t="s">
        <v>14</v>
      </c>
      <c r="S20" s="666">
        <f>F20</f>
        <v>100</v>
      </c>
      <c r="T20" s="665" t="s">
        <v>14</v>
      </c>
      <c r="U20" s="666">
        <f>H20</f>
        <v>100</v>
      </c>
      <c r="V20" s="665" t="s">
        <v>14</v>
      </c>
      <c r="W20" s="666">
        <f>J20</f>
        <v>100</v>
      </c>
      <c r="X20" s="1262"/>
      <c r="Y20" s="353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37"/>
      <c r="Q21" s="1260"/>
      <c r="R21" s="665"/>
      <c r="S21" s="666"/>
      <c r="T21" s="665"/>
      <c r="U21" s="666"/>
      <c r="V21" s="665"/>
      <c r="W21" s="666"/>
      <c r="X21" s="1262"/>
      <c r="Y21" s="3537"/>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37"/>
      <c r="Q22" s="1260" t="str">
        <f>B22</f>
        <v>楼层</v>
      </c>
      <c r="R22" s="665" t="s">
        <v>14</v>
      </c>
      <c r="S22" s="666">
        <f>F22</f>
        <v>100</v>
      </c>
      <c r="T22" s="665" t="s">
        <v>14</v>
      </c>
      <c r="U22" s="666">
        <f>H22</f>
        <v>100</v>
      </c>
      <c r="V22" s="665" t="s">
        <v>14</v>
      </c>
      <c r="W22" s="666">
        <f>J22</f>
        <v>100</v>
      </c>
      <c r="X22" s="1262"/>
      <c r="Y22" s="353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37"/>
      <c r="Q23" s="1260">
        <f>B23</f>
        <v>111</v>
      </c>
      <c r="R23" s="665" t="s">
        <v>14</v>
      </c>
      <c r="S23" s="666">
        <f>F23</f>
        <v>100</v>
      </c>
      <c r="T23" s="665" t="s">
        <v>14</v>
      </c>
      <c r="U23" s="666">
        <f>H23</f>
        <v>100</v>
      </c>
      <c r="V23" s="665" t="s">
        <v>14</v>
      </c>
      <c r="W23" s="666">
        <f>J23</f>
        <v>100</v>
      </c>
      <c r="X23" s="1262"/>
      <c r="Y23" s="353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37"/>
      <c r="Q24" s="1260">
        <f t="shared" ref="Q24:Q34" si="8">B24</f>
        <v>111</v>
      </c>
      <c r="R24" s="665" t="s">
        <v>14</v>
      </c>
      <c r="S24" s="666">
        <f>F24</f>
        <v>100</v>
      </c>
      <c r="T24" s="665" t="s">
        <v>14</v>
      </c>
      <c r="U24" s="666">
        <f>H24</f>
        <v>100</v>
      </c>
      <c r="V24" s="665" t="s">
        <v>14</v>
      </c>
      <c r="W24" s="666">
        <f>J24</f>
        <v>100</v>
      </c>
      <c r="X24" s="1262"/>
      <c r="Y24" s="3537"/>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37"/>
      <c r="Q25" s="528">
        <f t="shared" si="8"/>
        <v>111</v>
      </c>
      <c r="R25" s="662" t="s">
        <v>14</v>
      </c>
      <c r="S25" s="663">
        <f>F25</f>
        <v>100</v>
      </c>
      <c r="T25" s="662" t="s">
        <v>14</v>
      </c>
      <c r="U25" s="663">
        <f>H25</f>
        <v>100</v>
      </c>
      <c r="V25" s="662" t="s">
        <v>14</v>
      </c>
      <c r="W25" s="663">
        <f>J25</f>
        <v>100</v>
      </c>
      <c r="X25" s="664"/>
      <c r="Y25" s="3537"/>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593"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41"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41"/>
      <c r="Q27" s="529" t="str">
        <f t="shared" si="8"/>
        <v>成新率</v>
      </c>
      <c r="R27" s="667" t="s">
        <v>14</v>
      </c>
      <c r="S27" s="668" t="e">
        <f t="shared" si="9"/>
        <v>#N/A</v>
      </c>
      <c r="T27" s="667" t="s">
        <v>14</v>
      </c>
      <c r="U27" s="668" t="e">
        <f t="shared" si="10"/>
        <v>#N/A</v>
      </c>
      <c r="V27" s="667" t="s">
        <v>14</v>
      </c>
      <c r="W27" s="668" t="e">
        <f t="shared" si="11"/>
        <v>#N/A</v>
      </c>
      <c r="X27" s="669"/>
      <c r="Y27" s="3541"/>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41"/>
      <c r="Q28" s="1260" t="str">
        <f t="shared" si="8"/>
        <v>物业等级</v>
      </c>
      <c r="R28" s="665" t="s">
        <v>14</v>
      </c>
      <c r="S28" s="666">
        <f t="shared" si="9"/>
        <v>100</v>
      </c>
      <c r="T28" s="665" t="s">
        <v>14</v>
      </c>
      <c r="U28" s="666">
        <f t="shared" si="10"/>
        <v>100</v>
      </c>
      <c r="V28" s="665" t="s">
        <v>14</v>
      </c>
      <c r="W28" s="666">
        <f t="shared" si="11"/>
        <v>100</v>
      </c>
      <c r="X28" s="1262"/>
      <c r="Y28" s="3541"/>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41"/>
      <c r="Q29" s="1260" t="str">
        <f t="shared" si="8"/>
        <v>有无电梯</v>
      </c>
      <c r="R29" s="665" t="s">
        <v>14</v>
      </c>
      <c r="S29" s="666">
        <f t="shared" si="9"/>
        <v>100</v>
      </c>
      <c r="T29" s="665" t="s">
        <v>14</v>
      </c>
      <c r="U29" s="666">
        <f t="shared" si="10"/>
        <v>100</v>
      </c>
      <c r="V29" s="665" t="s">
        <v>14</v>
      </c>
      <c r="W29" s="666">
        <f t="shared" si="11"/>
        <v>100</v>
      </c>
      <c r="X29" s="1262"/>
      <c r="Y29" s="3541"/>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41"/>
      <c r="Q30" s="1260" t="str">
        <f t="shared" si="8"/>
        <v>建筑面积</v>
      </c>
      <c r="R30" s="665" t="s">
        <v>14</v>
      </c>
      <c r="S30" s="666" t="e">
        <f t="shared" si="9"/>
        <v>#N/A</v>
      </c>
      <c r="T30" s="665" t="s">
        <v>14</v>
      </c>
      <c r="U30" s="666" t="e">
        <f t="shared" si="10"/>
        <v>#N/A</v>
      </c>
      <c r="V30" s="665" t="s">
        <v>14</v>
      </c>
      <c r="W30" s="666" t="e">
        <f t="shared" si="11"/>
        <v>#N/A</v>
      </c>
      <c r="X30" s="1262"/>
      <c r="Y30" s="3541"/>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41"/>
      <c r="Q31" s="528" t="str">
        <f t="shared" si="8"/>
        <v>是否封闭</v>
      </c>
      <c r="R31" s="662" t="s">
        <v>14</v>
      </c>
      <c r="S31" s="663">
        <f t="shared" si="9"/>
        <v>100</v>
      </c>
      <c r="T31" s="662" t="s">
        <v>14</v>
      </c>
      <c r="U31" s="663">
        <f t="shared" si="10"/>
        <v>100</v>
      </c>
      <c r="V31" s="662" t="s">
        <v>14</v>
      </c>
      <c r="W31" s="663">
        <f t="shared" si="11"/>
        <v>100</v>
      </c>
      <c r="X31" s="664"/>
      <c r="Y31" s="3541"/>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41" t="s">
        <v>1696</v>
      </c>
      <c r="Q32" s="1260">
        <f t="shared" si="8"/>
        <v>111</v>
      </c>
      <c r="R32" s="665" t="s">
        <v>14</v>
      </c>
      <c r="S32" s="666">
        <f t="shared" si="9"/>
        <v>100</v>
      </c>
      <c r="T32" s="665" t="s">
        <v>14</v>
      </c>
      <c r="U32" s="666">
        <f t="shared" si="10"/>
        <v>100</v>
      </c>
      <c r="V32" s="665" t="s">
        <v>14</v>
      </c>
      <c r="W32" s="666">
        <f t="shared" si="11"/>
        <v>100</v>
      </c>
      <c r="X32" s="1262"/>
      <c r="Y32" s="3541"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41"/>
      <c r="Q33" s="1260">
        <f t="shared" si="8"/>
        <v>111</v>
      </c>
      <c r="R33" s="665" t="s">
        <v>14</v>
      </c>
      <c r="S33" s="666">
        <f t="shared" si="9"/>
        <v>100</v>
      </c>
      <c r="T33" s="665" t="s">
        <v>14</v>
      </c>
      <c r="U33" s="666">
        <f t="shared" si="10"/>
        <v>100</v>
      </c>
      <c r="V33" s="665" t="s">
        <v>14</v>
      </c>
      <c r="W33" s="666">
        <f t="shared" si="11"/>
        <v>100</v>
      </c>
      <c r="X33" s="1262"/>
      <c r="Y33" s="3541"/>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41"/>
      <c r="Q34" s="1260">
        <f t="shared" si="8"/>
        <v>111</v>
      </c>
      <c r="R34" s="665" t="s">
        <v>14</v>
      </c>
      <c r="S34" s="666">
        <f t="shared" si="9"/>
        <v>100</v>
      </c>
      <c r="T34" s="665" t="s">
        <v>14</v>
      </c>
      <c r="U34" s="666">
        <f t="shared" si="10"/>
        <v>100</v>
      </c>
      <c r="V34" s="665" t="s">
        <v>14</v>
      </c>
      <c r="W34" s="666">
        <f t="shared" si="11"/>
        <v>100</v>
      </c>
      <c r="X34" s="1262"/>
      <c r="Y34" s="3541"/>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34" t="str">
        <f>A35</f>
        <v>成交单价（元/平方米）</v>
      </c>
      <c r="Q35" s="3534"/>
      <c r="R35" s="3535">
        <f>E35</f>
        <v>0</v>
      </c>
      <c r="S35" s="3535"/>
      <c r="T35" s="3535">
        <f>G35</f>
        <v>0</v>
      </c>
      <c r="U35" s="3535"/>
      <c r="V35" s="3535">
        <f>I35</f>
        <v>0</v>
      </c>
      <c r="W35" s="3535"/>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34" t="str">
        <f>A36</f>
        <v>比较价值（元/平方米）</v>
      </c>
      <c r="Q36" s="3534"/>
      <c r="R36" s="3535" t="e">
        <f>IF(F1="售价",ROUND(PRODUCT(R35,AA7:AA34),0),ROUND(PRODUCT(R35,AA7:AA34),1))</f>
        <v>#DIV/0!</v>
      </c>
      <c r="S36" s="3535"/>
      <c r="T36" s="3535" t="e">
        <f>IF(F1="售价",ROUND(PRODUCT(T35,AB7:AB34),0),ROUND(PRODUCT(T35,AB7:AB34),1))</f>
        <v>#DIV/0!</v>
      </c>
      <c r="U36" s="3535"/>
      <c r="V36" s="3535" t="e">
        <f>IF(F1="售价",ROUND(PRODUCT(V35,AC7:AC34),0),ROUND(PRODUCT(V35,AC7:AC34),1))</f>
        <v>#DIV/0!</v>
      </c>
      <c r="W36" s="3535"/>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31" t="str">
        <f>A37</f>
        <v>估价对象XX用房的比较价值（楼面单价，元/平方米）</v>
      </c>
      <c r="Q37" s="3532"/>
      <c r="R37" s="3594" t="e">
        <f>IF(F1="售价",ROUND(IF(D36="简单平均",AVERAGE(R36:W36),R36*F36+T36*H36+V36*J36),0),ROUND(IF(D36="简单平均",AVERAGE(R36:V36),R36*F36+T36*H36+V36*J36),1))</f>
        <v>#DIV/0!</v>
      </c>
      <c r="S37" s="3594"/>
      <c r="T37" s="3594"/>
      <c r="U37" s="3594"/>
      <c r="V37" s="3594"/>
      <c r="W37" s="3594"/>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2010-3</v>
      </c>
      <c r="D46" s="1101">
        <f>EDATE(C46,-1)</f>
        <v>40210</v>
      </c>
      <c r="E46" s="1101">
        <f t="shared" ref="E46:O46" si="13">EDATE(D46,-1)</f>
        <v>40179</v>
      </c>
      <c r="F46" s="1101">
        <f t="shared" si="13"/>
        <v>40148</v>
      </c>
      <c r="G46" s="1101">
        <f t="shared" si="13"/>
        <v>40118</v>
      </c>
      <c r="H46" s="1101">
        <f t="shared" si="13"/>
        <v>40087</v>
      </c>
      <c r="I46" s="1101">
        <f t="shared" si="13"/>
        <v>40057</v>
      </c>
      <c r="J46" s="1101">
        <f t="shared" si="13"/>
        <v>40026</v>
      </c>
      <c r="K46" s="1101">
        <f t="shared" si="13"/>
        <v>39995</v>
      </c>
      <c r="L46" s="1101">
        <f t="shared" si="13"/>
        <v>39965</v>
      </c>
      <c r="M46" s="1101">
        <f t="shared" si="13"/>
        <v>39934</v>
      </c>
      <c r="N46" s="1101">
        <f t="shared" si="13"/>
        <v>39904</v>
      </c>
      <c r="O46" s="1101">
        <f t="shared" si="13"/>
        <v>39873</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59" t="s">
        <v>1767</v>
      </c>
      <c r="S4" s="3560"/>
      <c r="T4" s="3559" t="s">
        <v>1768</v>
      </c>
      <c r="U4" s="3560"/>
      <c r="V4" s="3535" t="s">
        <v>1769</v>
      </c>
      <c r="W4" s="3535"/>
      <c r="X4" s="1262"/>
      <c r="Y4" s="3559" t="s">
        <v>1771</v>
      </c>
      <c r="Z4" s="3560"/>
      <c r="AA4" s="3546" t="s">
        <v>1767</v>
      </c>
      <c r="AB4" s="3547" t="s">
        <v>1768</v>
      </c>
      <c r="AC4" s="3546" t="s">
        <v>1769</v>
      </c>
    </row>
    <row r="5" spans="1:29" ht="15">
      <c r="A5" s="346"/>
      <c r="B5" s="347"/>
      <c r="C5" s="3576" t="s">
        <v>1673</v>
      </c>
      <c r="D5" s="3573"/>
      <c r="E5" s="3577" t="s">
        <v>1674</v>
      </c>
      <c r="F5" s="3568"/>
      <c r="G5" s="3576" t="s">
        <v>1675</v>
      </c>
      <c r="H5" s="3573"/>
      <c r="I5" s="3576" t="s">
        <v>1676</v>
      </c>
      <c r="J5" s="3573"/>
      <c r="K5" s="535"/>
      <c r="L5" s="2480"/>
      <c r="M5" s="2481"/>
      <c r="N5" s="2481"/>
      <c r="O5" s="2481"/>
      <c r="P5" s="3555"/>
      <c r="Q5" s="3556"/>
      <c r="R5" s="3561"/>
      <c r="S5" s="3562"/>
      <c r="T5" s="3561"/>
      <c r="U5" s="3562"/>
      <c r="V5" s="3535"/>
      <c r="W5" s="3535"/>
      <c r="X5" s="1262"/>
      <c r="Y5" s="3561"/>
      <c r="Z5" s="3562"/>
      <c r="AA5" s="3547"/>
      <c r="AB5" s="3547"/>
      <c r="AC5" s="3547"/>
    </row>
    <row r="6" spans="1:29" ht="15.75" thickBot="1">
      <c r="A6" s="348"/>
      <c r="B6" s="349"/>
      <c r="C6" s="3565" t="s">
        <v>1677</v>
      </c>
      <c r="D6" s="3566"/>
      <c r="E6" s="3574" t="s">
        <v>1677</v>
      </c>
      <c r="F6" s="3575"/>
      <c r="G6" s="3565" t="s">
        <v>1677</v>
      </c>
      <c r="H6" s="3566"/>
      <c r="I6" s="3565" t="s">
        <v>1677</v>
      </c>
      <c r="J6" s="3566"/>
      <c r="K6" s="535" t="s">
        <v>1678</v>
      </c>
      <c r="L6" s="2480"/>
      <c r="M6" s="2481"/>
      <c r="N6" s="2481"/>
      <c r="O6" s="2481"/>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69" t="s">
        <v>1680</v>
      </c>
      <c r="Q7" s="3571"/>
      <c r="R7" s="662" t="s">
        <v>14</v>
      </c>
      <c r="S7" s="663">
        <f t="shared" ref="S7:S15" si="0">F7</f>
        <v>0</v>
      </c>
      <c r="T7" s="662" t="s">
        <v>14</v>
      </c>
      <c r="U7" s="663">
        <f t="shared" ref="U7:U15" si="1">H7</f>
        <v>0</v>
      </c>
      <c r="V7" s="662" t="s">
        <v>14</v>
      </c>
      <c r="W7" s="663">
        <f t="shared" ref="W7:W15" si="2">J7</f>
        <v>0</v>
      </c>
      <c r="X7" s="664"/>
      <c r="Y7" s="3569" t="s">
        <v>1680</v>
      </c>
      <c r="Z7" s="3570"/>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69" t="s">
        <v>1683</v>
      </c>
      <c r="Q8" s="3570"/>
      <c r="R8" s="662" t="s">
        <v>14</v>
      </c>
      <c r="S8" s="663">
        <f t="shared" si="0"/>
        <v>0</v>
      </c>
      <c r="T8" s="662" t="s">
        <v>14</v>
      </c>
      <c r="U8" s="663">
        <f t="shared" si="1"/>
        <v>0</v>
      </c>
      <c r="V8" s="662" t="s">
        <v>14</v>
      </c>
      <c r="W8" s="663">
        <f t="shared" si="2"/>
        <v>0</v>
      </c>
      <c r="X8" s="664"/>
      <c r="Y8" s="3569" t="s">
        <v>1683</v>
      </c>
      <c r="Z8" s="3570"/>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34"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t="e">
        <f>ROUND(100/'数据-取费表'!G16,0)</f>
        <v>#DIV/0!</v>
      </c>
      <c r="G10" s="400"/>
      <c r="H10" s="117" t="e">
        <f>ROUND(100/'数据-取费表'!G16,0)</f>
        <v>#DIV/0!</v>
      </c>
      <c r="I10" s="400"/>
      <c r="J10" s="117" t="e">
        <f>ROUND(100/'数据-取费表'!G16,0)</f>
        <v>#DIV/0!</v>
      </c>
      <c r="K10" s="590"/>
      <c r="L10" s="2483"/>
      <c r="M10" s="2484"/>
      <c r="N10" s="2484"/>
      <c r="O10" s="2535"/>
      <c r="P10" s="3534"/>
      <c r="Q10" s="528" t="str">
        <f t="shared" si="6"/>
        <v>土地使用年限（年）</v>
      </c>
      <c r="R10" s="662" t="s">
        <v>14</v>
      </c>
      <c r="S10" s="663" t="e">
        <f t="shared" si="0"/>
        <v>#DIV/0!</v>
      </c>
      <c r="T10" s="662" t="s">
        <v>14</v>
      </c>
      <c r="U10" s="663" t="e">
        <f t="shared" si="1"/>
        <v>#DIV/0!</v>
      </c>
      <c r="V10" s="662" t="s">
        <v>14</v>
      </c>
      <c r="W10" s="663" t="e">
        <f t="shared" si="2"/>
        <v>#DIV/0!</v>
      </c>
      <c r="X10" s="664"/>
      <c r="Y10" s="3409"/>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34"/>
      <c r="Q11" s="528" t="str">
        <f t="shared" si="6"/>
        <v>容积率</v>
      </c>
      <c r="R11" s="662" t="s">
        <v>14</v>
      </c>
      <c r="S11" s="663" t="e">
        <f t="shared" si="0"/>
        <v>#N/A</v>
      </c>
      <c r="T11" s="662" t="s">
        <v>14</v>
      </c>
      <c r="U11" s="663" t="e">
        <f t="shared" si="1"/>
        <v>#N/A</v>
      </c>
      <c r="V11" s="662" t="s">
        <v>14</v>
      </c>
      <c r="W11" s="663" t="e">
        <f t="shared" si="2"/>
        <v>#N/A</v>
      </c>
      <c r="X11" s="664"/>
      <c r="Y11" s="3409"/>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34"/>
      <c r="Q12" s="528" t="str">
        <f t="shared" si="6"/>
        <v>配建</v>
      </c>
      <c r="R12" s="662" t="s">
        <v>14</v>
      </c>
      <c r="S12" s="663">
        <f t="shared" si="0"/>
        <v>100</v>
      </c>
      <c r="T12" s="662" t="s">
        <v>14</v>
      </c>
      <c r="U12" s="663">
        <f t="shared" si="1"/>
        <v>100</v>
      </c>
      <c r="V12" s="662" t="s">
        <v>14</v>
      </c>
      <c r="W12" s="663">
        <f t="shared" si="2"/>
        <v>100</v>
      </c>
      <c r="X12" s="664"/>
      <c r="Y12" s="340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34"/>
      <c r="Q13" s="528">
        <f t="shared" si="6"/>
        <v>111</v>
      </c>
      <c r="R13" s="662" t="s">
        <v>14</v>
      </c>
      <c r="S13" s="663">
        <f t="shared" si="0"/>
        <v>100</v>
      </c>
      <c r="T13" s="662" t="s">
        <v>14</v>
      </c>
      <c r="U13" s="663">
        <f t="shared" si="1"/>
        <v>100</v>
      </c>
      <c r="V13" s="662" t="s">
        <v>14</v>
      </c>
      <c r="W13" s="663">
        <f t="shared" si="2"/>
        <v>100</v>
      </c>
      <c r="X13" s="664"/>
      <c r="Y13" s="3409"/>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34"/>
      <c r="Q14" s="528">
        <f t="shared" si="6"/>
        <v>111</v>
      </c>
      <c r="R14" s="662" t="s">
        <v>14</v>
      </c>
      <c r="S14" s="663">
        <f t="shared" si="0"/>
        <v>100</v>
      </c>
      <c r="T14" s="662" t="s">
        <v>14</v>
      </c>
      <c r="U14" s="663">
        <f t="shared" si="1"/>
        <v>100</v>
      </c>
      <c r="V14" s="662" t="s">
        <v>14</v>
      </c>
      <c r="W14" s="663">
        <f t="shared" si="2"/>
        <v>100</v>
      </c>
      <c r="X14" s="664"/>
      <c r="Y14" s="3409"/>
      <c r="Z14" s="50">
        <f t="shared" si="7"/>
        <v>111</v>
      </c>
      <c r="AA14" s="50">
        <f>D14/F14</f>
        <v>1</v>
      </c>
      <c r="AB14" s="50">
        <f>D14/H14</f>
        <v>1</v>
      </c>
      <c r="AC14" s="50">
        <f>D14/J14</f>
        <v>1</v>
      </c>
    </row>
    <row r="15" spans="1:29" ht="99.75">
      <c r="A15" s="377" t="s">
        <v>1690</v>
      </c>
      <c r="B15" s="58" t="s">
        <v>1257</v>
      </c>
      <c r="C15" s="1746" t="str">
        <f>估价对象房地状况!C15</f>
        <v>周边有和平里社区、青年湖小区、青年湖北里、小黄庄前街2号院等住宅小区，居住社区成熟度较好。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36" t="s">
        <v>1691</v>
      </c>
      <c r="Q15" s="1260" t="str">
        <f t="shared" si="6"/>
        <v>居住社区成熟度</v>
      </c>
      <c r="R15" s="665" t="s">
        <v>14</v>
      </c>
      <c r="S15" s="666">
        <f t="shared" si="0"/>
        <v>100</v>
      </c>
      <c r="T15" s="665" t="s">
        <v>14</v>
      </c>
      <c r="U15" s="666">
        <f t="shared" si="1"/>
        <v>100</v>
      </c>
      <c r="V15" s="665" t="s">
        <v>14</v>
      </c>
      <c r="W15" s="666">
        <f t="shared" si="2"/>
        <v>100</v>
      </c>
      <c r="X15" s="1262"/>
      <c r="Y15" s="353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37"/>
      <c r="Q16" s="1260"/>
      <c r="R16" s="665"/>
      <c r="S16" s="666"/>
      <c r="T16" s="665"/>
      <c r="U16" s="666"/>
      <c r="V16" s="665"/>
      <c r="W16" s="666"/>
      <c r="X16" s="1262"/>
      <c r="Y16" s="3537"/>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37"/>
      <c r="Q17" s="1260" t="str">
        <f>B17</f>
        <v>商业繁华度</v>
      </c>
      <c r="R17" s="665" t="s">
        <v>14</v>
      </c>
      <c r="S17" s="666">
        <f>F17</f>
        <v>100</v>
      </c>
      <c r="T17" s="665" t="s">
        <v>14</v>
      </c>
      <c r="U17" s="666">
        <f>H17</f>
        <v>100</v>
      </c>
      <c r="V17" s="665" t="s">
        <v>14</v>
      </c>
      <c r="W17" s="666">
        <f>J17</f>
        <v>100</v>
      </c>
      <c r="X17" s="1262"/>
      <c r="Y17" s="3537"/>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37"/>
      <c r="Q18" s="1260"/>
      <c r="R18" s="665"/>
      <c r="S18" s="666"/>
      <c r="T18" s="665"/>
      <c r="U18" s="666"/>
      <c r="V18" s="665"/>
      <c r="W18" s="666"/>
      <c r="X18" s="1262"/>
      <c r="Y18" s="3537"/>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37"/>
      <c r="Q19" s="1260" t="str">
        <f>B19</f>
        <v>办公集聚程度</v>
      </c>
      <c r="R19" s="665" t="s">
        <v>14</v>
      </c>
      <c r="S19" s="666">
        <f>F19</f>
        <v>100</v>
      </c>
      <c r="T19" s="665" t="s">
        <v>14</v>
      </c>
      <c r="U19" s="666">
        <f>H19</f>
        <v>100</v>
      </c>
      <c r="V19" s="665" t="s">
        <v>14</v>
      </c>
      <c r="W19" s="666">
        <f>J19</f>
        <v>100</v>
      </c>
      <c r="X19" s="1262"/>
      <c r="Y19" s="3537"/>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37"/>
      <c r="Q20" s="1260"/>
      <c r="R20" s="665"/>
      <c r="S20" s="666"/>
      <c r="T20" s="665"/>
      <c r="U20" s="666"/>
      <c r="V20" s="665"/>
      <c r="W20" s="666"/>
      <c r="X20" s="1262"/>
      <c r="Y20" s="3537"/>
      <c r="Z20" s="1261"/>
      <c r="AA20" s="1261">
        <v>1</v>
      </c>
      <c r="AB20" s="1261">
        <v>1</v>
      </c>
      <c r="AC20" s="1261">
        <v>1</v>
      </c>
    </row>
    <row r="21" spans="1:29" ht="99.75">
      <c r="A21" s="365"/>
      <c r="B21" s="388" t="s">
        <v>1829</v>
      </c>
      <c r="C21" s="1750" t="str">
        <f>估价对象房地状况!C18</f>
        <v>周边有104路、119路、125路、430路等多条公交线路及地铁5号线和平里北街站，综合评价交通便捷度较好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37"/>
      <c r="Q21" s="1260" t="str">
        <f>B21</f>
        <v>交通便捷度</v>
      </c>
      <c r="R21" s="665" t="s">
        <v>14</v>
      </c>
      <c r="S21" s="666">
        <f>F21</f>
        <v>100</v>
      </c>
      <c r="T21" s="665" t="s">
        <v>14</v>
      </c>
      <c r="U21" s="666">
        <f>H21</f>
        <v>100</v>
      </c>
      <c r="V21" s="665" t="s">
        <v>14</v>
      </c>
      <c r="W21" s="666">
        <f>J21</f>
        <v>100</v>
      </c>
      <c r="X21" s="1262"/>
      <c r="Y21" s="3537"/>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37"/>
      <c r="Q22" s="1260"/>
      <c r="R22" s="665"/>
      <c r="S22" s="666"/>
      <c r="T22" s="665"/>
      <c r="U22" s="666"/>
      <c r="V22" s="665"/>
      <c r="W22" s="666"/>
      <c r="X22" s="1262"/>
      <c r="Y22" s="3537"/>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37"/>
      <c r="Q23" s="1260" t="str">
        <f t="shared" ref="Q23:Q37" si="8">B23</f>
        <v>区域土地利用方向</v>
      </c>
      <c r="R23" s="665" t="s">
        <v>14</v>
      </c>
      <c r="S23" s="666">
        <f>F23</f>
        <v>100</v>
      </c>
      <c r="T23" s="665" t="s">
        <v>14</v>
      </c>
      <c r="U23" s="666">
        <f>H23</f>
        <v>100</v>
      </c>
      <c r="V23" s="665" t="s">
        <v>14</v>
      </c>
      <c r="W23" s="666">
        <f>J23</f>
        <v>100</v>
      </c>
      <c r="X23" s="1262"/>
      <c r="Y23" s="3537"/>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37"/>
      <c r="Q24" s="1260"/>
      <c r="R24" s="665"/>
      <c r="S24" s="666"/>
      <c r="T24" s="665"/>
      <c r="U24" s="666"/>
      <c r="V24" s="665"/>
      <c r="W24" s="666"/>
      <c r="X24" s="1262"/>
      <c r="Y24" s="3537"/>
      <c r="Z24" s="1261"/>
      <c r="AA24" s="1261"/>
      <c r="AB24" s="1261"/>
      <c r="AC24" s="1261"/>
    </row>
    <row r="25" spans="1:29" ht="114">
      <c r="A25" s="346"/>
      <c r="B25" s="584" t="s">
        <v>1868</v>
      </c>
      <c r="C25" s="1800" t="str">
        <f>估价对象房地状况!C20</f>
        <v>周边有地坛公园、青年湖公园、柳荫公园等自然及人文景观，综合评价环境状况较好。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37"/>
      <c r="Q25" s="1260" t="str">
        <f t="shared" si="8"/>
        <v>自然及人文环境状况</v>
      </c>
      <c r="R25" s="665" t="s">
        <v>14</v>
      </c>
      <c r="S25" s="666">
        <f>F25</f>
        <v>100</v>
      </c>
      <c r="T25" s="665" t="s">
        <v>14</v>
      </c>
      <c r="U25" s="666">
        <f>H25</f>
        <v>100</v>
      </c>
      <c r="V25" s="665" t="s">
        <v>14</v>
      </c>
      <c r="W25" s="666">
        <f>J25</f>
        <v>100</v>
      </c>
      <c r="X25" s="1262"/>
      <c r="Y25" s="3537"/>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37"/>
      <c r="Q26" s="1260"/>
      <c r="R26" s="665"/>
      <c r="S26" s="666"/>
      <c r="T26" s="665"/>
      <c r="U26" s="666"/>
      <c r="V26" s="665"/>
      <c r="W26" s="666"/>
      <c r="X26" s="1262"/>
      <c r="Y26" s="3537"/>
      <c r="Z26" s="1261"/>
      <c r="AA26" s="1261">
        <v>1</v>
      </c>
      <c r="AB26" s="1261">
        <v>1</v>
      </c>
      <c r="AC26" s="1261">
        <v>1</v>
      </c>
    </row>
    <row r="27" spans="1:29" s="101" customFormat="1" ht="228">
      <c r="A27" s="441"/>
      <c r="B27" s="584" t="s">
        <v>1774</v>
      </c>
      <c r="C27" s="1750"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37"/>
      <c r="Q27" s="528" t="str">
        <f t="shared" si="8"/>
        <v>公共配套设施</v>
      </c>
      <c r="R27" s="662" t="s">
        <v>14</v>
      </c>
      <c r="S27" s="663">
        <f>F27</f>
        <v>100</v>
      </c>
      <c r="T27" s="662" t="s">
        <v>14</v>
      </c>
      <c r="U27" s="663">
        <f>H27</f>
        <v>100</v>
      </c>
      <c r="V27" s="662" t="s">
        <v>14</v>
      </c>
      <c r="W27" s="663">
        <f>J27</f>
        <v>100</v>
      </c>
      <c r="X27" s="664"/>
      <c r="Y27" s="3537"/>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37"/>
      <c r="Q28" s="528"/>
      <c r="R28" s="662"/>
      <c r="S28" s="663"/>
      <c r="T28" s="662"/>
      <c r="U28" s="663"/>
      <c r="V28" s="662"/>
      <c r="W28" s="663"/>
      <c r="X28" s="664"/>
      <c r="Y28" s="3537"/>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37"/>
      <c r="Q29" s="528" t="str">
        <f>B29</f>
        <v>基础设施水平</v>
      </c>
      <c r="R29" s="662" t="s">
        <v>14</v>
      </c>
      <c r="S29" s="663">
        <f>F29</f>
        <v>100</v>
      </c>
      <c r="T29" s="662" t="s">
        <v>14</v>
      </c>
      <c r="U29" s="663">
        <f>H29</f>
        <v>100</v>
      </c>
      <c r="V29" s="662" t="s">
        <v>14</v>
      </c>
      <c r="W29" s="663">
        <f>J29</f>
        <v>100</v>
      </c>
      <c r="X29" s="664"/>
      <c r="Y29" s="3537"/>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37"/>
      <c r="Q30" s="528"/>
      <c r="R30" s="662"/>
      <c r="S30" s="663"/>
      <c r="T30" s="662"/>
      <c r="U30" s="663"/>
      <c r="V30" s="662"/>
      <c r="W30" s="663"/>
      <c r="X30" s="664"/>
      <c r="Y30" s="3537"/>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37"/>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37"/>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37"/>
      <c r="Q32" s="1260" t="str">
        <f t="shared" si="8"/>
        <v>毗邻道路的类型与等级</v>
      </c>
      <c r="R32" s="665" t="s">
        <v>14</v>
      </c>
      <c r="S32" s="666">
        <f t="shared" si="9"/>
        <v>100</v>
      </c>
      <c r="T32" s="665" t="s">
        <v>14</v>
      </c>
      <c r="U32" s="666">
        <f t="shared" si="10"/>
        <v>100</v>
      </c>
      <c r="V32" s="665" t="s">
        <v>14</v>
      </c>
      <c r="W32" s="666">
        <f t="shared" si="11"/>
        <v>100</v>
      </c>
      <c r="X32" s="1262"/>
      <c r="Y32" s="3537"/>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37"/>
      <c r="Q33" s="1260"/>
      <c r="R33" s="665"/>
      <c r="S33" s="666"/>
      <c r="T33" s="665"/>
      <c r="U33" s="666"/>
      <c r="V33" s="665"/>
      <c r="W33" s="666"/>
      <c r="X33" s="1262"/>
      <c r="Y33" s="3537"/>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37"/>
      <c r="Q34" s="1260" t="str">
        <f t="shared" si="8"/>
        <v>土地级别</v>
      </c>
      <c r="R34" s="665" t="s">
        <v>14</v>
      </c>
      <c r="S34" s="666">
        <f t="shared" si="9"/>
        <v>100</v>
      </c>
      <c r="T34" s="665" t="s">
        <v>14</v>
      </c>
      <c r="U34" s="666">
        <f t="shared" si="10"/>
        <v>100</v>
      </c>
      <c r="V34" s="665" t="s">
        <v>14</v>
      </c>
      <c r="W34" s="666">
        <f t="shared" si="11"/>
        <v>100</v>
      </c>
      <c r="X34" s="1262"/>
      <c r="Y34" s="3537"/>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37"/>
      <c r="Q35" s="1260">
        <f t="shared" si="8"/>
        <v>111</v>
      </c>
      <c r="R35" s="665" t="s">
        <v>14</v>
      </c>
      <c r="S35" s="666">
        <f t="shared" si="9"/>
        <v>100</v>
      </c>
      <c r="T35" s="665" t="s">
        <v>14</v>
      </c>
      <c r="U35" s="666">
        <f t="shared" si="10"/>
        <v>100</v>
      </c>
      <c r="V35" s="665" t="s">
        <v>14</v>
      </c>
      <c r="W35" s="666">
        <f t="shared" si="11"/>
        <v>100</v>
      </c>
      <c r="X35" s="1262"/>
      <c r="Y35" s="3537"/>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593" t="s">
        <v>1696</v>
      </c>
      <c r="Q36" s="1260">
        <f t="shared" si="8"/>
        <v>111</v>
      </c>
      <c r="R36" s="665" t="s">
        <v>14</v>
      </c>
      <c r="S36" s="666">
        <f t="shared" si="9"/>
        <v>100</v>
      </c>
      <c r="T36" s="665" t="s">
        <v>14</v>
      </c>
      <c r="U36" s="666">
        <f t="shared" si="10"/>
        <v>100</v>
      </c>
      <c r="V36" s="665" t="s">
        <v>14</v>
      </c>
      <c r="W36" s="666">
        <f t="shared" si="11"/>
        <v>100</v>
      </c>
      <c r="X36" s="1262"/>
      <c r="Y36" s="3541"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41"/>
      <c r="Q37" s="1260">
        <f t="shared" si="8"/>
        <v>111</v>
      </c>
      <c r="R37" s="667" t="s">
        <v>14</v>
      </c>
      <c r="S37" s="668">
        <f t="shared" si="9"/>
        <v>100</v>
      </c>
      <c r="T37" s="667" t="s">
        <v>14</v>
      </c>
      <c r="U37" s="668">
        <f t="shared" si="10"/>
        <v>100</v>
      </c>
      <c r="V37" s="667" t="s">
        <v>14</v>
      </c>
      <c r="W37" s="668">
        <f t="shared" si="11"/>
        <v>100</v>
      </c>
      <c r="X37" s="669"/>
      <c r="Y37" s="3541"/>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41"/>
      <c r="Q38" s="1260" t="str">
        <f>B38</f>
        <v>宗地面积</v>
      </c>
      <c r="R38" s="665" t="s">
        <v>14</v>
      </c>
      <c r="S38" s="666" t="e">
        <f t="shared" si="9"/>
        <v>#N/A</v>
      </c>
      <c r="T38" s="665" t="s">
        <v>14</v>
      </c>
      <c r="U38" s="666" t="e">
        <f t="shared" si="10"/>
        <v>#N/A</v>
      </c>
      <c r="V38" s="665" t="s">
        <v>14</v>
      </c>
      <c r="W38" s="666" t="e">
        <f t="shared" si="11"/>
        <v>#N/A</v>
      </c>
      <c r="X38" s="1262"/>
      <c r="Y38" s="3541"/>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41"/>
      <c r="Q39" s="1260" t="str">
        <f t="shared" ref="Q39:Q45" si="13">B39</f>
        <v>宗地形状</v>
      </c>
      <c r="R39" s="665" t="s">
        <v>14</v>
      </c>
      <c r="S39" s="666">
        <f t="shared" si="9"/>
        <v>100</v>
      </c>
      <c r="T39" s="665" t="s">
        <v>14</v>
      </c>
      <c r="U39" s="666">
        <f t="shared" si="10"/>
        <v>100</v>
      </c>
      <c r="V39" s="665" t="s">
        <v>14</v>
      </c>
      <c r="W39" s="666">
        <f t="shared" si="11"/>
        <v>100</v>
      </c>
      <c r="X39" s="1262"/>
      <c r="Y39" s="3541"/>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41"/>
      <c r="Q40" s="1260" t="str">
        <f t="shared" si="13"/>
        <v>临街宽度及深度</v>
      </c>
      <c r="R40" s="665" t="s">
        <v>14</v>
      </c>
      <c r="S40" s="666">
        <f t="shared" si="9"/>
        <v>100</v>
      </c>
      <c r="T40" s="665" t="s">
        <v>14</v>
      </c>
      <c r="U40" s="666">
        <f t="shared" si="10"/>
        <v>100</v>
      </c>
      <c r="V40" s="665" t="s">
        <v>14</v>
      </c>
      <c r="W40" s="666">
        <f t="shared" si="11"/>
        <v>100</v>
      </c>
      <c r="X40" s="1262"/>
      <c r="Y40" s="3541"/>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41"/>
      <c r="Q41" s="1260" t="str">
        <f t="shared" si="13"/>
        <v>宗地开发程度</v>
      </c>
      <c r="R41" s="662" t="s">
        <v>14</v>
      </c>
      <c r="S41" s="663">
        <f t="shared" si="9"/>
        <v>100</v>
      </c>
      <c r="T41" s="662" t="s">
        <v>14</v>
      </c>
      <c r="U41" s="663">
        <f t="shared" si="10"/>
        <v>100</v>
      </c>
      <c r="V41" s="662" t="s">
        <v>14</v>
      </c>
      <c r="W41" s="663">
        <f t="shared" si="11"/>
        <v>100</v>
      </c>
      <c r="X41" s="664"/>
      <c r="Y41" s="3541"/>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41" t="s">
        <v>1696</v>
      </c>
      <c r="Q42" s="1260" t="str">
        <f t="shared" si="13"/>
        <v>工程地质条件</v>
      </c>
      <c r="R42" s="665" t="s">
        <v>14</v>
      </c>
      <c r="S42" s="666">
        <f t="shared" si="9"/>
        <v>100</v>
      </c>
      <c r="T42" s="665" t="s">
        <v>14</v>
      </c>
      <c r="U42" s="666">
        <f t="shared" si="10"/>
        <v>100</v>
      </c>
      <c r="V42" s="665" t="s">
        <v>14</v>
      </c>
      <c r="W42" s="666">
        <f t="shared" si="11"/>
        <v>100</v>
      </c>
      <c r="X42" s="1262"/>
      <c r="Y42" s="3541"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41"/>
      <c r="Q43" s="1260">
        <f t="shared" si="13"/>
        <v>111</v>
      </c>
      <c r="R43" s="665" t="s">
        <v>14</v>
      </c>
      <c r="S43" s="666">
        <f t="shared" si="9"/>
        <v>100</v>
      </c>
      <c r="T43" s="665" t="s">
        <v>14</v>
      </c>
      <c r="U43" s="666">
        <f t="shared" si="10"/>
        <v>100</v>
      </c>
      <c r="V43" s="665" t="s">
        <v>14</v>
      </c>
      <c r="W43" s="666">
        <f t="shared" si="11"/>
        <v>100</v>
      </c>
      <c r="X43" s="1262"/>
      <c r="Y43" s="3541"/>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41"/>
      <c r="Q44" s="1260">
        <f t="shared" si="13"/>
        <v>111</v>
      </c>
      <c r="R44" s="665" t="s">
        <v>14</v>
      </c>
      <c r="S44" s="666">
        <f t="shared" si="9"/>
        <v>100</v>
      </c>
      <c r="T44" s="665" t="s">
        <v>14</v>
      </c>
      <c r="U44" s="666">
        <f t="shared" si="10"/>
        <v>100</v>
      </c>
      <c r="V44" s="665" t="s">
        <v>14</v>
      </c>
      <c r="W44" s="666">
        <f t="shared" si="11"/>
        <v>100</v>
      </c>
      <c r="X44" s="1262"/>
      <c r="Y44" s="3541"/>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41"/>
      <c r="Q45" s="1260">
        <f t="shared" si="13"/>
        <v>111</v>
      </c>
      <c r="R45" s="667" t="s">
        <v>14</v>
      </c>
      <c r="S45" s="668">
        <f t="shared" si="9"/>
        <v>100</v>
      </c>
      <c r="T45" s="667" t="s">
        <v>14</v>
      </c>
      <c r="U45" s="668">
        <f t="shared" si="10"/>
        <v>100</v>
      </c>
      <c r="V45" s="667" t="s">
        <v>14</v>
      </c>
      <c r="W45" s="668">
        <f t="shared" si="11"/>
        <v>100</v>
      </c>
      <c r="X45" s="669"/>
      <c r="Y45" s="3541"/>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34" t="str">
        <f>A46</f>
        <v>成交单价</v>
      </c>
      <c r="Q46" s="3534"/>
      <c r="R46" s="3535">
        <f>E46</f>
        <v>0</v>
      </c>
      <c r="S46" s="3535"/>
      <c r="T46" s="3535">
        <f>G46</f>
        <v>0</v>
      </c>
      <c r="U46" s="3535"/>
      <c r="V46" s="3535">
        <f>I46</f>
        <v>0</v>
      </c>
      <c r="W46" s="3535"/>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34" t="str">
        <f>A47</f>
        <v>比较价值（元/平方米）</v>
      </c>
      <c r="Q47" s="3534"/>
      <c r="R47" s="3595" t="e">
        <f>ROUND(PRODUCT(R46,AA7:AA45),0)</f>
        <v>#DIV/0!</v>
      </c>
      <c r="S47" s="3595"/>
      <c r="T47" s="3595" t="e">
        <f>ROUND(PRODUCT(T46,AB7:AB45),0)</f>
        <v>#DIV/0!</v>
      </c>
      <c r="U47" s="3595"/>
      <c r="V47" s="3595" t="e">
        <f>ROUND(PRODUCT(V46,AC7:AC45),0)</f>
        <v>#DIV/0!</v>
      </c>
      <c r="W47" s="3595"/>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31" t="str">
        <f>A48</f>
        <v>估价对象XX用房的比较价值（楼面单价，元/平方米）</v>
      </c>
      <c r="Q48" s="3532"/>
      <c r="R48" s="3596" t="e">
        <f>ROUND(IF(D47="简单平均",AVERAGE(R47:W47),R47*F47+T47*H47+V47*J47),0)</f>
        <v>#DIV/0!</v>
      </c>
      <c r="S48" s="3596"/>
      <c r="T48" s="3596"/>
      <c r="U48" s="3596"/>
      <c r="V48" s="3596"/>
      <c r="W48" s="3596"/>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49" t="s">
        <v>1883</v>
      </c>
      <c r="H55" s="3597"/>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61.85</v>
      </c>
      <c r="F56" s="831" t="e">
        <f t="shared" ref="F56:F64" si="14">ROUND(B56*E56/10000,0)</f>
        <v>#DIV/0!</v>
      </c>
      <c r="G56" s="3545"/>
      <c r="H56" s="3534"/>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61.85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2010-3-1</v>
      </c>
      <c r="D67" s="654">
        <f>EDATE(C67,-3)</f>
        <v>40148</v>
      </c>
      <c r="E67" s="654">
        <f>EDATE(D67,-3)</f>
        <v>40057</v>
      </c>
      <c r="F67" s="654">
        <f t="shared" ref="F67:O67" si="17">EDATE(E67,-3)</f>
        <v>39965</v>
      </c>
      <c r="G67" s="654">
        <f t="shared" si="17"/>
        <v>39873</v>
      </c>
      <c r="H67" s="654">
        <f t="shared" si="17"/>
        <v>39783</v>
      </c>
      <c r="I67" s="654">
        <f t="shared" si="17"/>
        <v>39692</v>
      </c>
      <c r="J67" s="654">
        <f t="shared" si="17"/>
        <v>39600</v>
      </c>
      <c r="K67" s="654">
        <f t="shared" si="17"/>
        <v>39508</v>
      </c>
      <c r="L67" s="654">
        <f t="shared" si="17"/>
        <v>39417</v>
      </c>
      <c r="M67" s="654">
        <f t="shared" si="17"/>
        <v>39326</v>
      </c>
      <c r="N67" s="654">
        <f t="shared" si="17"/>
        <v>39234</v>
      </c>
      <c r="O67" s="654">
        <f t="shared" si="17"/>
        <v>39142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2010-1</v>
      </c>
      <c r="D69" s="1098" t="str">
        <f>YEAR(D67)&amp;"-"&amp;ROUNDUP(MONTH(D67)/3,0)</f>
        <v>2009-4</v>
      </c>
      <c r="E69" s="1098" t="str">
        <f t="shared" ref="E69:O69" si="18">YEAR(E67)&amp;"-"&amp;ROUNDUP(MONTH(E67)/3,0)</f>
        <v>2009-3</v>
      </c>
      <c r="F69" s="1098" t="str">
        <f t="shared" si="18"/>
        <v>2009-2</v>
      </c>
      <c r="G69" s="1098" t="str">
        <f t="shared" si="18"/>
        <v>2009-1</v>
      </c>
      <c r="H69" s="1098" t="str">
        <f t="shared" si="18"/>
        <v>2008-4</v>
      </c>
      <c r="I69" s="1098" t="str">
        <f t="shared" si="18"/>
        <v>2008-3</v>
      </c>
      <c r="J69" s="1098" t="str">
        <f t="shared" si="18"/>
        <v>2008-2</v>
      </c>
      <c r="K69" s="1098" t="str">
        <f t="shared" si="18"/>
        <v>2008-1</v>
      </c>
      <c r="L69" s="1098" t="str">
        <f t="shared" si="18"/>
        <v>2007-4</v>
      </c>
      <c r="M69" s="1098" t="str">
        <f t="shared" si="18"/>
        <v>2007-3</v>
      </c>
      <c r="N69" s="1098" t="str">
        <f t="shared" si="18"/>
        <v>2007-2</v>
      </c>
      <c r="O69" s="1098" t="str">
        <f t="shared" si="18"/>
        <v>2007-1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49" t="s">
        <v>1766</v>
      </c>
      <c r="D4" s="3550"/>
      <c r="E4" s="3551" t="s">
        <v>1767</v>
      </c>
      <c r="F4" s="3552"/>
      <c r="G4" s="3549" t="s">
        <v>1768</v>
      </c>
      <c r="H4" s="3550"/>
      <c r="I4" s="3549" t="s">
        <v>1769</v>
      </c>
      <c r="J4" s="3550"/>
      <c r="K4" s="535" t="s">
        <v>1770</v>
      </c>
      <c r="L4" s="2480"/>
      <c r="M4" s="2481"/>
      <c r="N4" s="2481"/>
      <c r="O4" s="2481"/>
      <c r="P4" s="3553" t="s">
        <v>1771</v>
      </c>
      <c r="Q4" s="3554"/>
      <c r="R4" s="3559" t="s">
        <v>1767</v>
      </c>
      <c r="S4" s="3560"/>
      <c r="T4" s="3559" t="s">
        <v>1768</v>
      </c>
      <c r="U4" s="3560"/>
      <c r="V4" s="3535" t="s">
        <v>1769</v>
      </c>
      <c r="W4" s="3535"/>
      <c r="X4" s="1262"/>
      <c r="Y4" s="3559" t="s">
        <v>1771</v>
      </c>
      <c r="Z4" s="3560"/>
      <c r="AA4" s="3546" t="s">
        <v>1767</v>
      </c>
      <c r="AB4" s="3547" t="s">
        <v>1768</v>
      </c>
      <c r="AC4" s="3546" t="s">
        <v>1769</v>
      </c>
    </row>
    <row r="5" spans="1:29" ht="15">
      <c r="A5" s="346"/>
      <c r="B5" s="347"/>
      <c r="C5" s="3576" t="s">
        <v>1673</v>
      </c>
      <c r="D5" s="3573"/>
      <c r="E5" s="3577" t="s">
        <v>1674</v>
      </c>
      <c r="F5" s="3568"/>
      <c r="G5" s="3576" t="s">
        <v>1675</v>
      </c>
      <c r="H5" s="3573"/>
      <c r="I5" s="3576" t="s">
        <v>1676</v>
      </c>
      <c r="J5" s="3573"/>
      <c r="K5" s="535"/>
      <c r="L5" s="2480"/>
      <c r="M5" s="2481"/>
      <c r="N5" s="2481"/>
      <c r="O5" s="2481"/>
      <c r="P5" s="3555"/>
      <c r="Q5" s="3556"/>
      <c r="R5" s="3561"/>
      <c r="S5" s="3562"/>
      <c r="T5" s="3561"/>
      <c r="U5" s="3562"/>
      <c r="V5" s="3535"/>
      <c r="W5" s="3535"/>
      <c r="X5" s="1262"/>
      <c r="Y5" s="3561"/>
      <c r="Z5" s="3562"/>
      <c r="AA5" s="3547"/>
      <c r="AB5" s="3547"/>
      <c r="AC5" s="3547"/>
    </row>
    <row r="6" spans="1:29" ht="15.75" thickBot="1">
      <c r="A6" s="348"/>
      <c r="B6" s="349"/>
      <c r="C6" s="3598" t="s">
        <v>1915</v>
      </c>
      <c r="D6" s="3599"/>
      <c r="E6" s="3600" t="s">
        <v>1915</v>
      </c>
      <c r="F6" s="3601"/>
      <c r="G6" s="3598" t="s">
        <v>1915</v>
      </c>
      <c r="H6" s="3599"/>
      <c r="I6" s="3598" t="s">
        <v>1915</v>
      </c>
      <c r="J6" s="3599"/>
      <c r="K6" s="535" t="s">
        <v>1678</v>
      </c>
      <c r="L6" s="2480"/>
      <c r="M6" s="2481"/>
      <c r="N6" s="2481"/>
      <c r="O6" s="2481"/>
      <c r="P6" s="3557"/>
      <c r="Q6" s="3558"/>
      <c r="R6" s="3561"/>
      <c r="S6" s="3562"/>
      <c r="T6" s="3563"/>
      <c r="U6" s="3564"/>
      <c r="V6" s="3535"/>
      <c r="W6" s="3535"/>
      <c r="X6" s="1262"/>
      <c r="Y6" s="3563"/>
      <c r="Z6" s="3564"/>
      <c r="AA6" s="3548"/>
      <c r="AB6" s="3548"/>
      <c r="AC6" s="3548"/>
    </row>
    <row r="7" spans="1:29" s="101" customFormat="1" ht="15.75" thickBot="1">
      <c r="A7" s="350" t="s">
        <v>1679</v>
      </c>
      <c r="B7" s="351"/>
      <c r="C7" s="352">
        <f>'数据-取费表'!B2</f>
        <v>40268</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69" t="s">
        <v>1680</v>
      </c>
      <c r="Q7" s="3571"/>
      <c r="R7" s="662" t="s">
        <v>14</v>
      </c>
      <c r="S7" s="663">
        <f t="shared" ref="S7:S15" si="0">F7</f>
        <v>0</v>
      </c>
      <c r="T7" s="662" t="s">
        <v>14</v>
      </c>
      <c r="U7" s="663">
        <f t="shared" ref="U7:U15" si="1">H7</f>
        <v>0</v>
      </c>
      <c r="V7" s="662" t="s">
        <v>14</v>
      </c>
      <c r="W7" s="663">
        <f t="shared" ref="W7:W15" si="2">J7</f>
        <v>0</v>
      </c>
      <c r="X7" s="664"/>
      <c r="Y7" s="3569" t="s">
        <v>1680</v>
      </c>
      <c r="Z7" s="3570"/>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69" t="s">
        <v>1683</v>
      </c>
      <c r="Q8" s="3570"/>
      <c r="R8" s="662" t="s">
        <v>14</v>
      </c>
      <c r="S8" s="663">
        <f t="shared" si="0"/>
        <v>0</v>
      </c>
      <c r="T8" s="662" t="s">
        <v>14</v>
      </c>
      <c r="U8" s="663">
        <f t="shared" si="1"/>
        <v>0</v>
      </c>
      <c r="V8" s="662" t="s">
        <v>14</v>
      </c>
      <c r="W8" s="663">
        <f t="shared" si="2"/>
        <v>0</v>
      </c>
      <c r="X8" s="664"/>
      <c r="Y8" s="3569" t="s">
        <v>1683</v>
      </c>
      <c r="Z8" s="3570"/>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34" t="s">
        <v>1686</v>
      </c>
      <c r="Q9" s="528" t="str">
        <f t="shared" ref="Q9:Q15" si="6">B9</f>
        <v>用途</v>
      </c>
      <c r="R9" s="662" t="s">
        <v>14</v>
      </c>
      <c r="S9" s="663">
        <f t="shared" si="0"/>
        <v>100</v>
      </c>
      <c r="T9" s="662" t="s">
        <v>14</v>
      </c>
      <c r="U9" s="663">
        <f t="shared" si="1"/>
        <v>100</v>
      </c>
      <c r="V9" s="662" t="s">
        <v>14</v>
      </c>
      <c r="W9" s="663">
        <f t="shared" si="2"/>
        <v>100</v>
      </c>
      <c r="X9" s="664"/>
      <c r="Y9" s="340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t="e">
        <f>ROUND(100/'数据-取费表'!G16,0)</f>
        <v>#DIV/0!</v>
      </c>
      <c r="G10" s="369"/>
      <c r="H10" s="117" t="e">
        <f>ROUND(100/'数据-取费表'!G16,0)</f>
        <v>#DIV/0!</v>
      </c>
      <c r="I10" s="369"/>
      <c r="J10" s="117" t="e">
        <f>ROUND(100/'数据-取费表'!G16,0)</f>
        <v>#DIV/0!</v>
      </c>
      <c r="K10" s="590"/>
      <c r="L10" s="2483"/>
      <c r="M10" s="2484"/>
      <c r="N10" s="2484"/>
      <c r="O10" s="2535"/>
      <c r="P10" s="3534"/>
      <c r="Q10" s="528" t="str">
        <f t="shared" si="6"/>
        <v>土地使用年限（年）</v>
      </c>
      <c r="R10" s="662" t="s">
        <v>14</v>
      </c>
      <c r="S10" s="663" t="e">
        <f t="shared" si="0"/>
        <v>#DIV/0!</v>
      </c>
      <c r="T10" s="662" t="s">
        <v>14</v>
      </c>
      <c r="U10" s="663" t="e">
        <f t="shared" si="1"/>
        <v>#DIV/0!</v>
      </c>
      <c r="V10" s="662" t="s">
        <v>14</v>
      </c>
      <c r="W10" s="663" t="e">
        <f t="shared" si="2"/>
        <v>#DIV/0!</v>
      </c>
      <c r="X10" s="664"/>
      <c r="Y10" s="3409"/>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34"/>
      <c r="Q11" s="528" t="str">
        <f t="shared" si="6"/>
        <v>容积率</v>
      </c>
      <c r="R11" s="662" t="s">
        <v>14</v>
      </c>
      <c r="S11" s="663" t="e">
        <f t="shared" si="0"/>
        <v>#N/A</v>
      </c>
      <c r="T11" s="662" t="s">
        <v>14</v>
      </c>
      <c r="U11" s="663" t="e">
        <f t="shared" si="1"/>
        <v>#N/A</v>
      </c>
      <c r="V11" s="662" t="s">
        <v>14</v>
      </c>
      <c r="W11" s="663" t="e">
        <f t="shared" si="2"/>
        <v>#N/A</v>
      </c>
      <c r="X11" s="664"/>
      <c r="Y11" s="3409"/>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34"/>
      <c r="Q12" s="528">
        <f t="shared" si="6"/>
        <v>111</v>
      </c>
      <c r="R12" s="662" t="s">
        <v>14</v>
      </c>
      <c r="S12" s="663">
        <f t="shared" si="0"/>
        <v>100</v>
      </c>
      <c r="T12" s="662" t="s">
        <v>14</v>
      </c>
      <c r="U12" s="663">
        <f t="shared" si="1"/>
        <v>100</v>
      </c>
      <c r="V12" s="662" t="s">
        <v>14</v>
      </c>
      <c r="W12" s="663">
        <f t="shared" si="2"/>
        <v>100</v>
      </c>
      <c r="X12" s="664"/>
      <c r="Y12" s="340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34"/>
      <c r="Q13" s="528">
        <f t="shared" si="6"/>
        <v>111</v>
      </c>
      <c r="R13" s="662" t="s">
        <v>14</v>
      </c>
      <c r="S13" s="663">
        <f t="shared" si="0"/>
        <v>100</v>
      </c>
      <c r="T13" s="662" t="s">
        <v>14</v>
      </c>
      <c r="U13" s="663">
        <f t="shared" si="1"/>
        <v>100</v>
      </c>
      <c r="V13" s="662" t="s">
        <v>14</v>
      </c>
      <c r="W13" s="663">
        <f t="shared" si="2"/>
        <v>100</v>
      </c>
      <c r="X13" s="664"/>
      <c r="Y13" s="3409"/>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34"/>
      <c r="Q14" s="528">
        <f t="shared" si="6"/>
        <v>111</v>
      </c>
      <c r="R14" s="662" t="s">
        <v>14</v>
      </c>
      <c r="S14" s="663">
        <f t="shared" si="0"/>
        <v>100</v>
      </c>
      <c r="T14" s="662" t="s">
        <v>14</v>
      </c>
      <c r="U14" s="663">
        <f t="shared" si="1"/>
        <v>100</v>
      </c>
      <c r="V14" s="662" t="s">
        <v>14</v>
      </c>
      <c r="W14" s="663">
        <f t="shared" si="2"/>
        <v>100</v>
      </c>
      <c r="X14" s="664"/>
      <c r="Y14" s="3409"/>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36" t="s">
        <v>1691</v>
      </c>
      <c r="Q15" s="1260" t="str">
        <f t="shared" si="6"/>
        <v>产业集聚程度</v>
      </c>
      <c r="R15" s="665" t="s">
        <v>14</v>
      </c>
      <c r="S15" s="666">
        <f t="shared" si="0"/>
        <v>100</v>
      </c>
      <c r="T15" s="665" t="s">
        <v>14</v>
      </c>
      <c r="U15" s="666">
        <f t="shared" si="1"/>
        <v>100</v>
      </c>
      <c r="V15" s="665" t="s">
        <v>14</v>
      </c>
      <c r="W15" s="666">
        <f t="shared" si="2"/>
        <v>100</v>
      </c>
      <c r="X15" s="1262"/>
      <c r="Y15" s="3536"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37"/>
      <c r="Q16" s="1260"/>
      <c r="R16" s="665"/>
      <c r="S16" s="666"/>
      <c r="T16" s="665"/>
      <c r="U16" s="666"/>
      <c r="V16" s="665"/>
      <c r="W16" s="666"/>
      <c r="X16" s="1262"/>
      <c r="Y16" s="3537"/>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37"/>
      <c r="Q17" s="1260" t="str">
        <f>B17</f>
        <v>交通便捷度</v>
      </c>
      <c r="R17" s="665" t="s">
        <v>14</v>
      </c>
      <c r="S17" s="666">
        <f>F17</f>
        <v>100</v>
      </c>
      <c r="T17" s="665" t="s">
        <v>14</v>
      </c>
      <c r="U17" s="666">
        <f>H17</f>
        <v>100</v>
      </c>
      <c r="V17" s="665" t="s">
        <v>14</v>
      </c>
      <c r="W17" s="666">
        <f>J17</f>
        <v>100</v>
      </c>
      <c r="X17" s="1262"/>
      <c r="Y17" s="3537"/>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37"/>
      <c r="Q18" s="1260"/>
      <c r="R18" s="665"/>
      <c r="S18" s="666"/>
      <c r="T18" s="665"/>
      <c r="U18" s="666"/>
      <c r="V18" s="665"/>
      <c r="W18" s="666"/>
      <c r="X18" s="1262"/>
      <c r="Y18" s="3537"/>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37"/>
      <c r="Q19" s="1260" t="str">
        <f t="shared" ref="Q19:Q33" si="8">B19</f>
        <v>区域土地利用方向</v>
      </c>
      <c r="R19" s="665" t="s">
        <v>14</v>
      </c>
      <c r="S19" s="666">
        <f>F19</f>
        <v>100</v>
      </c>
      <c r="T19" s="665" t="s">
        <v>14</v>
      </c>
      <c r="U19" s="666">
        <f>H19</f>
        <v>100</v>
      </c>
      <c r="V19" s="665" t="s">
        <v>14</v>
      </c>
      <c r="W19" s="666">
        <f>J19</f>
        <v>100</v>
      </c>
      <c r="X19" s="1262"/>
      <c r="Y19" s="3537"/>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37"/>
      <c r="Q20" s="1260"/>
      <c r="R20" s="665"/>
      <c r="S20" s="666"/>
      <c r="T20" s="665"/>
      <c r="U20" s="666"/>
      <c r="V20" s="665"/>
      <c r="W20" s="666"/>
      <c r="X20" s="1262"/>
      <c r="Y20" s="3537"/>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37"/>
      <c r="Q21" s="1260" t="str">
        <f t="shared" si="8"/>
        <v>环境状况</v>
      </c>
      <c r="R21" s="665" t="s">
        <v>14</v>
      </c>
      <c r="S21" s="666">
        <f>F21</f>
        <v>100</v>
      </c>
      <c r="T21" s="665" t="s">
        <v>14</v>
      </c>
      <c r="U21" s="666">
        <f>H21</f>
        <v>100</v>
      </c>
      <c r="V21" s="665" t="s">
        <v>14</v>
      </c>
      <c r="W21" s="666">
        <f>J21</f>
        <v>100</v>
      </c>
      <c r="X21" s="1262"/>
      <c r="Y21" s="3537"/>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37"/>
      <c r="Q22" s="1260"/>
      <c r="R22" s="665"/>
      <c r="S22" s="666"/>
      <c r="T22" s="665"/>
      <c r="U22" s="666"/>
      <c r="V22" s="665"/>
      <c r="W22" s="666"/>
      <c r="X22" s="1262"/>
      <c r="Y22" s="3537"/>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37"/>
      <c r="Q23" s="528" t="str">
        <f t="shared" si="8"/>
        <v>公共配套设施</v>
      </c>
      <c r="R23" s="662" t="s">
        <v>14</v>
      </c>
      <c r="S23" s="663">
        <f>F23</f>
        <v>100</v>
      </c>
      <c r="T23" s="662" t="s">
        <v>14</v>
      </c>
      <c r="U23" s="663">
        <f>H23</f>
        <v>100</v>
      </c>
      <c r="V23" s="662" t="s">
        <v>14</v>
      </c>
      <c r="W23" s="663">
        <f>J23</f>
        <v>100</v>
      </c>
      <c r="X23" s="664"/>
      <c r="Y23" s="3537"/>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37"/>
      <c r="Q24" s="528"/>
      <c r="R24" s="662"/>
      <c r="S24" s="663"/>
      <c r="T24" s="662"/>
      <c r="U24" s="663"/>
      <c r="V24" s="662"/>
      <c r="W24" s="663"/>
      <c r="X24" s="664"/>
      <c r="Y24" s="3537"/>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37"/>
      <c r="Q25" s="528" t="str">
        <f>B25</f>
        <v>基础设施水平</v>
      </c>
      <c r="R25" s="662" t="s">
        <v>14</v>
      </c>
      <c r="S25" s="663">
        <f>F25</f>
        <v>100</v>
      </c>
      <c r="T25" s="662" t="s">
        <v>14</v>
      </c>
      <c r="U25" s="663">
        <f>H25</f>
        <v>100</v>
      </c>
      <c r="V25" s="662" t="s">
        <v>14</v>
      </c>
      <c r="W25" s="663">
        <f>J25</f>
        <v>100</v>
      </c>
      <c r="X25" s="664"/>
      <c r="Y25" s="3537"/>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37"/>
      <c r="Q26" s="528"/>
      <c r="R26" s="662"/>
      <c r="S26" s="663"/>
      <c r="T26" s="662"/>
      <c r="U26" s="663"/>
      <c r="V26" s="662"/>
      <c r="W26" s="663"/>
      <c r="X26" s="664"/>
      <c r="Y26" s="3537"/>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37"/>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37"/>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37"/>
      <c r="Q28" s="1260" t="str">
        <f t="shared" si="8"/>
        <v>毗邻道路的类型与等级</v>
      </c>
      <c r="R28" s="665" t="s">
        <v>14</v>
      </c>
      <c r="S28" s="666">
        <f t="shared" si="9"/>
        <v>100</v>
      </c>
      <c r="T28" s="665" t="s">
        <v>14</v>
      </c>
      <c r="U28" s="666">
        <f t="shared" si="10"/>
        <v>100</v>
      </c>
      <c r="V28" s="665" t="s">
        <v>14</v>
      </c>
      <c r="W28" s="666">
        <f t="shared" si="11"/>
        <v>100</v>
      </c>
      <c r="X28" s="1262"/>
      <c r="Y28" s="3537"/>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37"/>
      <c r="Q29" s="1260"/>
      <c r="R29" s="665"/>
      <c r="S29" s="666"/>
      <c r="T29" s="665"/>
      <c r="U29" s="666"/>
      <c r="V29" s="665"/>
      <c r="W29" s="666"/>
      <c r="X29" s="1262"/>
      <c r="Y29" s="3537"/>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37"/>
      <c r="Q30" s="1260" t="str">
        <f t="shared" si="8"/>
        <v>土地级别</v>
      </c>
      <c r="R30" s="665" t="s">
        <v>14</v>
      </c>
      <c r="S30" s="666">
        <f t="shared" si="9"/>
        <v>100</v>
      </c>
      <c r="T30" s="665" t="s">
        <v>14</v>
      </c>
      <c r="U30" s="666">
        <f t="shared" si="10"/>
        <v>100</v>
      </c>
      <c r="V30" s="665" t="s">
        <v>14</v>
      </c>
      <c r="W30" s="666">
        <f t="shared" si="11"/>
        <v>100</v>
      </c>
      <c r="X30" s="1262"/>
      <c r="Y30" s="3537"/>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37"/>
      <c r="Q31" s="1260">
        <f t="shared" si="8"/>
        <v>111</v>
      </c>
      <c r="R31" s="665" t="s">
        <v>14</v>
      </c>
      <c r="S31" s="666">
        <f t="shared" si="9"/>
        <v>100</v>
      </c>
      <c r="T31" s="665" t="s">
        <v>14</v>
      </c>
      <c r="U31" s="666">
        <f t="shared" si="10"/>
        <v>100</v>
      </c>
      <c r="V31" s="665" t="s">
        <v>14</v>
      </c>
      <c r="W31" s="666">
        <f t="shared" si="11"/>
        <v>100</v>
      </c>
      <c r="X31" s="1262"/>
      <c r="Y31" s="3537"/>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593" t="s">
        <v>1696</v>
      </c>
      <c r="Q32" s="1260">
        <f t="shared" si="8"/>
        <v>111</v>
      </c>
      <c r="R32" s="665" t="s">
        <v>14</v>
      </c>
      <c r="S32" s="666">
        <f t="shared" si="9"/>
        <v>100</v>
      </c>
      <c r="T32" s="665" t="s">
        <v>14</v>
      </c>
      <c r="U32" s="666">
        <f t="shared" si="10"/>
        <v>100</v>
      </c>
      <c r="V32" s="665" t="s">
        <v>14</v>
      </c>
      <c r="W32" s="666">
        <f t="shared" si="11"/>
        <v>100</v>
      </c>
      <c r="X32" s="1262"/>
      <c r="Y32" s="3541"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41"/>
      <c r="Q33" s="1260">
        <f t="shared" si="8"/>
        <v>111</v>
      </c>
      <c r="R33" s="667" t="s">
        <v>14</v>
      </c>
      <c r="S33" s="668">
        <f t="shared" si="9"/>
        <v>100</v>
      </c>
      <c r="T33" s="667" t="s">
        <v>14</v>
      </c>
      <c r="U33" s="668">
        <f t="shared" si="10"/>
        <v>100</v>
      </c>
      <c r="V33" s="667" t="s">
        <v>14</v>
      </c>
      <c r="W33" s="668">
        <f t="shared" si="11"/>
        <v>100</v>
      </c>
      <c r="X33" s="669"/>
      <c r="Y33" s="3541"/>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41"/>
      <c r="Q34" s="1260" t="str">
        <f>B34</f>
        <v>宗地面积</v>
      </c>
      <c r="R34" s="665" t="s">
        <v>14</v>
      </c>
      <c r="S34" s="666" t="e">
        <f t="shared" si="9"/>
        <v>#N/A</v>
      </c>
      <c r="T34" s="665" t="s">
        <v>14</v>
      </c>
      <c r="U34" s="666" t="e">
        <f t="shared" si="10"/>
        <v>#N/A</v>
      </c>
      <c r="V34" s="665" t="s">
        <v>14</v>
      </c>
      <c r="W34" s="666" t="e">
        <f t="shared" si="11"/>
        <v>#N/A</v>
      </c>
      <c r="X34" s="1262"/>
      <c r="Y34" s="3541"/>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41"/>
      <c r="Q35" s="1260" t="str">
        <f t="shared" ref="Q35:Q40" si="13">B35</f>
        <v>宗地形状</v>
      </c>
      <c r="R35" s="665" t="s">
        <v>14</v>
      </c>
      <c r="S35" s="666">
        <f t="shared" si="9"/>
        <v>100</v>
      </c>
      <c r="T35" s="665" t="s">
        <v>14</v>
      </c>
      <c r="U35" s="666">
        <f t="shared" si="10"/>
        <v>100</v>
      </c>
      <c r="V35" s="665" t="s">
        <v>14</v>
      </c>
      <c r="W35" s="666">
        <f t="shared" si="11"/>
        <v>100</v>
      </c>
      <c r="X35" s="1262"/>
      <c r="Y35" s="3541"/>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41"/>
      <c r="Q36" s="1260" t="str">
        <f t="shared" si="13"/>
        <v>宗地开发程度</v>
      </c>
      <c r="R36" s="662" t="s">
        <v>14</v>
      </c>
      <c r="S36" s="663">
        <f t="shared" si="9"/>
        <v>100</v>
      </c>
      <c r="T36" s="662" t="s">
        <v>14</v>
      </c>
      <c r="U36" s="663">
        <f t="shared" si="10"/>
        <v>100</v>
      </c>
      <c r="V36" s="662" t="s">
        <v>14</v>
      </c>
      <c r="W36" s="663">
        <f t="shared" si="11"/>
        <v>100</v>
      </c>
      <c r="X36" s="664"/>
      <c r="Y36" s="3541"/>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41" t="s">
        <v>1696</v>
      </c>
      <c r="Q37" s="1260" t="str">
        <f t="shared" si="13"/>
        <v>工程地质条件</v>
      </c>
      <c r="R37" s="665" t="s">
        <v>14</v>
      </c>
      <c r="S37" s="666">
        <f t="shared" si="9"/>
        <v>100</v>
      </c>
      <c r="T37" s="665" t="s">
        <v>14</v>
      </c>
      <c r="U37" s="666">
        <f t="shared" si="10"/>
        <v>100</v>
      </c>
      <c r="V37" s="665" t="s">
        <v>14</v>
      </c>
      <c r="W37" s="666">
        <f t="shared" si="11"/>
        <v>100</v>
      </c>
      <c r="X37" s="1262"/>
      <c r="Y37" s="3541"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41"/>
      <c r="Q38" s="1260">
        <f t="shared" si="13"/>
        <v>111</v>
      </c>
      <c r="R38" s="665" t="s">
        <v>14</v>
      </c>
      <c r="S38" s="666">
        <f t="shared" si="9"/>
        <v>100</v>
      </c>
      <c r="T38" s="665" t="s">
        <v>14</v>
      </c>
      <c r="U38" s="666">
        <f t="shared" si="10"/>
        <v>100</v>
      </c>
      <c r="V38" s="665" t="s">
        <v>14</v>
      </c>
      <c r="W38" s="666">
        <f t="shared" si="11"/>
        <v>100</v>
      </c>
      <c r="X38" s="1262"/>
      <c r="Y38" s="3541"/>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41"/>
      <c r="Q39" s="1260">
        <f t="shared" si="13"/>
        <v>111</v>
      </c>
      <c r="R39" s="665" t="s">
        <v>14</v>
      </c>
      <c r="S39" s="666">
        <f t="shared" si="9"/>
        <v>100</v>
      </c>
      <c r="T39" s="665" t="s">
        <v>14</v>
      </c>
      <c r="U39" s="666">
        <f t="shared" si="10"/>
        <v>100</v>
      </c>
      <c r="V39" s="665" t="s">
        <v>14</v>
      </c>
      <c r="W39" s="666">
        <f t="shared" si="11"/>
        <v>100</v>
      </c>
      <c r="X39" s="1262"/>
      <c r="Y39" s="3541"/>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41"/>
      <c r="Q40" s="1260">
        <f t="shared" si="13"/>
        <v>111</v>
      </c>
      <c r="R40" s="667" t="s">
        <v>14</v>
      </c>
      <c r="S40" s="668">
        <f t="shared" si="9"/>
        <v>100</v>
      </c>
      <c r="T40" s="667" t="s">
        <v>14</v>
      </c>
      <c r="U40" s="668">
        <f t="shared" si="10"/>
        <v>100</v>
      </c>
      <c r="V40" s="667" t="s">
        <v>14</v>
      </c>
      <c r="W40" s="668">
        <f t="shared" si="11"/>
        <v>100</v>
      </c>
      <c r="X40" s="669"/>
      <c r="Y40" s="3541"/>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34" t="str">
        <f>A41</f>
        <v>成交单价</v>
      </c>
      <c r="Q41" s="3534"/>
      <c r="R41" s="3535">
        <f>E41</f>
        <v>0</v>
      </c>
      <c r="S41" s="3535"/>
      <c r="T41" s="3535">
        <f>G41</f>
        <v>0</v>
      </c>
      <c r="U41" s="3535"/>
      <c r="V41" s="3535">
        <f>I41</f>
        <v>0</v>
      </c>
      <c r="W41" s="3535"/>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34" t="str">
        <f>A42</f>
        <v>比较价值（元/平方米）</v>
      </c>
      <c r="Q42" s="3534"/>
      <c r="R42" s="3595" t="e">
        <f>ROUND(PRODUCT(R41,AA7:AA40),0)</f>
        <v>#DIV/0!</v>
      </c>
      <c r="S42" s="3595"/>
      <c r="T42" s="3595" t="e">
        <f>ROUND(PRODUCT(T41,AB7:AB40),0)</f>
        <v>#DIV/0!</v>
      </c>
      <c r="U42" s="3595"/>
      <c r="V42" s="3595" t="e">
        <f>ROUND(PRODUCT(V41,AC7:AC40),0)</f>
        <v>#DIV/0!</v>
      </c>
      <c r="W42" s="3595"/>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31" t="str">
        <f>A43</f>
        <v>估价对象XX用房的比较价值（楼面单价，元/平方米）</v>
      </c>
      <c r="Q43" s="3532"/>
      <c r="R43" s="3596" t="e">
        <f>ROUND(IF(D42="简单平均",AVERAGE(R42:W42),R42*F42+T42*H42+V42*J42),0)</f>
        <v>#DIV/0!</v>
      </c>
      <c r="S43" s="3596"/>
      <c r="T43" s="3596"/>
      <c r="U43" s="3596"/>
      <c r="V43" s="3596"/>
      <c r="W43" s="3596"/>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49" t="s">
        <v>1883</v>
      </c>
      <c r="H50" s="3597"/>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61.85</v>
      </c>
      <c r="F51" s="609" t="e">
        <f t="shared" ref="F51:F60" si="14">ROUND(B51*E51/10000,0)</f>
        <v>#DIV/0!</v>
      </c>
      <c r="G51" s="3545"/>
      <c r="H51" s="3534"/>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2010-3-1</v>
      </c>
      <c r="D63" s="654">
        <f>EDATE(C63,-3)</f>
        <v>40148</v>
      </c>
      <c r="E63" s="654">
        <f>EDATE(D63,-3)</f>
        <v>40057</v>
      </c>
      <c r="F63" s="654">
        <f t="shared" ref="F63:O63" si="17">EDATE(E63,-3)</f>
        <v>39965</v>
      </c>
      <c r="G63" s="654">
        <f t="shared" si="17"/>
        <v>39873</v>
      </c>
      <c r="H63" s="654">
        <f t="shared" si="17"/>
        <v>39783</v>
      </c>
      <c r="I63" s="654">
        <f t="shared" si="17"/>
        <v>39692</v>
      </c>
      <c r="J63" s="654">
        <f t="shared" si="17"/>
        <v>39600</v>
      </c>
      <c r="K63" s="654">
        <f t="shared" si="17"/>
        <v>39508</v>
      </c>
      <c r="L63" s="654">
        <f t="shared" si="17"/>
        <v>39417</v>
      </c>
      <c r="M63" s="654">
        <f t="shared" si="17"/>
        <v>39326</v>
      </c>
      <c r="N63" s="654">
        <f t="shared" si="17"/>
        <v>39234</v>
      </c>
      <c r="O63" s="654">
        <f t="shared" si="17"/>
        <v>39142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2010-1</v>
      </c>
      <c r="D65" s="1098" t="str">
        <f t="shared" ref="D65:O65" si="18">YEAR(D63)&amp;"-"&amp;ROUNDUP(MONTH(D63)/3,0)</f>
        <v>2009-4</v>
      </c>
      <c r="E65" s="1098" t="str">
        <f t="shared" si="18"/>
        <v>2009-3</v>
      </c>
      <c r="F65" s="1098" t="str">
        <f t="shared" si="18"/>
        <v>2009-2</v>
      </c>
      <c r="G65" s="1098" t="str">
        <f t="shared" si="18"/>
        <v>2009-1</v>
      </c>
      <c r="H65" s="1098" t="str">
        <f t="shared" si="18"/>
        <v>2008-4</v>
      </c>
      <c r="I65" s="1098" t="str">
        <f t="shared" si="18"/>
        <v>2008-3</v>
      </c>
      <c r="J65" s="1098" t="str">
        <f t="shared" si="18"/>
        <v>2008-2</v>
      </c>
      <c r="K65" s="1098" t="str">
        <f t="shared" si="18"/>
        <v>2008-1</v>
      </c>
      <c r="L65" s="1098" t="str">
        <f t="shared" si="18"/>
        <v>2007-4</v>
      </c>
      <c r="M65" s="1098" t="str">
        <f t="shared" si="18"/>
        <v>2007-3</v>
      </c>
      <c r="N65" s="1098" t="str">
        <f t="shared" si="18"/>
        <v>2007-2</v>
      </c>
      <c r="O65" s="1098" t="str">
        <f t="shared" si="18"/>
        <v>2007-1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05" t="s">
        <v>2080</v>
      </c>
      <c r="D1" s="3606"/>
      <c r="E1" s="3606"/>
      <c r="F1" s="3606"/>
      <c r="G1" s="3606"/>
      <c r="H1" s="3606"/>
      <c r="I1" s="3606"/>
      <c r="J1" s="3606"/>
      <c r="K1" s="3606"/>
      <c r="L1" s="3606"/>
      <c r="M1" s="3606"/>
      <c r="N1" s="3606"/>
      <c r="O1" s="3606"/>
      <c r="P1" s="3606"/>
      <c r="Q1" s="3606"/>
      <c r="R1" s="3606"/>
      <c r="S1" s="3607"/>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02" t="s">
        <v>27</v>
      </c>
      <c r="D22" s="3603"/>
      <c r="E22" s="3603"/>
      <c r="F22" s="3603"/>
      <c r="G22" s="3603"/>
      <c r="H22" s="3603"/>
      <c r="I22" s="3603"/>
      <c r="J22" s="3603"/>
      <c r="K22" s="3603"/>
      <c r="L22" s="3603"/>
      <c r="M22" s="3603"/>
      <c r="N22" s="3603"/>
      <c r="O22" s="3603"/>
      <c r="P22" s="3603"/>
      <c r="Q22" s="3604"/>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61.85</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61.85</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120.9179</v>
      </c>
      <c r="C2" s="189" t="s">
        <v>1463</v>
      </c>
      <c r="D2" s="1708" t="s">
        <v>43</v>
      </c>
      <c r="E2" s="1087">
        <f ca="1">SUMIF(INDIRECT("'"&amp;G2&amp;"'"&amp;"!A:A"),"承租人权益价值",INDIRECT("'"&amp;G2&amp;"'"&amp;"!c:c"))</f>
        <v>0</v>
      </c>
      <c r="F2" s="1709" t="s">
        <v>1463</v>
      </c>
      <c r="G2" s="1710" t="s">
        <v>3471</v>
      </c>
    </row>
    <row r="3" spans="1:8" s="190" customFormat="1" ht="18" customHeight="1" thickBot="1">
      <c r="A3" s="193" t="s">
        <v>1464</v>
      </c>
      <c r="B3" s="194">
        <f ca="1">ROUND(B2*10000/(IF(B1="",'数据-汇总表'!E3,INDIRECT("'数据-取费表'!k"&amp;$G$1))),0)</f>
        <v>19550</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C6+C7+C8</f>
        <v>789567</v>
      </c>
      <c r="D5" s="201" t="s">
        <v>1469</v>
      </c>
      <c r="E5" s="202" t="s">
        <v>1470</v>
      </c>
      <c r="F5" s="202" t="s">
        <v>1471</v>
      </c>
      <c r="G5" s="203"/>
    </row>
    <row r="6" spans="1:8" s="204" customFormat="1" ht="13.5" customHeight="1">
      <c r="A6" s="730" t="s">
        <v>1472</v>
      </c>
      <c r="B6" s="205" t="s">
        <v>1473</v>
      </c>
      <c r="C6" s="206">
        <f>'[2]2002基准地价'!$E$18</f>
        <v>766198</v>
      </c>
      <c r="D6" s="207"/>
      <c r="E6" s="208"/>
      <c r="F6" s="208"/>
      <c r="G6" s="209"/>
    </row>
    <row r="7" spans="1:8" s="204" customFormat="1" ht="13.5" customHeight="1">
      <c r="A7" s="730" t="s">
        <v>1474</v>
      </c>
      <c r="B7" s="205" t="s">
        <v>1475</v>
      </c>
      <c r="C7" s="210">
        <f>ROUND(C6*F7,0)</f>
        <v>23369</v>
      </c>
      <c r="D7" s="210"/>
      <c r="E7" s="208"/>
      <c r="F7" s="211">
        <f>IF(项目基本情况!B8="出让",0,'数据-取费表'!B48+'数据-取费表'!B49)</f>
        <v>3.0499999999999999E-2</v>
      </c>
      <c r="G7" s="209"/>
    </row>
    <row r="8" spans="1:8" s="213" customFormat="1">
      <c r="A8" s="730" t="s">
        <v>1476</v>
      </c>
      <c r="B8" s="205" t="s">
        <v>1477</v>
      </c>
      <c r="C8" s="210">
        <f>IF(G8="已包含在土地购买价格中",0,C9+C10)</f>
        <v>0</v>
      </c>
      <c r="D8" s="212"/>
      <c r="E8" s="210"/>
      <c r="F8" s="211"/>
      <c r="G8" s="1711" t="s">
        <v>451</v>
      </c>
    </row>
    <row r="9" spans="1:8" s="204" customFormat="1" ht="13.5" customHeight="1">
      <c r="A9" s="731" t="s">
        <v>355</v>
      </c>
      <c r="B9" s="214" t="s">
        <v>1478</v>
      </c>
      <c r="C9" s="215">
        <f ca="1">ROUND(D9*E9,0)</f>
        <v>9896</v>
      </c>
      <c r="D9" s="793">
        <f ca="1">IF(B1="",'数据-汇总表'!E5,IF(INDIRECT("'数据-取费表'!c"&amp;$G$1)="住宅",INDIRECT("'数据-取费表'!k"&amp;$G$1),0))</f>
        <v>61.85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61.85</v>
      </c>
      <c r="E19" s="201">
        <f>'数据-取费表'!B31</f>
        <v>200</v>
      </c>
      <c r="F19" s="221"/>
      <c r="G19" s="1711" t="s">
        <v>3406</v>
      </c>
    </row>
    <row r="20" spans="1:7" s="204" customFormat="1" ht="13.5" customHeight="1">
      <c r="A20" s="245" t="s">
        <v>1574</v>
      </c>
      <c r="B20" s="200" t="s">
        <v>1575</v>
      </c>
      <c r="C20" s="222">
        <f>ROUND((C5+C19)*F20,0)</f>
        <v>15791</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88429</v>
      </c>
      <c r="D22" s="225">
        <f ca="1">C26</f>
        <v>1.1000000000000001E-3</v>
      </c>
      <c r="E22" s="226" t="s">
        <v>1579</v>
      </c>
      <c r="F22" s="227">
        <f ca="1">'数据-取费表'!B40</f>
        <v>5.4000000000000006E-2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87576</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853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120804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120804</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1101739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134277</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111330</v>
      </c>
      <c r="D34" s="207"/>
      <c r="E34" s="210"/>
      <c r="F34" s="247"/>
      <c r="G34" s="209"/>
    </row>
    <row r="35" spans="1:7" ht="13.5" customHeight="1">
      <c r="A35" s="732" t="s">
        <v>351</v>
      </c>
      <c r="B35" s="205" t="s">
        <v>1527</v>
      </c>
      <c r="C35" s="210">
        <f ca="1">ROUND(C34*F35,0)</f>
        <v>3340</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5567</v>
      </c>
      <c r="D36" s="210"/>
      <c r="E36" s="210"/>
      <c r="F36" s="249">
        <f>'数据-取费表'!B34</f>
        <v>0.05</v>
      </c>
      <c r="G36" s="250" t="s">
        <v>1530</v>
      </c>
    </row>
    <row r="37" spans="1:7" s="248" customFormat="1" ht="13.5" customHeight="1">
      <c r="A37" s="732" t="s">
        <v>353</v>
      </c>
      <c r="B37" s="205" t="s">
        <v>1531</v>
      </c>
      <c r="C37" s="239">
        <f ca="1">ROUND(E37*D37,0)</f>
        <v>12370</v>
      </c>
      <c r="D37" s="207">
        <f ca="1">D19</f>
        <v>61.85</v>
      </c>
      <c r="E37" s="239">
        <f>'数据-取费表'!B35</f>
        <v>200</v>
      </c>
      <c r="F37" s="249"/>
      <c r="G37" s="251"/>
    </row>
    <row r="38" spans="1:7" ht="13.5" customHeight="1">
      <c r="A38" s="732" t="s">
        <v>354</v>
      </c>
      <c r="B38" s="205" t="s">
        <v>1533</v>
      </c>
      <c r="C38" s="210">
        <f ca="1">ROUND(C34*F38,0)</f>
        <v>1670</v>
      </c>
      <c r="D38" s="210"/>
      <c r="E38" s="210"/>
      <c r="F38" s="249">
        <f>'数据-取费表'!B36</f>
        <v>1.4999999999999999E-2</v>
      </c>
      <c r="G38" s="209" t="s">
        <v>1528</v>
      </c>
    </row>
    <row r="39" spans="1:7" s="204" customFormat="1" ht="13.5" customHeight="1">
      <c r="A39" s="245" t="s">
        <v>1534</v>
      </c>
      <c r="B39" s="200" t="s">
        <v>1535</v>
      </c>
      <c r="C39" s="222">
        <f ca="1">ROUND(C33*F20,0)</f>
        <v>2686</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7396</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7251</v>
      </c>
      <c r="D42" s="228"/>
      <c r="E42" s="228"/>
      <c r="F42" s="229"/>
      <c r="G42" s="3502" t="s">
        <v>1591</v>
      </c>
    </row>
    <row r="43" spans="1:7" ht="13.5" customHeight="1">
      <c r="A43" s="732" t="s">
        <v>347</v>
      </c>
      <c r="B43" s="205" t="s">
        <v>1545</v>
      </c>
      <c r="C43" s="228">
        <f ca="1">ROUND(IF('数据-取费表'!B22&lt;=1,C39*F22*'数据-取费表'!B20/2,C39*(POWER((1+F22),'数据-取费表'!B20/2)-1)),0)</f>
        <v>145</v>
      </c>
      <c r="D43" s="228"/>
      <c r="E43" s="228"/>
      <c r="F43" s="229"/>
      <c r="G43" s="3503"/>
    </row>
    <row r="44" spans="1:7" ht="13.5" customHeight="1">
      <c r="A44" s="732" t="s">
        <v>348</v>
      </c>
      <c r="B44" s="205" t="s">
        <v>1546</v>
      </c>
      <c r="C44" s="228">
        <f ca="1">ROUND(IF('数据-取费表'!B22&lt;=1,C40*F22*'数据-取费表'!B20/2,C40*(POWER((1+F22),'数据-取费表'!B20/2)-1)),4)</f>
        <v>1.1000000000000001E-3</v>
      </c>
      <c r="D44" s="228"/>
      <c r="E44" s="228"/>
      <c r="F44" s="229"/>
      <c r="G44" s="3504"/>
    </row>
    <row r="45" spans="1:7" s="204" customFormat="1" ht="13.5" customHeight="1">
      <c r="A45" s="245" t="s">
        <v>1547</v>
      </c>
      <c r="B45" s="234" t="s">
        <v>1513</v>
      </c>
      <c r="C45" s="235">
        <f ca="1">C46</f>
        <v>20544</v>
      </c>
      <c r="D45" s="225">
        <f ca="1">C47</f>
        <v>3.0000000000000001E-3</v>
      </c>
      <c r="E45" s="226" t="s">
        <v>1539</v>
      </c>
      <c r="F45" s="236">
        <f ca="1">F27</f>
        <v>0.15</v>
      </c>
      <c r="G45" s="237" t="s">
        <v>1548</v>
      </c>
    </row>
    <row r="46" spans="1:7" s="204" customFormat="1" ht="13.5" customHeight="1">
      <c r="A46" s="732" t="s">
        <v>346</v>
      </c>
      <c r="B46" s="238" t="s">
        <v>1549</v>
      </c>
      <c r="C46" s="239">
        <f ca="1">ROUND((C33+C39)*F27,0)</f>
        <v>20544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179067</v>
      </c>
      <c r="D49" s="222"/>
      <c r="E49" s="222"/>
      <c r="F49" s="254"/>
      <c r="G49" s="224" t="s">
        <v>1554</v>
      </c>
    </row>
    <row r="50" spans="1:7" s="248" customFormat="1">
      <c r="A50" s="245" t="s">
        <v>1555</v>
      </c>
      <c r="B50" s="200" t="s">
        <v>1556</v>
      </c>
      <c r="C50" s="222"/>
      <c r="D50" s="222"/>
      <c r="E50" s="222"/>
      <c r="F50" s="254">
        <f>IF('数据-取费表'!B24=0,'数据-取费表'!N16,1)</f>
        <v>0.6</v>
      </c>
      <c r="G50" s="237"/>
    </row>
    <row r="51" spans="1:7" ht="16.5" customHeight="1">
      <c r="A51" s="245" t="s">
        <v>1558</v>
      </c>
      <c r="B51" s="200" t="s">
        <v>1593</v>
      </c>
      <c r="C51" s="222">
        <f ca="1">ROUND(C49*F50,0)</f>
        <v>107440</v>
      </c>
      <c r="D51" s="222"/>
      <c r="E51" s="222"/>
      <c r="F51" s="254"/>
      <c r="G51" s="224" t="s">
        <v>1560</v>
      </c>
    </row>
    <row r="52" spans="1:7" s="198" customFormat="1" ht="16.5" thickBot="1">
      <c r="A52" s="255" t="s">
        <v>1561</v>
      </c>
      <c r="B52" s="256"/>
      <c r="C52" s="257">
        <f ca="1">C31+C51</f>
        <v>1209179</v>
      </c>
      <c r="D52" s="256"/>
      <c r="E52" s="256"/>
      <c r="F52" s="256"/>
      <c r="G52" s="258"/>
    </row>
    <row r="55" spans="1:7" ht="15">
      <c r="B55" s="260" t="s">
        <v>1562</v>
      </c>
      <c r="C55" s="261"/>
    </row>
    <row r="56" spans="1:7">
      <c r="B56" s="263" t="s">
        <v>802</v>
      </c>
      <c r="C56" s="265">
        <f ca="1">1-C57</f>
        <v>0.91100000000000003</v>
      </c>
    </row>
    <row r="57" spans="1:7">
      <c r="B57" s="263" t="s">
        <v>803</v>
      </c>
      <c r="C57" s="264">
        <f ca="1">ROUND(C51/C52,3)</f>
        <v>8.8999999999999996E-2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40268</v>
      </c>
      <c r="D1" s="1214" t="s">
        <v>603</v>
      </c>
      <c r="E1" s="1209">
        <f>'数据-取费表'!B22</f>
        <v>2</v>
      </c>
      <c r="F1" s="1214" t="s">
        <v>604</v>
      </c>
      <c r="G1" s="1210">
        <f ca="1">INDIRECT("d"&amp;$K$1)/100</f>
        <v>5.4000000000000006E-2</v>
      </c>
      <c r="H1" s="1214" t="s">
        <v>634</v>
      </c>
      <c r="I1" s="1210">
        <f ca="1">F4/100</f>
        <v>2.2499999999999999E-2</v>
      </c>
      <c r="J1" s="1215">
        <f>IF(C1&gt;C13,0,MATCH(C1,C$13:C$109,-1))+IF(SUMIF(C13:C109,C1,D13:D109)=0,13,12)</f>
        <v>35</v>
      </c>
      <c r="K1" s="1215">
        <f>MATCH(E1,C3:C7,1)+IF(SUMIF(C3:C7,E1,D3:D7)=0,2,1)</f>
        <v>5</v>
      </c>
      <c r="L1" s="1215">
        <f>IF(C1&gt;M13,0,MATCH(C1,M$13:M$100,-1))+IF(SUMIF(M13:M100,C1,N13:N100)=0,13,12)</f>
        <v>26</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4.8600000000000003</v>
      </c>
      <c r="E3" s="1160">
        <v>0.5</v>
      </c>
      <c r="F3" s="1161">
        <f ca="1">INDIRECT("p"&amp;$L$1)</f>
        <v>1.98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2.25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v>
      </c>
      <c r="E5" s="1166">
        <v>2</v>
      </c>
      <c r="F5" s="1167">
        <f ca="1">INDIRECT("r"&amp;$L$1)</f>
        <v>2.79</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5.76</v>
      </c>
      <c r="E6" s="1166">
        <v>3</v>
      </c>
      <c r="F6" s="1167">
        <f ca="1">INDIRECT("s"&amp;$L$1)</f>
        <v>3.33</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5.94</v>
      </c>
      <c r="E7" s="1171">
        <v>5</v>
      </c>
      <c r="F7" s="1172">
        <f ca="1">INDIRECT("t"&amp;$L$1)</f>
        <v>3.6</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V101"/>
  <sheetViews>
    <sheetView tabSelected="1" zoomScaleNormal="100" workbookViewId="0">
      <selection activeCell="N43" sqref="N43"/>
    </sheetView>
  </sheetViews>
  <sheetFormatPr defaultColWidth="9" defaultRowHeight="13.5"/>
  <cols>
    <col min="1" max="1" width="14.5" style="3141" customWidth="1"/>
    <col min="2" max="2" width="33" style="3141" customWidth="1"/>
    <col min="3" max="3" width="14.375" style="3141" customWidth="1"/>
    <col min="4" max="4" width="9.625" style="3141" bestFit="1" customWidth="1"/>
    <col min="5" max="5" width="9.5" style="3141" bestFit="1" customWidth="1"/>
    <col min="6" max="6" width="28.75" style="3141" customWidth="1"/>
    <col min="7" max="9" width="9.5" style="3141" bestFit="1" customWidth="1"/>
    <col min="10" max="10" width="10.5" style="3141" bestFit="1" customWidth="1"/>
    <col min="11" max="11" width="11" style="3141" customWidth="1"/>
    <col min="12" max="12" width="11.875" style="3141" bestFit="1" customWidth="1"/>
    <col min="13" max="13" width="6.875" style="3141" customWidth="1"/>
    <col min="14" max="16" width="9" style="3141"/>
    <col min="17" max="17" width="15.5" style="3141" customWidth="1"/>
    <col min="18" max="18" width="9.25" style="3141" bestFit="1" customWidth="1"/>
    <col min="19" max="19" width="10.75" style="3141" bestFit="1" customWidth="1"/>
    <col min="20" max="20" width="18.625" style="3141" bestFit="1" customWidth="1"/>
    <col min="21" max="21" width="10.75" style="3141" bestFit="1" customWidth="1"/>
    <col min="22" max="23" width="9.25" style="3141" bestFit="1" customWidth="1"/>
    <col min="24" max="24" width="14.625" style="3141" customWidth="1"/>
    <col min="25" max="28" width="9.25" style="3141" bestFit="1" customWidth="1"/>
    <col min="29" max="33" width="9" style="3141"/>
    <col min="34" max="34" width="10.625" style="3141" bestFit="1" customWidth="1"/>
    <col min="35" max="35" width="9" style="3141"/>
    <col min="36" max="36" width="13.75" style="3141" bestFit="1" customWidth="1"/>
    <col min="37" max="37" width="9.125" style="3141" bestFit="1" customWidth="1"/>
    <col min="38" max="38" width="9.25" style="3141" bestFit="1" customWidth="1"/>
    <col min="39" max="43" width="9" style="3141"/>
    <col min="44" max="46" width="9.125" style="3141" bestFit="1" customWidth="1"/>
    <col min="47" max="55" width="9" style="3141"/>
    <col min="56" max="58" width="9.125" style="3141" bestFit="1" customWidth="1"/>
    <col min="59" max="59" width="13.875" style="3141" bestFit="1" customWidth="1"/>
    <col min="60" max="61" width="9" style="3141"/>
    <col min="62" max="62" width="13.875" style="3141" bestFit="1" customWidth="1"/>
    <col min="63" max="68" width="9" style="3141"/>
    <col min="69" max="70" width="9.25" style="3141" bestFit="1" customWidth="1"/>
    <col min="71" max="16384" width="9" style="3141"/>
  </cols>
  <sheetData>
    <row r="1" spans="1:74">
      <c r="B1" s="1445" t="s">
        <v>3375</v>
      </c>
      <c r="C1" s="1445" t="s">
        <v>669</v>
      </c>
      <c r="D1" s="1445" t="s">
        <v>3376</v>
      </c>
      <c r="E1" s="1445" t="s">
        <v>3377</v>
      </c>
      <c r="F1" s="1445" t="s">
        <v>3436</v>
      </c>
      <c r="G1" s="1445" t="s">
        <v>3378</v>
      </c>
      <c r="H1" s="1445" t="s">
        <v>3379</v>
      </c>
      <c r="I1" s="1445" t="s">
        <v>3380</v>
      </c>
      <c r="J1" s="1445" t="s">
        <v>3381</v>
      </c>
      <c r="K1" s="1445" t="s">
        <v>3382</v>
      </c>
      <c r="L1" s="1445" t="s">
        <v>3383</v>
      </c>
      <c r="M1" s="1445" t="s">
        <v>3388</v>
      </c>
      <c r="N1" s="1445" t="s">
        <v>3389</v>
      </c>
      <c r="O1" s="1445" t="s">
        <v>3416</v>
      </c>
      <c r="P1" s="1445" t="s">
        <v>3457</v>
      </c>
      <c r="AD1" s="1445" t="s">
        <v>3468</v>
      </c>
    </row>
    <row r="2" spans="1:74" ht="24.75" customHeight="1">
      <c r="A2" s="3146">
        <v>1</v>
      </c>
      <c r="B2" s="1445" t="s">
        <v>3682</v>
      </c>
      <c r="C2" s="1445" t="s">
        <v>3679</v>
      </c>
      <c r="D2" s="1445" t="s">
        <v>3415</v>
      </c>
      <c r="E2" s="3195">
        <f>L12</f>
        <v>58.07</v>
      </c>
      <c r="F2" s="3174" t="str">
        <f>N12</f>
        <v>一室一厅一卫一厨</v>
      </c>
      <c r="G2" s="1445">
        <v>6</v>
      </c>
      <c r="H2" s="3141">
        <f>M12</f>
        <v>5</v>
      </c>
      <c r="I2" s="1445"/>
      <c r="J2" s="3196">
        <f>AH12</f>
        <v>19287</v>
      </c>
      <c r="K2" s="3196">
        <f>U12</f>
        <v>15384</v>
      </c>
      <c r="L2" s="3151">
        <v>40079</v>
      </c>
      <c r="O2" s="1445" t="s">
        <v>3547</v>
      </c>
      <c r="P2" s="1445" t="s">
        <v>3458</v>
      </c>
    </row>
    <row r="3" spans="1:74" ht="34.5" customHeight="1">
      <c r="A3" s="3137">
        <v>2</v>
      </c>
      <c r="B3" s="1445" t="s">
        <v>3683</v>
      </c>
      <c r="C3" s="1445" t="s">
        <v>3680</v>
      </c>
      <c r="D3" s="1445" t="s">
        <v>3415</v>
      </c>
      <c r="E3" s="3195">
        <f>L15</f>
        <v>62.39</v>
      </c>
      <c r="F3" s="3174" t="str">
        <f>N15</f>
        <v>二室二卫一厨</v>
      </c>
      <c r="G3" s="1445">
        <v>5</v>
      </c>
      <c r="H3" s="3141" t="str">
        <f>M15</f>
        <v>5</v>
      </c>
      <c r="I3" s="1445"/>
      <c r="J3" s="3196">
        <f>R15</f>
        <v>20837</v>
      </c>
      <c r="K3" s="3197">
        <f>U15</f>
        <v>17892</v>
      </c>
      <c r="L3" s="3151">
        <f>BG15</f>
        <v>40159</v>
      </c>
      <c r="O3" s="1445" t="s">
        <v>3547</v>
      </c>
      <c r="P3" s="1445" t="s">
        <v>3458</v>
      </c>
    </row>
    <row r="4" spans="1:74">
      <c r="A4" s="3141">
        <v>3</v>
      </c>
      <c r="B4" s="1445" t="s">
        <v>3684</v>
      </c>
      <c r="C4" s="1445" t="s">
        <v>3681</v>
      </c>
      <c r="D4" s="1445" t="s">
        <v>3415</v>
      </c>
      <c r="E4" s="3195">
        <f>L16</f>
        <v>66.98</v>
      </c>
      <c r="F4" s="3174" t="str">
        <f>N16</f>
        <v>三室一厅一卫一厨</v>
      </c>
      <c r="G4" s="1445">
        <v>5</v>
      </c>
      <c r="H4" s="3141">
        <f>M16</f>
        <v>5</v>
      </c>
      <c r="I4" s="1445"/>
      <c r="J4" s="3196">
        <f>AH16</f>
        <v>20211</v>
      </c>
      <c r="K4" s="3197">
        <f>U16</f>
        <v>14572</v>
      </c>
      <c r="L4" s="3151">
        <v>40099</v>
      </c>
      <c r="O4" s="1445" t="s">
        <v>3547</v>
      </c>
      <c r="P4" s="1445" t="s">
        <v>3458</v>
      </c>
    </row>
    <row r="6" spans="1:74">
      <c r="A6" s="3146"/>
    </row>
    <row r="7" spans="1:74" ht="43.5" customHeight="1">
      <c r="A7" s="3137"/>
    </row>
    <row r="10" spans="1:74" s="3231" customFormat="1" ht="15" customHeight="1">
      <c r="A10" s="3209"/>
      <c r="B10" s="3210"/>
      <c r="C10" s="3211"/>
      <c r="D10" s="3211"/>
      <c r="E10" s="3211"/>
      <c r="F10" s="3211"/>
      <c r="G10" s="3211"/>
      <c r="H10" s="3211"/>
      <c r="I10" s="3211"/>
      <c r="J10" s="3211"/>
      <c r="K10" s="3212"/>
      <c r="L10" s="3213"/>
      <c r="M10" s="3214"/>
      <c r="N10" s="3213"/>
      <c r="O10" s="3214"/>
      <c r="P10" s="3213"/>
      <c r="Q10" s="3214"/>
      <c r="R10" s="3214"/>
      <c r="S10" s="3213"/>
      <c r="T10" s="3215"/>
      <c r="U10" s="3213"/>
      <c r="V10" s="3212" t="s">
        <v>3473</v>
      </c>
      <c r="W10" s="3212"/>
      <c r="X10" s="3216"/>
      <c r="Y10" s="3213"/>
      <c r="Z10" s="3214" t="s">
        <v>3474</v>
      </c>
      <c r="AA10" s="3213"/>
      <c r="AB10" s="3213"/>
      <c r="AC10" s="3213"/>
      <c r="AD10" s="3217"/>
      <c r="AE10" s="3211"/>
      <c r="AF10" s="3210"/>
      <c r="AG10" s="3210"/>
      <c r="AH10" s="3218"/>
      <c r="AI10" s="3210"/>
      <c r="AJ10" s="3219"/>
      <c r="AK10" s="3210"/>
      <c r="AL10" s="3220"/>
      <c r="AM10" s="3220"/>
      <c r="AN10" s="3221" t="s">
        <v>3559</v>
      </c>
      <c r="AO10" s="3221" t="s">
        <v>3560</v>
      </c>
      <c r="AP10" s="3221"/>
      <c r="AQ10" s="3221"/>
      <c r="AR10" s="3222"/>
      <c r="AS10" s="3222" t="s">
        <v>3561</v>
      </c>
      <c r="AT10" s="3222"/>
      <c r="AU10" s="3222"/>
      <c r="AV10" s="3221"/>
      <c r="AW10" s="3223"/>
      <c r="AX10" s="3223"/>
      <c r="AY10" s="3224"/>
      <c r="AZ10" s="3223"/>
      <c r="BA10" s="3223"/>
      <c r="BB10" s="3224"/>
      <c r="BC10" s="3223"/>
      <c r="BD10" s="3225"/>
      <c r="BE10" s="3223"/>
      <c r="BF10" s="3226"/>
      <c r="BG10" s="3227"/>
      <c r="BH10" s="3223"/>
      <c r="BI10" s="3223"/>
      <c r="BJ10" s="3228" t="s">
        <v>3562</v>
      </c>
      <c r="BK10" s="3229" t="s">
        <v>3563</v>
      </c>
      <c r="BL10" s="3212"/>
      <c r="BM10" s="3230"/>
      <c r="BN10" s="3230"/>
      <c r="BO10" s="3230"/>
      <c r="BP10" s="3230"/>
      <c r="BQ10" s="3222"/>
      <c r="BR10" s="3222"/>
    </row>
    <row r="11" spans="1:74" s="3192" customFormat="1" ht="15" customHeight="1">
      <c r="A11" s="3232" t="s">
        <v>2641</v>
      </c>
      <c r="B11" s="3221" t="s">
        <v>3476</v>
      </c>
      <c r="C11" s="3232" t="s">
        <v>3477</v>
      </c>
      <c r="D11" s="3232" t="s">
        <v>3478</v>
      </c>
      <c r="E11" s="3232" t="s">
        <v>3479</v>
      </c>
      <c r="F11" s="3232" t="s">
        <v>3564</v>
      </c>
      <c r="G11" s="3232" t="s">
        <v>3565</v>
      </c>
      <c r="H11" s="3232" t="s">
        <v>3566</v>
      </c>
      <c r="I11" s="3232" t="s">
        <v>3567</v>
      </c>
      <c r="J11" s="3232" t="s">
        <v>3568</v>
      </c>
      <c r="K11" s="3221" t="s">
        <v>3481</v>
      </c>
      <c r="L11" s="3221" t="s">
        <v>3482</v>
      </c>
      <c r="M11" s="3221" t="s">
        <v>3569</v>
      </c>
      <c r="N11" s="3221" t="s">
        <v>3570</v>
      </c>
      <c r="O11" s="3221" t="s">
        <v>3571</v>
      </c>
      <c r="P11" s="3221" t="s">
        <v>3572</v>
      </c>
      <c r="Q11" s="3221" t="s">
        <v>3573</v>
      </c>
      <c r="R11" s="3221" t="s">
        <v>3574</v>
      </c>
      <c r="S11" s="3221" t="s">
        <v>3483</v>
      </c>
      <c r="T11" s="3233" t="s">
        <v>3484</v>
      </c>
      <c r="U11" s="3221" t="s">
        <v>3575</v>
      </c>
      <c r="V11" s="3221" t="s">
        <v>3485</v>
      </c>
      <c r="W11" s="3221" t="s">
        <v>3486</v>
      </c>
      <c r="X11" s="3233" t="s">
        <v>3487</v>
      </c>
      <c r="Y11" s="3221" t="s">
        <v>3576</v>
      </c>
      <c r="Z11" s="3221" t="s">
        <v>3577</v>
      </c>
      <c r="AA11" s="3221" t="s">
        <v>3578</v>
      </c>
      <c r="AB11" s="3221" t="s">
        <v>3491</v>
      </c>
      <c r="AC11" s="3221" t="s">
        <v>3579</v>
      </c>
      <c r="AD11" s="3220" t="s">
        <v>3580</v>
      </c>
      <c r="AE11" s="3232" t="s">
        <v>3492</v>
      </c>
      <c r="AF11" s="3221" t="s">
        <v>3493</v>
      </c>
      <c r="AG11" s="3221" t="s">
        <v>3494</v>
      </c>
      <c r="AH11" s="3221" t="s">
        <v>3581</v>
      </c>
      <c r="AI11" s="3221" t="s">
        <v>3582</v>
      </c>
      <c r="AJ11" s="3234" t="s">
        <v>3583</v>
      </c>
      <c r="AK11" s="3221" t="s">
        <v>3584</v>
      </c>
      <c r="AL11" s="3220" t="s">
        <v>3585</v>
      </c>
      <c r="AM11" s="3220" t="s">
        <v>3586</v>
      </c>
      <c r="AN11" s="3221" t="s">
        <v>3587</v>
      </c>
      <c r="AO11" s="3221" t="s">
        <v>3588</v>
      </c>
      <c r="AP11" s="3221" t="s">
        <v>3589</v>
      </c>
      <c r="AQ11" s="3221" t="s">
        <v>3590</v>
      </c>
      <c r="AR11" s="3222" t="s">
        <v>3591</v>
      </c>
      <c r="AS11" s="3222" t="s">
        <v>3577</v>
      </c>
      <c r="AT11" s="3222" t="s">
        <v>3578</v>
      </c>
      <c r="AU11" s="3222" t="s">
        <v>3592</v>
      </c>
      <c r="AV11" s="3220" t="s">
        <v>3593</v>
      </c>
      <c r="AW11" s="3235" t="s">
        <v>3594</v>
      </c>
      <c r="AX11" s="3236" t="s">
        <v>3595</v>
      </c>
      <c r="AY11" s="3237" t="s">
        <v>3596</v>
      </c>
      <c r="AZ11" s="3235" t="s">
        <v>3597</v>
      </c>
      <c r="BA11" s="3235" t="s">
        <v>3598</v>
      </c>
      <c r="BB11" s="3237" t="s">
        <v>3599</v>
      </c>
      <c r="BC11" s="3235" t="s">
        <v>3600</v>
      </c>
      <c r="BD11" s="3238" t="s">
        <v>3601</v>
      </c>
      <c r="BE11" s="3235" t="s">
        <v>3602</v>
      </c>
      <c r="BF11" s="3239" t="s">
        <v>3603</v>
      </c>
      <c r="BG11" s="3240" t="s">
        <v>3604</v>
      </c>
      <c r="BH11" s="3240" t="s">
        <v>3605</v>
      </c>
      <c r="BI11" s="3240" t="s">
        <v>3606</v>
      </c>
      <c r="BJ11" s="3228" t="s">
        <v>3607</v>
      </c>
      <c r="BK11" s="3229" t="s">
        <v>3608</v>
      </c>
      <c r="BL11" s="3222" t="s">
        <v>3609</v>
      </c>
      <c r="BM11" s="3230" t="s">
        <v>3610</v>
      </c>
      <c r="BN11" s="3230" t="s">
        <v>3611</v>
      </c>
      <c r="BO11" s="3230" t="s">
        <v>3612</v>
      </c>
      <c r="BP11" s="3230"/>
      <c r="BQ11" s="3222" t="s">
        <v>3613</v>
      </c>
      <c r="BR11" s="3222" t="s">
        <v>3614</v>
      </c>
    </row>
    <row r="12" spans="1:74" s="3287" customFormat="1" ht="12" customHeight="1">
      <c r="A12" s="3288" t="s">
        <v>3615</v>
      </c>
      <c r="B12" s="3252" t="s">
        <v>3616</v>
      </c>
      <c r="C12" s="3289" t="s">
        <v>3617</v>
      </c>
      <c r="D12" s="3289" t="s">
        <v>3618</v>
      </c>
      <c r="E12" s="3252" t="s">
        <v>2648</v>
      </c>
      <c r="F12" s="3252" t="s">
        <v>3619</v>
      </c>
      <c r="G12" s="3252"/>
      <c r="H12" s="3252" t="s">
        <v>3620</v>
      </c>
      <c r="I12" s="3252" t="s">
        <v>3621</v>
      </c>
      <c r="J12" s="3252" t="s">
        <v>3622</v>
      </c>
      <c r="K12" s="3252" t="s">
        <v>3623</v>
      </c>
      <c r="L12" s="3252">
        <v>58.07</v>
      </c>
      <c r="M12" s="3252">
        <v>5</v>
      </c>
      <c r="N12" s="3252" t="s">
        <v>3624</v>
      </c>
      <c r="O12" s="3252"/>
      <c r="P12" s="3252" t="s">
        <v>3625</v>
      </c>
      <c r="Q12" s="3254">
        <v>880000</v>
      </c>
      <c r="R12" s="3252">
        <v>15154</v>
      </c>
      <c r="S12" s="3255">
        <v>89.33</v>
      </c>
      <c r="T12" s="3256">
        <v>893300</v>
      </c>
      <c r="U12" s="3252">
        <v>15384</v>
      </c>
      <c r="V12" s="3257">
        <v>0.2</v>
      </c>
      <c r="W12" s="3255">
        <v>71.459999999999994</v>
      </c>
      <c r="X12" s="3258">
        <v>714599.99999999988</v>
      </c>
      <c r="Y12" s="3259">
        <v>2009</v>
      </c>
      <c r="Z12" s="3259">
        <v>9</v>
      </c>
      <c r="AA12" s="3252">
        <v>23</v>
      </c>
      <c r="AB12" s="3252">
        <v>1500</v>
      </c>
      <c r="AC12" s="3252" t="s">
        <v>3626</v>
      </c>
      <c r="AD12" s="3289"/>
      <c r="AE12" s="3252" t="s">
        <v>3627</v>
      </c>
      <c r="AF12" s="3252" t="s">
        <v>3628</v>
      </c>
      <c r="AG12" s="3252" t="s">
        <v>3499</v>
      </c>
      <c r="AH12" s="3252">
        <v>19287</v>
      </c>
      <c r="AI12" s="3252" t="s">
        <v>3629</v>
      </c>
      <c r="AJ12" s="3261"/>
      <c r="AK12" s="3262" t="s">
        <v>3630</v>
      </c>
      <c r="AL12" s="3252">
        <v>56</v>
      </c>
      <c r="AM12" s="3252"/>
      <c r="AN12" s="3260" t="s">
        <v>3631</v>
      </c>
      <c r="AO12" s="3252"/>
      <c r="AP12" s="3252" t="s">
        <v>3632</v>
      </c>
      <c r="AQ12" s="3252" t="s">
        <v>3501</v>
      </c>
      <c r="AR12" s="3252"/>
      <c r="AS12" s="3252"/>
      <c r="AT12" s="3252"/>
      <c r="AU12" s="3252"/>
      <c r="AV12" s="3252"/>
      <c r="AW12" s="3252"/>
      <c r="AX12" s="3252"/>
      <c r="AY12" s="3253"/>
      <c r="AZ12" s="3252" t="s">
        <v>3623</v>
      </c>
      <c r="BA12" s="3252"/>
      <c r="BB12" s="3253" t="s">
        <v>3500</v>
      </c>
      <c r="BC12" s="3252" t="s">
        <v>3500</v>
      </c>
      <c r="BD12" s="3290"/>
      <c r="BE12" s="3252"/>
      <c r="BF12" s="3291"/>
      <c r="BG12" s="3261"/>
      <c r="BH12" s="3252"/>
      <c r="BI12" s="3259" t="s">
        <v>3633</v>
      </c>
      <c r="BJ12" s="3267"/>
      <c r="BK12" s="3261"/>
      <c r="BL12" s="3259" t="s">
        <v>3634</v>
      </c>
      <c r="BM12" s="3259"/>
      <c r="BN12" s="3259"/>
      <c r="BO12" s="3252"/>
      <c r="BP12" s="3252"/>
      <c r="BQ12" s="3259" t="e">
        <v>#DIV/0!</v>
      </c>
      <c r="BR12" s="3259" t="e">
        <v>#DIV/0!</v>
      </c>
      <c r="BS12" s="3268"/>
      <c r="BT12" s="3268"/>
      <c r="BU12" s="3269"/>
      <c r="BV12" s="3286"/>
    </row>
    <row r="13" spans="1:74" s="3193" customFormat="1" ht="12" customHeight="1">
      <c r="A13" s="3204" t="s">
        <v>3635</v>
      </c>
      <c r="B13" s="3204" t="s">
        <v>3636</v>
      </c>
      <c r="C13" s="3200" t="s">
        <v>3637</v>
      </c>
      <c r="D13" s="3200" t="s">
        <v>3638</v>
      </c>
      <c r="E13" s="3204" t="s">
        <v>2648</v>
      </c>
      <c r="F13" s="3204" t="s">
        <v>3639</v>
      </c>
      <c r="G13" s="3204"/>
      <c r="H13" s="3204" t="s">
        <v>3640</v>
      </c>
      <c r="I13" s="3204" t="s">
        <v>3641</v>
      </c>
      <c r="J13" s="3204" t="s">
        <v>3642</v>
      </c>
      <c r="K13" s="3204" t="s">
        <v>3643</v>
      </c>
      <c r="L13" s="3251">
        <v>36.549999999999997</v>
      </c>
      <c r="M13" s="3204">
        <v>3</v>
      </c>
      <c r="N13" s="3204" t="s">
        <v>3624</v>
      </c>
      <c r="O13" s="3204"/>
      <c r="P13" s="3204" t="s">
        <v>3625</v>
      </c>
      <c r="Q13" s="3241">
        <v>800000</v>
      </c>
      <c r="R13" s="3204">
        <v>21888</v>
      </c>
      <c r="S13" s="3242">
        <v>65.67</v>
      </c>
      <c r="T13" s="3243">
        <v>656700</v>
      </c>
      <c r="U13" s="3204">
        <v>17969</v>
      </c>
      <c r="V13" s="3205">
        <v>0.2</v>
      </c>
      <c r="W13" s="3242">
        <v>52.53</v>
      </c>
      <c r="X13" s="3244">
        <v>525300</v>
      </c>
      <c r="Y13" s="3223">
        <v>2009</v>
      </c>
      <c r="Z13" s="3223">
        <v>11</v>
      </c>
      <c r="AA13" s="3204">
        <v>23</v>
      </c>
      <c r="AB13" s="3204">
        <v>1500</v>
      </c>
      <c r="AC13" s="3204" t="s">
        <v>3626</v>
      </c>
      <c r="AD13" s="3200"/>
      <c r="AE13" s="3204" t="s">
        <v>3627</v>
      </c>
      <c r="AF13" s="3204" t="s">
        <v>3628</v>
      </c>
      <c r="AG13" s="3204" t="s">
        <v>3499</v>
      </c>
      <c r="AH13" s="3204">
        <v>21888</v>
      </c>
      <c r="AI13" s="3204" t="s">
        <v>3629</v>
      </c>
      <c r="AJ13" s="3203"/>
      <c r="AK13" s="3245" t="s">
        <v>3644</v>
      </c>
      <c r="AL13" s="3204">
        <v>25</v>
      </c>
      <c r="AM13" s="3223"/>
      <c r="AN13" s="3202" t="s">
        <v>3631</v>
      </c>
      <c r="AO13" s="3204"/>
      <c r="AP13" s="3204" t="s">
        <v>3645</v>
      </c>
      <c r="AQ13" s="3223" t="s">
        <v>3646</v>
      </c>
      <c r="AR13" s="3204"/>
      <c r="AS13" s="3204"/>
      <c r="AT13" s="3204"/>
      <c r="AU13" s="3204"/>
      <c r="AV13" s="3204"/>
      <c r="AW13" s="3204" t="s">
        <v>3647</v>
      </c>
      <c r="AX13" s="3204" t="s">
        <v>3648</v>
      </c>
      <c r="AY13" s="3246" t="s">
        <v>3649</v>
      </c>
      <c r="AZ13" s="3204" t="s">
        <v>3643</v>
      </c>
      <c r="BA13" s="3204"/>
      <c r="BB13" s="3246" t="s">
        <v>3500</v>
      </c>
      <c r="BC13" s="3204" t="s">
        <v>3500</v>
      </c>
      <c r="BD13" s="3247"/>
      <c r="BE13" s="3204"/>
      <c r="BF13" s="3248"/>
      <c r="BG13" s="3203"/>
      <c r="BH13" s="3204"/>
      <c r="BI13" s="3223" t="s">
        <v>3645</v>
      </c>
      <c r="BJ13" s="3249"/>
      <c r="BK13" s="3203"/>
      <c r="BL13" s="3223" t="s">
        <v>3634</v>
      </c>
      <c r="BM13" s="3223"/>
      <c r="BN13" s="3223"/>
      <c r="BO13" s="3204"/>
      <c r="BP13" s="3204"/>
      <c r="BQ13" s="3223" t="e">
        <v>#DIV/0!</v>
      </c>
      <c r="BR13" s="3223" t="e">
        <v>#DIV/0!</v>
      </c>
      <c r="BS13" s="3250"/>
      <c r="BT13" s="3250"/>
      <c r="BU13" s="3231"/>
    </row>
    <row r="14" spans="1:74" s="3193" customFormat="1" ht="12" customHeight="1">
      <c r="A14" s="3204" t="s">
        <v>3650</v>
      </c>
      <c r="B14" s="3204" t="s">
        <v>3636</v>
      </c>
      <c r="C14" s="3200" t="s">
        <v>3637</v>
      </c>
      <c r="D14" s="3200" t="s">
        <v>3638</v>
      </c>
      <c r="E14" s="3204" t="s">
        <v>2648</v>
      </c>
      <c r="F14" s="3204" t="s">
        <v>3639</v>
      </c>
      <c r="G14" s="3204"/>
      <c r="H14" s="3204" t="s">
        <v>3640</v>
      </c>
      <c r="I14" s="3204" t="s">
        <v>3641</v>
      </c>
      <c r="J14" s="3204" t="s">
        <v>3642</v>
      </c>
      <c r="K14" s="3204" t="s">
        <v>3643</v>
      </c>
      <c r="L14" s="3204">
        <v>36.549999999999997</v>
      </c>
      <c r="M14" s="3204">
        <v>3</v>
      </c>
      <c r="N14" s="3204" t="s">
        <v>3624</v>
      </c>
      <c r="O14" s="3204"/>
      <c r="P14" s="3204" t="s">
        <v>3625</v>
      </c>
      <c r="Q14" s="3241">
        <v>800000</v>
      </c>
      <c r="R14" s="3204">
        <v>21888</v>
      </c>
      <c r="S14" s="3242">
        <v>65.67</v>
      </c>
      <c r="T14" s="3243">
        <v>656700</v>
      </c>
      <c r="U14" s="3204">
        <v>17969</v>
      </c>
      <c r="V14" s="3205">
        <v>0.2</v>
      </c>
      <c r="W14" s="3242">
        <v>52.53</v>
      </c>
      <c r="X14" s="3244">
        <v>525300</v>
      </c>
      <c r="Y14" s="3223">
        <v>2009</v>
      </c>
      <c r="Z14" s="3223">
        <v>10</v>
      </c>
      <c r="AA14" s="3204">
        <v>28</v>
      </c>
      <c r="AB14" s="3204">
        <v>1500</v>
      </c>
      <c r="AC14" s="3204" t="s">
        <v>3651</v>
      </c>
      <c r="AD14" s="3200"/>
      <c r="AE14" s="3204" t="s">
        <v>3627</v>
      </c>
      <c r="AF14" s="3204" t="s">
        <v>3628</v>
      </c>
      <c r="AG14" s="3204" t="s">
        <v>3499</v>
      </c>
      <c r="AH14" s="3204">
        <v>21888</v>
      </c>
      <c r="AI14" s="3204" t="s">
        <v>3629</v>
      </c>
      <c r="AJ14" s="3203"/>
      <c r="AK14" s="3245" t="s">
        <v>3652</v>
      </c>
      <c r="AL14" s="3204">
        <v>21</v>
      </c>
      <c r="AM14" s="3223"/>
      <c r="AN14" s="3202" t="s">
        <v>3653</v>
      </c>
      <c r="AO14" s="3204"/>
      <c r="AP14" s="3204" t="s">
        <v>3632</v>
      </c>
      <c r="AQ14" s="3201" t="s">
        <v>3654</v>
      </c>
      <c r="AR14" s="3204">
        <v>2009</v>
      </c>
      <c r="AS14" s="3204">
        <v>10</v>
      </c>
      <c r="AT14" s="3204">
        <v>28</v>
      </c>
      <c r="AU14" s="3204"/>
      <c r="AV14" s="3204"/>
      <c r="AW14" s="3204" t="s">
        <v>3647</v>
      </c>
      <c r="AX14" s="3204" t="s">
        <v>3648</v>
      </c>
      <c r="AY14" s="3246" t="s">
        <v>3649</v>
      </c>
      <c r="AZ14" s="3204" t="s">
        <v>3643</v>
      </c>
      <c r="BA14" s="3204"/>
      <c r="BB14" s="3246" t="s">
        <v>3500</v>
      </c>
      <c r="BC14" s="3204" t="s">
        <v>3500</v>
      </c>
      <c r="BD14" s="3247"/>
      <c r="BE14" s="3204"/>
      <c r="BF14" s="3248"/>
      <c r="BG14" s="3203">
        <v>40109</v>
      </c>
      <c r="BH14" s="3204"/>
      <c r="BI14" s="3223" t="s">
        <v>3633</v>
      </c>
      <c r="BJ14" s="3249"/>
      <c r="BK14" s="3203"/>
      <c r="BL14" s="3223" t="s">
        <v>3634</v>
      </c>
      <c r="BM14" s="3223"/>
      <c r="BN14" s="3223"/>
      <c r="BO14" s="3204"/>
      <c r="BP14" s="3204"/>
      <c r="BQ14" s="3223" t="e">
        <v>#DIV/0!</v>
      </c>
      <c r="BR14" s="3223" t="e">
        <v>#DIV/0!</v>
      </c>
      <c r="BS14" s="3250"/>
      <c r="BT14" s="3250"/>
      <c r="BU14" s="3231"/>
    </row>
    <row r="15" spans="1:74" s="3269" customFormat="1" ht="12" customHeight="1">
      <c r="A15" s="3252" t="s">
        <v>3685</v>
      </c>
      <c r="B15" s="3252" t="s">
        <v>3655</v>
      </c>
      <c r="C15" s="3253" t="s">
        <v>3656</v>
      </c>
      <c r="D15" s="3253">
        <v>13041055175</v>
      </c>
      <c r="E15" s="3252" t="s">
        <v>3657</v>
      </c>
      <c r="F15" s="3252" t="s">
        <v>3658</v>
      </c>
      <c r="G15" s="3252"/>
      <c r="H15" s="3252" t="s">
        <v>3659</v>
      </c>
      <c r="I15" s="3252" t="s">
        <v>3660</v>
      </c>
      <c r="J15" s="3253" t="s">
        <v>3661</v>
      </c>
      <c r="K15" s="3252" t="s">
        <v>3662</v>
      </c>
      <c r="L15" s="3252">
        <v>62.39</v>
      </c>
      <c r="M15" s="3252" t="s">
        <v>3663</v>
      </c>
      <c r="N15" s="3252" t="s">
        <v>3664</v>
      </c>
      <c r="O15" s="3252" t="s">
        <v>3500</v>
      </c>
      <c r="P15" s="3252" t="s">
        <v>3498</v>
      </c>
      <c r="Q15" s="3254">
        <v>1300000</v>
      </c>
      <c r="R15" s="3252">
        <v>20837</v>
      </c>
      <c r="S15" s="3255">
        <v>111.62</v>
      </c>
      <c r="T15" s="3256">
        <v>1116200</v>
      </c>
      <c r="U15" s="3252">
        <v>17892</v>
      </c>
      <c r="V15" s="3257">
        <v>0.2</v>
      </c>
      <c r="W15" s="3255">
        <v>89.29</v>
      </c>
      <c r="X15" s="3258">
        <v>892900.00000000012</v>
      </c>
      <c r="Y15" s="3259">
        <v>2009</v>
      </c>
      <c r="Z15" s="3259">
        <v>12</v>
      </c>
      <c r="AA15" s="3259">
        <v>28</v>
      </c>
      <c r="AB15" s="3252">
        <v>1500</v>
      </c>
      <c r="AC15" s="3252" t="s">
        <v>3665</v>
      </c>
      <c r="AD15" s="3253" t="s">
        <v>3666</v>
      </c>
      <c r="AE15" s="3259" t="s">
        <v>3627</v>
      </c>
      <c r="AF15" s="3252" t="s">
        <v>3628</v>
      </c>
      <c r="AG15" s="3260" t="s">
        <v>3499</v>
      </c>
      <c r="AH15" s="3252" t="s">
        <v>3500</v>
      </c>
      <c r="AI15" s="3252" t="s">
        <v>3629</v>
      </c>
      <c r="AJ15" s="3261"/>
      <c r="AK15" s="3262" t="s">
        <v>3558</v>
      </c>
      <c r="AL15" s="3259">
        <v>23</v>
      </c>
      <c r="AM15" s="3259"/>
      <c r="AN15" s="3259" t="s">
        <v>3653</v>
      </c>
      <c r="AO15" s="3259" t="s">
        <v>3500</v>
      </c>
      <c r="AP15" s="3259" t="s">
        <v>3645</v>
      </c>
      <c r="AQ15" s="3252" t="s">
        <v>3654</v>
      </c>
      <c r="AR15" s="3259">
        <v>2009</v>
      </c>
      <c r="AS15" s="3259">
        <v>12</v>
      </c>
      <c r="AT15" s="3259">
        <v>28</v>
      </c>
      <c r="AU15" s="3259"/>
      <c r="AV15" s="3259"/>
      <c r="AW15" s="3259" t="s">
        <v>3647</v>
      </c>
      <c r="AX15" s="3259" t="s">
        <v>3500</v>
      </c>
      <c r="AY15" s="3263" t="s">
        <v>3500</v>
      </c>
      <c r="AZ15" s="3259" t="s">
        <v>3662</v>
      </c>
      <c r="BA15" s="3259"/>
      <c r="BB15" s="3263"/>
      <c r="BC15" s="3259"/>
      <c r="BD15" s="3264"/>
      <c r="BE15" s="3259" t="s">
        <v>3500</v>
      </c>
      <c r="BF15" s="3265"/>
      <c r="BG15" s="3266">
        <v>40159</v>
      </c>
      <c r="BH15" s="3259"/>
      <c r="BI15" s="3259" t="s">
        <v>3645</v>
      </c>
      <c r="BJ15" s="3267">
        <v>40163</v>
      </c>
      <c r="BK15" s="3267"/>
      <c r="BL15" s="3252"/>
      <c r="BM15" s="3259"/>
      <c r="BN15" s="3259"/>
      <c r="BO15" s="3259"/>
      <c r="BP15" s="3259"/>
      <c r="BQ15" s="3259" t="e">
        <v>#VALUE!</v>
      </c>
      <c r="BR15" s="3259" t="e">
        <v>#VALUE!</v>
      </c>
      <c r="BS15" s="3268"/>
      <c r="BT15" s="3268"/>
    </row>
    <row r="16" spans="1:74" s="3287" customFormat="1" ht="15.75" customHeight="1">
      <c r="A16" s="3270" t="s">
        <v>3686</v>
      </c>
      <c r="B16" s="3270" t="s">
        <v>3667</v>
      </c>
      <c r="C16" s="3271" t="s">
        <v>3668</v>
      </c>
      <c r="D16" s="3271" t="s">
        <v>3669</v>
      </c>
      <c r="E16" s="3270" t="s">
        <v>3657</v>
      </c>
      <c r="F16" s="3270" t="s">
        <v>3670</v>
      </c>
      <c r="G16" s="3270"/>
      <c r="H16" s="3270" t="s">
        <v>3671</v>
      </c>
      <c r="I16" s="3270" t="s">
        <v>3672</v>
      </c>
      <c r="J16" s="3270" t="s">
        <v>3673</v>
      </c>
      <c r="K16" s="3270" t="s">
        <v>3674</v>
      </c>
      <c r="L16" s="3270">
        <v>66.98</v>
      </c>
      <c r="M16" s="3270">
        <v>5</v>
      </c>
      <c r="N16" s="3270" t="s">
        <v>3675</v>
      </c>
      <c r="O16" s="3270"/>
      <c r="P16" s="3270" t="s">
        <v>3498</v>
      </c>
      <c r="Q16" s="3272">
        <v>1300000</v>
      </c>
      <c r="R16" s="3270">
        <f>ROUND(Q16/L16,0)</f>
        <v>19409</v>
      </c>
      <c r="S16" s="3273">
        <f>ROUNDDOWN(U16*L16/10000,2)</f>
        <v>97.6</v>
      </c>
      <c r="T16" s="3274">
        <f>S16*10000</f>
        <v>976000</v>
      </c>
      <c r="U16" s="3270">
        <v>14572</v>
      </c>
      <c r="V16" s="3275">
        <v>0.2</v>
      </c>
      <c r="W16" s="3273">
        <f>ROUNDDOWN(S16*(1-V16),2)</f>
        <v>78.08</v>
      </c>
      <c r="X16" s="3276">
        <f>W16*10000</f>
        <v>780800</v>
      </c>
      <c r="Y16" s="3277">
        <v>2009</v>
      </c>
      <c r="Z16" s="3277">
        <v>10</v>
      </c>
      <c r="AA16" s="3270">
        <v>13</v>
      </c>
      <c r="AB16" s="3270">
        <f>IF(S16&gt;=10,IF(S16&lt;50,AVERAGE(ROUNDDOWN($S16*30,-1),ROUND($S16*30,-1)),1500),IF(S16&gt;0,300,0))</f>
        <v>1500</v>
      </c>
      <c r="AC16" s="3270" t="s">
        <v>3626</v>
      </c>
      <c r="AD16" s="3271"/>
      <c r="AE16" s="3270" t="s">
        <v>3676</v>
      </c>
      <c r="AF16" s="3270" t="s">
        <v>3628</v>
      </c>
      <c r="AG16" s="3270" t="s">
        <v>3499</v>
      </c>
      <c r="AH16" s="3270">
        <v>20211</v>
      </c>
      <c r="AI16" s="3270" t="s">
        <v>3629</v>
      </c>
      <c r="AJ16" s="3278"/>
      <c r="AK16" s="3279" t="s">
        <v>3677</v>
      </c>
      <c r="AL16" s="3270">
        <v>25</v>
      </c>
      <c r="AM16" s="3270"/>
      <c r="AN16" s="3280" t="s">
        <v>3502</v>
      </c>
      <c r="AO16" s="3270"/>
      <c r="AP16" s="3270" t="s">
        <v>3633</v>
      </c>
      <c r="AQ16" s="3281" t="s">
        <v>3678</v>
      </c>
      <c r="AR16" s="3270"/>
      <c r="AS16" s="3270"/>
      <c r="AT16" s="3270"/>
      <c r="AU16" s="3270"/>
      <c r="AV16" s="3270"/>
      <c r="AW16" s="3270"/>
      <c r="AX16" s="3270"/>
      <c r="AY16" s="3282"/>
      <c r="AZ16" s="3270" t="s">
        <v>3674</v>
      </c>
      <c r="BA16" s="3270"/>
      <c r="BB16" s="3282" t="s">
        <v>3500</v>
      </c>
      <c r="BC16" s="3270" t="s">
        <v>3500</v>
      </c>
      <c r="BD16" s="3283"/>
      <c r="BE16" s="3270"/>
      <c r="BF16" s="3284"/>
      <c r="BG16" s="3278"/>
      <c r="BH16" s="3270"/>
      <c r="BI16" s="3277" t="s">
        <v>3633</v>
      </c>
      <c r="BJ16" s="3285"/>
      <c r="BK16" s="3278"/>
      <c r="BL16" s="3277" t="s">
        <v>3628</v>
      </c>
      <c r="BM16" s="3277"/>
      <c r="BN16" s="3277"/>
      <c r="BO16" s="3270"/>
      <c r="BP16" s="3270"/>
      <c r="BQ16" s="3277" t="e">
        <f>ROUND(S16*10000/O16,0)</f>
        <v>#DIV/0!</v>
      </c>
      <c r="BR16" s="3277" t="e">
        <f>ROUND(Q16/O16,0)</f>
        <v>#DIV/0!</v>
      </c>
      <c r="BS16" s="3268" t="str">
        <f>TRIM(BI16)</f>
        <v>张旭婷</v>
      </c>
      <c r="BT16" s="3268" t="str">
        <f>TRIM(AC16)</f>
        <v>北京住房公积金管理中心住房公积金贷款中心</v>
      </c>
      <c r="BU16" s="3269"/>
      <c r="BV16" s="3286"/>
    </row>
    <row r="17" spans="1:63" ht="15.75" customHeight="1"/>
    <row r="18" spans="1:63" ht="15.75" customHeight="1"/>
    <row r="19" spans="1:63" ht="15.75" customHeight="1"/>
    <row r="20" spans="1:63" ht="15.75" customHeight="1"/>
    <row r="21" spans="1:63" ht="15.75" customHeight="1"/>
    <row r="22" spans="1:63" s="3194" customFormat="1" ht="12">
      <c r="A22" s="3306"/>
      <c r="B22" s="3307"/>
      <c r="C22" s="3306"/>
      <c r="D22" s="3306"/>
      <c r="E22" s="3306"/>
      <c r="F22" s="3306"/>
      <c r="G22" s="3306"/>
      <c r="H22" s="3306"/>
      <c r="I22" s="3306" t="s">
        <v>3503</v>
      </c>
      <c r="J22" s="3306" t="s">
        <v>3504</v>
      </c>
      <c r="K22" s="3306" t="s">
        <v>3505</v>
      </c>
      <c r="L22" s="3306" t="s">
        <v>3503</v>
      </c>
      <c r="M22" s="3306" t="s">
        <v>3504</v>
      </c>
      <c r="N22" s="3306" t="s">
        <v>3505</v>
      </c>
      <c r="O22" s="3306" t="s">
        <v>3503</v>
      </c>
      <c r="P22" s="3306" t="s">
        <v>3504</v>
      </c>
      <c r="Q22" s="3306" t="s">
        <v>3505</v>
      </c>
      <c r="R22" s="3306"/>
      <c r="S22" s="3306" t="s">
        <v>3503</v>
      </c>
      <c r="T22" s="3306" t="s">
        <v>3504</v>
      </c>
      <c r="U22" s="3306" t="s">
        <v>3505</v>
      </c>
      <c r="V22" s="3306"/>
      <c r="W22" s="3306" t="s">
        <v>3506</v>
      </c>
      <c r="X22" s="3306"/>
      <c r="Y22" s="3306"/>
      <c r="Z22" s="3306"/>
      <c r="AA22" s="3306"/>
      <c r="AB22" s="3306"/>
      <c r="AC22" s="3306"/>
      <c r="AD22" s="3306"/>
      <c r="AE22" s="3306"/>
      <c r="AF22" s="3306"/>
      <c r="AG22" s="3306"/>
      <c r="AH22" s="3306"/>
      <c r="AI22" s="3306"/>
      <c r="AJ22" s="3306"/>
      <c r="AK22" s="3306"/>
      <c r="AL22" s="3306"/>
      <c r="AM22" s="3306"/>
      <c r="AN22" s="3306"/>
      <c r="AO22" s="3306"/>
      <c r="AP22" s="3306"/>
      <c r="AQ22" s="3306"/>
      <c r="AR22" s="3306"/>
      <c r="AS22" s="3308"/>
      <c r="AT22" s="3306"/>
      <c r="AU22" s="3306"/>
      <c r="AV22" s="3306"/>
      <c r="AW22" s="3306"/>
      <c r="AX22" s="3306"/>
      <c r="AY22" s="3306"/>
      <c r="AZ22" s="3306"/>
      <c r="BA22" s="3306"/>
      <c r="BB22" s="3306"/>
      <c r="BC22" s="3306" t="s">
        <v>3780</v>
      </c>
      <c r="BD22" s="3306"/>
      <c r="BE22" s="3306"/>
      <c r="BF22" s="3306"/>
      <c r="BG22" s="3306"/>
      <c r="BH22" s="3306"/>
      <c r="BI22" s="3306"/>
      <c r="BJ22" s="3306"/>
      <c r="BK22" s="3306"/>
    </row>
    <row r="23" spans="1:63" s="3194" customFormat="1" ht="12">
      <c r="A23" s="3309" t="s">
        <v>3475</v>
      </c>
      <c r="B23" s="3310" t="s">
        <v>3507</v>
      </c>
      <c r="C23" s="3309" t="s">
        <v>3479</v>
      </c>
      <c r="D23" s="3309" t="s">
        <v>3480</v>
      </c>
      <c r="E23" s="3309" t="s">
        <v>3508</v>
      </c>
      <c r="F23" s="3309" t="s">
        <v>3509</v>
      </c>
      <c r="G23" s="3309" t="s">
        <v>3510</v>
      </c>
      <c r="H23" s="3309" t="s">
        <v>3511</v>
      </c>
      <c r="I23" s="3309" t="s">
        <v>3512</v>
      </c>
      <c r="J23" s="3309" t="s">
        <v>3512</v>
      </c>
      <c r="K23" s="3309" t="s">
        <v>3512</v>
      </c>
      <c r="L23" s="3309" t="s">
        <v>3513</v>
      </c>
      <c r="M23" s="3309" t="s">
        <v>3513</v>
      </c>
      <c r="N23" s="3309" t="s">
        <v>3513</v>
      </c>
      <c r="O23" s="3309" t="s">
        <v>3514</v>
      </c>
      <c r="P23" s="3309" t="s">
        <v>3514</v>
      </c>
      <c r="Q23" s="3309" t="s">
        <v>3514</v>
      </c>
      <c r="R23" s="3309" t="s">
        <v>3515</v>
      </c>
      <c r="S23" s="3309" t="s">
        <v>3781</v>
      </c>
      <c r="T23" s="3309" t="s">
        <v>3781</v>
      </c>
      <c r="U23" s="3309" t="s">
        <v>3781</v>
      </c>
      <c r="V23" s="3309" t="s">
        <v>3516</v>
      </c>
      <c r="W23" s="3309" t="s">
        <v>3517</v>
      </c>
      <c r="X23" s="3309" t="s">
        <v>3518</v>
      </c>
      <c r="Y23" s="3309" t="s">
        <v>3519</v>
      </c>
      <c r="Z23" s="3309" t="s">
        <v>3523</v>
      </c>
      <c r="AA23" s="3309" t="s">
        <v>3782</v>
      </c>
      <c r="AB23" s="3309" t="s">
        <v>3522</v>
      </c>
      <c r="AC23" s="3309" t="s">
        <v>3521</v>
      </c>
      <c r="AD23" s="3309" t="s">
        <v>3520</v>
      </c>
      <c r="AE23" s="3309" t="s">
        <v>3783</v>
      </c>
      <c r="AF23" s="3309" t="s">
        <v>3784</v>
      </c>
      <c r="AG23" s="3309" t="s">
        <v>3525</v>
      </c>
      <c r="AH23" s="3309" t="s">
        <v>3524</v>
      </c>
      <c r="AI23" s="3309" t="s">
        <v>3527</v>
      </c>
      <c r="AJ23" s="3309" t="s">
        <v>3526</v>
      </c>
      <c r="AK23" s="3309" t="s">
        <v>3528</v>
      </c>
      <c r="AL23" s="3309" t="s">
        <v>3529</v>
      </c>
      <c r="AM23" s="3309" t="s">
        <v>3530</v>
      </c>
      <c r="AN23" s="3309" t="s">
        <v>3531</v>
      </c>
      <c r="AO23" s="3309" t="s">
        <v>3532</v>
      </c>
      <c r="AP23" s="3309" t="s">
        <v>3533</v>
      </c>
      <c r="AQ23" s="3309" t="s">
        <v>3534</v>
      </c>
      <c r="AR23" s="3309" t="s">
        <v>3537</v>
      </c>
      <c r="AS23" s="3311" t="s">
        <v>3535</v>
      </c>
      <c r="AT23" s="3309" t="s">
        <v>3536</v>
      </c>
      <c r="AU23" s="3309" t="s">
        <v>3785</v>
      </c>
      <c r="AV23" s="3309" t="s">
        <v>3786</v>
      </c>
      <c r="AW23" s="3309" t="s">
        <v>3787</v>
      </c>
      <c r="AX23" s="3309" t="s">
        <v>3788</v>
      </c>
      <c r="AY23" s="3309" t="s">
        <v>3789</v>
      </c>
      <c r="AZ23" s="3309" t="s">
        <v>3790</v>
      </c>
      <c r="BA23" s="3309" t="s">
        <v>3538</v>
      </c>
      <c r="BB23" s="3309" t="s">
        <v>3539</v>
      </c>
      <c r="BC23" s="3309" t="s">
        <v>3488</v>
      </c>
      <c r="BD23" s="3309" t="s">
        <v>3489</v>
      </c>
      <c r="BE23" s="3309" t="s">
        <v>3490</v>
      </c>
      <c r="BF23" s="3309" t="s">
        <v>3496</v>
      </c>
      <c r="BG23" s="3309" t="s">
        <v>3791</v>
      </c>
      <c r="BH23" s="3309" t="s">
        <v>3792</v>
      </c>
      <c r="BI23" s="3309" t="s">
        <v>3793</v>
      </c>
      <c r="BJ23" s="3309" t="s">
        <v>3794</v>
      </c>
      <c r="BK23" s="3309" t="s">
        <v>3795</v>
      </c>
    </row>
    <row r="24" spans="1:63" s="3193" customFormat="1" ht="12" customHeight="1">
      <c r="A24" s="3293" t="s">
        <v>3615</v>
      </c>
      <c r="B24" s="3294" t="s">
        <v>3619</v>
      </c>
      <c r="C24" s="3294" t="s">
        <v>2648</v>
      </c>
      <c r="D24" s="3294" t="s">
        <v>3687</v>
      </c>
      <c r="E24" s="3294"/>
      <c r="F24" s="3293"/>
      <c r="G24" s="3293" t="s">
        <v>3688</v>
      </c>
      <c r="H24" s="3294" t="s">
        <v>3689</v>
      </c>
      <c r="I24" s="3294" t="s">
        <v>3688</v>
      </c>
      <c r="J24" s="3294" t="s">
        <v>3690</v>
      </c>
      <c r="K24" s="3294" t="s">
        <v>3690</v>
      </c>
      <c r="L24" s="3294" t="s">
        <v>3688</v>
      </c>
      <c r="M24" s="3294" t="s">
        <v>3691</v>
      </c>
      <c r="N24" s="3294" t="s">
        <v>3691</v>
      </c>
      <c r="O24" s="3294" t="s">
        <v>3692</v>
      </c>
      <c r="P24" s="3294" t="s">
        <v>3693</v>
      </c>
      <c r="Q24" s="3294" t="s">
        <v>3693</v>
      </c>
      <c r="R24" s="3293" t="s">
        <v>3694</v>
      </c>
      <c r="S24" s="3294"/>
      <c r="T24" s="3293" t="s">
        <v>3695</v>
      </c>
      <c r="U24" s="3293" t="s">
        <v>3696</v>
      </c>
      <c r="V24" s="3294"/>
      <c r="W24" s="3293"/>
      <c r="X24" s="3293" t="s">
        <v>3697</v>
      </c>
      <c r="Y24" s="3294"/>
      <c r="Z24" s="3293" t="s">
        <v>3698</v>
      </c>
      <c r="AA24" s="3293" t="s">
        <v>3699</v>
      </c>
      <c r="AB24" s="3294" t="s">
        <v>3541</v>
      </c>
      <c r="AC24" s="3294" t="s">
        <v>3700</v>
      </c>
      <c r="AD24" s="3293" t="s">
        <v>3701</v>
      </c>
      <c r="AE24" s="3293" t="s">
        <v>3702</v>
      </c>
      <c r="AF24" s="3294"/>
      <c r="AG24" s="3294" t="s">
        <v>3703</v>
      </c>
      <c r="AH24" s="3293" t="s">
        <v>3704</v>
      </c>
      <c r="AI24" s="3293" t="s">
        <v>3705</v>
      </c>
      <c r="AJ24" s="3294" t="s">
        <v>3706</v>
      </c>
      <c r="AK24" s="3293" t="s">
        <v>3707</v>
      </c>
      <c r="AL24" s="3294" t="s">
        <v>3708</v>
      </c>
      <c r="AM24" s="3293" t="s">
        <v>3709</v>
      </c>
      <c r="AN24" s="3293" t="s">
        <v>3710</v>
      </c>
      <c r="AO24" s="3293" t="s">
        <v>3711</v>
      </c>
      <c r="AP24" s="3294" t="s">
        <v>3712</v>
      </c>
      <c r="AQ24" s="3293" t="s">
        <v>3557</v>
      </c>
      <c r="AR24" s="3293" t="s">
        <v>3713</v>
      </c>
      <c r="AS24" s="3294"/>
      <c r="AT24" s="3294"/>
      <c r="AU24" s="3293" t="s">
        <v>3714</v>
      </c>
      <c r="AV24" s="3293" t="s">
        <v>3715</v>
      </c>
      <c r="AW24" s="3293" t="s">
        <v>3715</v>
      </c>
      <c r="AX24" s="3293" t="s">
        <v>3716</v>
      </c>
      <c r="AY24" s="3293" t="s">
        <v>3715</v>
      </c>
      <c r="AZ24" s="3293" t="s">
        <v>3717</v>
      </c>
      <c r="BA24" s="3293" t="s">
        <v>3632</v>
      </c>
      <c r="BB24" s="3293"/>
      <c r="BC24" s="3293">
        <v>2009</v>
      </c>
      <c r="BD24" s="3293">
        <v>9</v>
      </c>
      <c r="BE24" s="3293">
        <v>23</v>
      </c>
      <c r="BF24" s="3293" t="s">
        <v>3631</v>
      </c>
      <c r="BG24" s="3293" t="s">
        <v>3654</v>
      </c>
      <c r="BH24" s="3293">
        <v>2005</v>
      </c>
      <c r="BI24" s="3294" t="s">
        <v>3718</v>
      </c>
      <c r="BJ24" s="3294">
        <v>70</v>
      </c>
      <c r="BK24" s="3294">
        <v>15</v>
      </c>
    </row>
    <row r="25" spans="1:63" s="3193" customFormat="1" ht="12" customHeight="1">
      <c r="A25" s="3294" t="s">
        <v>3719</v>
      </c>
      <c r="B25" s="3294" t="s">
        <v>3658</v>
      </c>
      <c r="C25" s="3294" t="s">
        <v>3657</v>
      </c>
      <c r="D25" s="3294" t="s">
        <v>3720</v>
      </c>
      <c r="E25" s="3294"/>
      <c r="F25" s="3294"/>
      <c r="G25" s="3294" t="s">
        <v>3553</v>
      </c>
      <c r="H25" s="3294" t="s">
        <v>3721</v>
      </c>
      <c r="I25" s="3294" t="s">
        <v>3553</v>
      </c>
      <c r="J25" s="3294" t="s">
        <v>3722</v>
      </c>
      <c r="K25" s="3294" t="s">
        <v>3722</v>
      </c>
      <c r="L25" s="3294" t="s">
        <v>3553</v>
      </c>
      <c r="M25" s="3294" t="s">
        <v>3723</v>
      </c>
      <c r="N25" s="3294" t="s">
        <v>3723</v>
      </c>
      <c r="O25" s="3294" t="s">
        <v>3724</v>
      </c>
      <c r="P25" s="3294" t="s">
        <v>3724</v>
      </c>
      <c r="Q25" s="3294" t="s">
        <v>3724</v>
      </c>
      <c r="R25" s="3294" t="s">
        <v>3725</v>
      </c>
      <c r="S25" s="3294" t="s">
        <v>3500</v>
      </c>
      <c r="T25" s="3294" t="s">
        <v>3726</v>
      </c>
      <c r="U25" s="3294" t="s">
        <v>3727</v>
      </c>
      <c r="V25" s="3294" t="s">
        <v>3500</v>
      </c>
      <c r="W25" s="3294" t="s">
        <v>3500</v>
      </c>
      <c r="X25" s="3294" t="s">
        <v>3554</v>
      </c>
      <c r="Y25" s="3294"/>
      <c r="Z25" s="3294" t="s">
        <v>3542</v>
      </c>
      <c r="AA25" s="3294" t="s">
        <v>3728</v>
      </c>
      <c r="AB25" s="3294" t="s">
        <v>3541</v>
      </c>
      <c r="AC25" s="3294" t="s">
        <v>3555</v>
      </c>
      <c r="AD25" s="3294" t="s">
        <v>3540</v>
      </c>
      <c r="AE25" s="3294" t="s">
        <v>3729</v>
      </c>
      <c r="AF25" s="3294"/>
      <c r="AG25" s="3294" t="s">
        <v>3730</v>
      </c>
      <c r="AH25" s="3294" t="s">
        <v>3556</v>
      </c>
      <c r="AI25" s="3294" t="s">
        <v>3731</v>
      </c>
      <c r="AJ25" s="3294" t="s">
        <v>3398</v>
      </c>
      <c r="AK25" s="3294" t="s">
        <v>3732</v>
      </c>
      <c r="AL25" s="3294" t="s">
        <v>3733</v>
      </c>
      <c r="AM25" s="3294" t="s">
        <v>3543</v>
      </c>
      <c r="AN25" s="3294" t="s">
        <v>3734</v>
      </c>
      <c r="AO25" s="3294" t="s">
        <v>3544</v>
      </c>
      <c r="AP25" s="3294" t="s">
        <v>3735</v>
      </c>
      <c r="AQ25" s="3294" t="s">
        <v>3557</v>
      </c>
      <c r="AR25" s="3294" t="s">
        <v>3545</v>
      </c>
      <c r="AS25" s="3294"/>
      <c r="AT25" s="3294"/>
      <c r="AU25" s="3295" t="s">
        <v>3736</v>
      </c>
      <c r="AV25" s="3295" t="s">
        <v>3737</v>
      </c>
      <c r="AW25" s="3295" t="s">
        <v>3737</v>
      </c>
      <c r="AX25" s="3295"/>
      <c r="AY25" s="3295" t="s">
        <v>3737</v>
      </c>
      <c r="AZ25" s="3295" t="s">
        <v>3404</v>
      </c>
      <c r="BA25" s="3294" t="s">
        <v>3738</v>
      </c>
      <c r="BB25" s="3294"/>
      <c r="BC25" s="3294">
        <v>2009</v>
      </c>
      <c r="BD25" s="3294">
        <v>12</v>
      </c>
      <c r="BE25" s="3294">
        <v>7</v>
      </c>
      <c r="BF25" s="3294" t="s">
        <v>3739</v>
      </c>
      <c r="BG25" s="3294" t="s">
        <v>3678</v>
      </c>
      <c r="BH25" s="3294">
        <v>1982</v>
      </c>
      <c r="BI25" s="3294" t="s">
        <v>3740</v>
      </c>
      <c r="BJ25" s="3294">
        <v>65</v>
      </c>
      <c r="BK25" s="3294">
        <v>20</v>
      </c>
    </row>
    <row r="26" spans="1:63" s="3193" customFormat="1" ht="12" customHeight="1">
      <c r="A26" s="3293" t="s">
        <v>3741</v>
      </c>
      <c r="B26" s="3294" t="s">
        <v>3742</v>
      </c>
      <c r="C26" s="3294" t="s">
        <v>2648</v>
      </c>
      <c r="D26" s="3294" t="s">
        <v>3743</v>
      </c>
      <c r="E26" s="3294"/>
      <c r="F26" s="3293"/>
      <c r="G26" s="3293" t="s">
        <v>3744</v>
      </c>
      <c r="H26" s="3294" t="s">
        <v>3745</v>
      </c>
      <c r="I26" s="3294" t="s">
        <v>3688</v>
      </c>
      <c r="J26" s="3294" t="s">
        <v>3690</v>
      </c>
      <c r="K26" s="3294" t="s">
        <v>3690</v>
      </c>
      <c r="L26" s="3294" t="s">
        <v>3688</v>
      </c>
      <c r="M26" s="3294" t="s">
        <v>3691</v>
      </c>
      <c r="N26" s="3294" t="s">
        <v>3691</v>
      </c>
      <c r="O26" s="3294" t="s">
        <v>3693</v>
      </c>
      <c r="P26" s="3294" t="s">
        <v>3693</v>
      </c>
      <c r="Q26" s="3294" t="s">
        <v>3693</v>
      </c>
      <c r="R26" s="3293" t="s">
        <v>3694</v>
      </c>
      <c r="S26" s="3294"/>
      <c r="T26" s="3293" t="s">
        <v>3695</v>
      </c>
      <c r="U26" s="3293" t="s">
        <v>3746</v>
      </c>
      <c r="V26" s="3294"/>
      <c r="W26" s="3293"/>
      <c r="X26" s="3293" t="s">
        <v>3697</v>
      </c>
      <c r="Y26" s="3294"/>
      <c r="Z26" s="3293" t="s">
        <v>3542</v>
      </c>
      <c r="AA26" s="3293" t="s">
        <v>3728</v>
      </c>
      <c r="AB26" s="3294" t="s">
        <v>3541</v>
      </c>
      <c r="AC26" s="3294" t="s">
        <v>3747</v>
      </c>
      <c r="AD26" s="3293" t="s">
        <v>3701</v>
      </c>
      <c r="AE26" s="3293" t="s">
        <v>3702</v>
      </c>
      <c r="AF26" s="3294"/>
      <c r="AG26" s="3294" t="s">
        <v>3703</v>
      </c>
      <c r="AH26" s="3293" t="s">
        <v>3748</v>
      </c>
      <c r="AI26" s="3293" t="s">
        <v>3705</v>
      </c>
      <c r="AJ26" s="3294" t="s">
        <v>3706</v>
      </c>
      <c r="AK26" s="3293" t="s">
        <v>3749</v>
      </c>
      <c r="AL26" s="3294" t="s">
        <v>3708</v>
      </c>
      <c r="AM26" s="3293" t="s">
        <v>3709</v>
      </c>
      <c r="AN26" s="3293" t="s">
        <v>3710</v>
      </c>
      <c r="AO26" s="3293" t="s">
        <v>3711</v>
      </c>
      <c r="AP26" s="3294" t="s">
        <v>3750</v>
      </c>
      <c r="AQ26" s="3293" t="s">
        <v>3557</v>
      </c>
      <c r="AR26" s="3293" t="s">
        <v>3713</v>
      </c>
      <c r="AS26" s="3294"/>
      <c r="AT26" s="3294"/>
      <c r="AU26" s="3293" t="s">
        <v>3714</v>
      </c>
      <c r="AV26" s="3293" t="s">
        <v>3715</v>
      </c>
      <c r="AW26" s="3293" t="s">
        <v>3715</v>
      </c>
      <c r="AX26" s="3293" t="s">
        <v>3716</v>
      </c>
      <c r="AY26" s="3293" t="s">
        <v>3715</v>
      </c>
      <c r="AZ26" s="3293" t="s">
        <v>3751</v>
      </c>
      <c r="BA26" s="3293" t="s">
        <v>3632</v>
      </c>
      <c r="BB26" s="3293"/>
      <c r="BC26" s="3293">
        <v>2009</v>
      </c>
      <c r="BD26" s="3293">
        <v>10</v>
      </c>
      <c r="BE26" s="3293">
        <v>13</v>
      </c>
      <c r="BF26" s="3293" t="s">
        <v>3752</v>
      </c>
      <c r="BG26" s="3293" t="s">
        <v>3501</v>
      </c>
      <c r="BH26" s="3293">
        <v>1981</v>
      </c>
      <c r="BI26" s="3294" t="s">
        <v>3753</v>
      </c>
      <c r="BJ26" s="3294">
        <v>70</v>
      </c>
      <c r="BK26" s="3294">
        <v>20</v>
      </c>
    </row>
    <row r="27" spans="1:63" customFormat="1"/>
    <row r="28" spans="1:63" customFormat="1"/>
    <row r="29" spans="1:63" customFormat="1"/>
    <row r="30" spans="1:63" s="3314" customFormat="1" ht="12">
      <c r="A30" s="3306"/>
      <c r="B30" s="3306"/>
      <c r="C30" s="3307"/>
      <c r="D30" s="3306"/>
      <c r="E30" s="3306"/>
      <c r="F30" s="3306" t="s">
        <v>3796</v>
      </c>
      <c r="G30" s="3306"/>
      <c r="H30" s="3306"/>
      <c r="I30" s="3306"/>
      <c r="J30" s="3306"/>
      <c r="K30" s="3306"/>
      <c r="L30" s="3306"/>
      <c r="M30" s="3306"/>
      <c r="N30" s="3312"/>
      <c r="O30" s="3608" t="s">
        <v>3797</v>
      </c>
      <c r="P30" s="3609"/>
      <c r="Q30" s="3609"/>
      <c r="R30" s="3610"/>
      <c r="S30" s="3306"/>
      <c r="T30" s="3306"/>
      <c r="U30" s="3306"/>
      <c r="V30" s="3306"/>
      <c r="W30" s="3306" t="s">
        <v>3798</v>
      </c>
      <c r="X30" s="3306"/>
      <c r="Y30" s="3306"/>
      <c r="Z30" s="3306"/>
      <c r="AA30" s="3306"/>
      <c r="AB30" s="3306"/>
      <c r="AC30" s="3306"/>
      <c r="AD30" s="3306"/>
      <c r="AE30" s="3306"/>
      <c r="AF30" s="3306" t="s">
        <v>3780</v>
      </c>
      <c r="AG30" s="3306"/>
      <c r="AH30" s="3306"/>
      <c r="AI30" s="3306"/>
      <c r="AJ30" s="3313"/>
      <c r="AK30" s="3313"/>
    </row>
    <row r="31" spans="1:63" s="3314" customFormat="1" ht="12">
      <c r="A31" s="3309" t="s">
        <v>3497</v>
      </c>
      <c r="B31" s="3309" t="s">
        <v>3799</v>
      </c>
      <c r="C31" s="3310" t="s">
        <v>3800</v>
      </c>
      <c r="D31" s="3309" t="s">
        <v>3801</v>
      </c>
      <c r="E31" s="3309" t="s">
        <v>3802</v>
      </c>
      <c r="F31" s="3309" t="s">
        <v>3803</v>
      </c>
      <c r="G31" s="3309" t="s">
        <v>3804</v>
      </c>
      <c r="H31" s="3309" t="s">
        <v>3805</v>
      </c>
      <c r="I31" s="3309" t="s">
        <v>3806</v>
      </c>
      <c r="J31" s="3309" t="s">
        <v>3807</v>
      </c>
      <c r="K31" s="3309" t="s">
        <v>3808</v>
      </c>
      <c r="L31" s="3309" t="s">
        <v>3809</v>
      </c>
      <c r="M31" s="3309" t="s">
        <v>3495</v>
      </c>
      <c r="N31" s="3312" t="s">
        <v>3810</v>
      </c>
      <c r="O31" s="3312" t="s">
        <v>3811</v>
      </c>
      <c r="P31" s="3312" t="s">
        <v>3812</v>
      </c>
      <c r="Q31" s="3315" t="s">
        <v>3813</v>
      </c>
      <c r="R31" s="3316" t="s">
        <v>3445</v>
      </c>
      <c r="S31" s="3309" t="s">
        <v>3490</v>
      </c>
      <c r="T31" s="3309" t="s">
        <v>3546</v>
      </c>
      <c r="U31" s="3309" t="s">
        <v>3489</v>
      </c>
      <c r="V31" s="3309" t="s">
        <v>3490</v>
      </c>
      <c r="W31" s="3309" t="s">
        <v>3814</v>
      </c>
      <c r="X31" s="3309" t="s">
        <v>3815</v>
      </c>
      <c r="Y31" s="3309" t="s">
        <v>3816</v>
      </c>
      <c r="Z31" s="3309" t="s">
        <v>3817</v>
      </c>
      <c r="AA31" s="3309" t="s">
        <v>3818</v>
      </c>
      <c r="AB31" s="3309" t="s">
        <v>3819</v>
      </c>
      <c r="AC31" s="3309" t="s">
        <v>3820</v>
      </c>
      <c r="AD31" s="3309" t="s">
        <v>3821</v>
      </c>
      <c r="AE31" s="3309" t="s">
        <v>3822</v>
      </c>
      <c r="AF31" s="3309" t="s">
        <v>3488</v>
      </c>
      <c r="AG31" s="3309" t="s">
        <v>3489</v>
      </c>
      <c r="AH31" s="3309" t="s">
        <v>3490</v>
      </c>
      <c r="AI31" s="3309" t="s">
        <v>3496</v>
      </c>
      <c r="AJ31" s="3317" t="s">
        <v>3823</v>
      </c>
      <c r="AK31" s="3317" t="s">
        <v>3824</v>
      </c>
    </row>
    <row r="32" spans="1:63" s="3193" customFormat="1" ht="12" customHeight="1">
      <c r="A32" s="3293" t="s">
        <v>3615</v>
      </c>
      <c r="B32" s="3294" t="s">
        <v>3754</v>
      </c>
      <c r="C32" s="3294" t="s">
        <v>3755</v>
      </c>
      <c r="D32" s="3294" t="s">
        <v>3756</v>
      </c>
      <c r="E32" s="3294" t="s">
        <v>3757</v>
      </c>
      <c r="F32" s="3294">
        <v>17</v>
      </c>
      <c r="G32" s="3294" t="s">
        <v>3758</v>
      </c>
      <c r="H32" s="3294" t="s">
        <v>3759</v>
      </c>
      <c r="I32" s="3294">
        <v>7</v>
      </c>
      <c r="J32" s="3294" t="s">
        <v>3760</v>
      </c>
      <c r="K32" s="3294">
        <v>2005</v>
      </c>
      <c r="L32" s="3294" t="s">
        <v>3761</v>
      </c>
      <c r="M32" s="3294"/>
      <c r="N32" s="3294"/>
      <c r="O32" s="3294"/>
      <c r="P32" s="3294"/>
      <c r="Q32" s="3296"/>
      <c r="R32" s="3294"/>
      <c r="S32" s="3294"/>
      <c r="T32" s="3294"/>
      <c r="U32" s="3294"/>
      <c r="V32" s="3294"/>
      <c r="W32" s="3294"/>
      <c r="X32" s="3294"/>
      <c r="Y32" s="3294"/>
      <c r="Z32" s="3294"/>
      <c r="AA32" s="3294"/>
      <c r="AB32" s="3294"/>
      <c r="AC32" s="3294"/>
      <c r="AD32" s="3294"/>
      <c r="AE32" s="3294" t="s">
        <v>3762</v>
      </c>
      <c r="AF32" s="3294">
        <v>2009</v>
      </c>
      <c r="AG32" s="3294">
        <v>10</v>
      </c>
      <c r="AH32" s="3294">
        <v>19</v>
      </c>
      <c r="AI32" s="3294" t="s">
        <v>3763</v>
      </c>
      <c r="AJ32" s="3294">
        <v>60</v>
      </c>
      <c r="AK32" s="3294">
        <v>56</v>
      </c>
    </row>
    <row r="33" spans="1:70" s="3193" customFormat="1" ht="12" customHeight="1">
      <c r="A33" s="3294" t="s">
        <v>3764</v>
      </c>
      <c r="B33" s="3295" t="s">
        <v>3765</v>
      </c>
      <c r="C33" s="3294" t="s">
        <v>3766</v>
      </c>
      <c r="D33" s="3294" t="s">
        <v>3767</v>
      </c>
      <c r="E33" s="3294" t="s">
        <v>3757</v>
      </c>
      <c r="F33" s="3294">
        <v>14</v>
      </c>
      <c r="G33" s="3296" t="s">
        <v>3768</v>
      </c>
      <c r="H33" s="3294" t="s">
        <v>3769</v>
      </c>
      <c r="I33" s="3294">
        <v>5</v>
      </c>
      <c r="J33" s="3294" t="s">
        <v>3760</v>
      </c>
      <c r="K33" s="3294">
        <v>1982</v>
      </c>
      <c r="L33" s="3294" t="s">
        <v>3770</v>
      </c>
      <c r="M33" s="3294"/>
      <c r="N33" s="3295"/>
      <c r="O33" s="3294"/>
      <c r="P33" s="3294"/>
      <c r="Q33" s="3297"/>
      <c r="R33" s="3294"/>
      <c r="S33" s="3294"/>
      <c r="T33" s="3294"/>
      <c r="U33" s="3294"/>
      <c r="V33" s="3294"/>
      <c r="W33" s="3294"/>
      <c r="X33" s="3294"/>
      <c r="Y33" s="3294"/>
      <c r="Z33" s="3294"/>
      <c r="AA33" s="3294"/>
      <c r="AB33" s="3294"/>
      <c r="AC33" s="3294"/>
      <c r="AD33" s="3294"/>
      <c r="AE33" s="3294" t="s">
        <v>3771</v>
      </c>
      <c r="AF33" s="3294">
        <v>2009</v>
      </c>
      <c r="AG33" s="3294">
        <v>12</v>
      </c>
      <c r="AH33" s="3294">
        <v>28</v>
      </c>
      <c r="AI33" s="3294" t="s">
        <v>3772</v>
      </c>
      <c r="AJ33" s="3294">
        <v>50</v>
      </c>
      <c r="AK33" s="3294">
        <v>22</v>
      </c>
    </row>
    <row r="34" spans="1:70" s="3193" customFormat="1" ht="12" customHeight="1">
      <c r="A34" s="3294" t="s">
        <v>3741</v>
      </c>
      <c r="B34" s="3294" t="s">
        <v>3773</v>
      </c>
      <c r="C34" s="3296" t="s">
        <v>3774</v>
      </c>
      <c r="D34" s="3294" t="s">
        <v>3775</v>
      </c>
      <c r="E34" s="3294" t="s">
        <v>3757</v>
      </c>
      <c r="F34" s="3294"/>
      <c r="G34" s="3294">
        <v>503</v>
      </c>
      <c r="H34" s="3294" t="s">
        <v>3776</v>
      </c>
      <c r="I34" s="3294">
        <v>5</v>
      </c>
      <c r="J34" s="3294" t="s">
        <v>3760</v>
      </c>
      <c r="K34" s="3298"/>
      <c r="L34" s="3294"/>
      <c r="M34" s="3294"/>
      <c r="N34" s="3294"/>
      <c r="O34" s="3294"/>
      <c r="P34" s="3294"/>
      <c r="Q34" s="3294"/>
      <c r="R34" s="3294"/>
      <c r="S34" s="3299"/>
      <c r="T34" s="3300"/>
      <c r="U34" s="3294"/>
      <c r="V34" s="3301"/>
      <c r="W34" s="3299"/>
      <c r="X34" s="3302"/>
      <c r="Y34" s="3294"/>
      <c r="Z34" s="3294"/>
      <c r="AA34" s="3295"/>
      <c r="AB34" s="3294"/>
      <c r="AC34" s="3294"/>
      <c r="AD34" s="3294"/>
      <c r="AE34" s="3295" t="s">
        <v>3777</v>
      </c>
      <c r="AF34" s="3294">
        <v>2009</v>
      </c>
      <c r="AG34" s="3294">
        <v>12</v>
      </c>
      <c r="AH34" s="3294">
        <v>2</v>
      </c>
      <c r="AI34" s="3294" t="s">
        <v>3778</v>
      </c>
      <c r="AJ34" s="3294">
        <v>50</v>
      </c>
      <c r="AK34" s="3294">
        <v>25</v>
      </c>
      <c r="AL34" s="3193" t="s">
        <v>3779</v>
      </c>
      <c r="AY34" s="3303"/>
      <c r="BG34" s="3304"/>
      <c r="BJ34" s="3305"/>
      <c r="BK34" s="3305"/>
      <c r="BQ34" s="3231"/>
      <c r="BR34" s="3231"/>
    </row>
    <row r="100" spans="2:11">
      <c r="B100" s="1153"/>
      <c r="C100" s="1153"/>
      <c r="D100" s="1153"/>
      <c r="E100" s="1153"/>
      <c r="F100" s="1153"/>
      <c r="G100" s="1153"/>
      <c r="H100" s="1153"/>
      <c r="I100" s="1153"/>
      <c r="J100" s="1153"/>
      <c r="K100" s="1153"/>
    </row>
    <row r="101" spans="2:11">
      <c r="B101" s="1153"/>
      <c r="C101" s="1153"/>
      <c r="D101" s="1153"/>
      <c r="E101" s="1153"/>
      <c r="F101" s="1153"/>
      <c r="G101" s="1153"/>
      <c r="H101" s="1153"/>
      <c r="I101" s="1153"/>
      <c r="J101" s="1153"/>
      <c r="K101" s="1153"/>
    </row>
  </sheetData>
  <mergeCells count="1">
    <mergeCell ref="O30:R30"/>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61.85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618"/>
      <c r="B4" s="3619"/>
      <c r="C4" s="3619"/>
      <c r="D4" s="3620"/>
      <c r="E4" s="3620"/>
      <c r="F4" s="3620"/>
      <c r="G4" s="3620"/>
      <c r="H4" s="3620"/>
      <c r="I4" s="3620"/>
      <c r="J4" s="3621"/>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15" t="s">
        <v>1956</v>
      </c>
      <c r="X8" s="3616"/>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17"/>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17"/>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622" t="s">
        <v>3253</v>
      </c>
      <c r="B20" s="157" t="s">
        <v>1990</v>
      </c>
      <c r="C20" s="3024">
        <f>ROUND(IF(F21="与级别开发程度一致",0,(G21-E21)/C21),0)</f>
        <v>0</v>
      </c>
      <c r="D20" s="3039" t="s">
        <v>1994</v>
      </c>
      <c r="E20" s="3040"/>
      <c r="F20" s="3628" t="s">
        <v>1991</v>
      </c>
      <c r="G20" s="3629"/>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623"/>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40268</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v>
      </c>
      <c r="D24" s="1896" t="s">
        <v>2003</v>
      </c>
      <c r="E24" s="1245">
        <f>存贷款利率!E22/100</f>
        <v>4.3499999999999997E-2</v>
      </c>
      <c r="F24" s="1896" t="s">
        <v>1995</v>
      </c>
      <c r="G24" s="722">
        <f>SUMIF(M30:Q30,E2,M33:Q33)</f>
        <v>0.05</v>
      </c>
      <c r="H24" s="1896" t="s">
        <v>2004</v>
      </c>
      <c r="I24" s="723">
        <f>SUMIF('数据-取费表'!C6:C15,E2,'数据-取费表'!F6:F15)/COUNTIF('数据-取费表'!C6:C15,E2)</f>
        <v>0</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61.85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5.4000000000000006E-2</v>
      </c>
      <c r="M36" s="2359">
        <f ca="1">ROUND($L$36*(1+M31),3)</f>
        <v>6.8000000000000005E-2</v>
      </c>
      <c r="N36" s="2359">
        <f ca="1">ROUND($L$36*(1+N31),3)</f>
        <v>6.5000000000000002E-2</v>
      </c>
      <c r="O36" s="2359">
        <f ca="1">ROUND($L$36*(1+O31),3)</f>
        <v>6.2E-2</v>
      </c>
      <c r="P36" s="2359">
        <f ca="1">ROUND($L$36*(1+P31),3)</f>
        <v>5.8999999999999997E-2</v>
      </c>
      <c r="Q36" s="2359">
        <f ca="1">ROUND($L$36*(1+Q31),3)</f>
        <v>6.2E-2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626"/>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5.9000000000000004E-2</v>
      </c>
      <c r="M37" s="2359">
        <f ca="1">ROUND($L$37*(1+M31),3)</f>
        <v>7.3999999999999996E-2</v>
      </c>
      <c r="N37" s="2359">
        <f ca="1">ROUND($L$37*(1+N31),3)</f>
        <v>7.0999999999999994E-2</v>
      </c>
      <c r="O37" s="2359">
        <f ca="1">ROUND($L$37*(1+O31),3)</f>
        <v>6.8000000000000005E-2</v>
      </c>
      <c r="P37" s="2359">
        <f ca="1">ROUND($L$37*(1+P31),3)</f>
        <v>6.5000000000000002E-2</v>
      </c>
      <c r="Q37" s="2359">
        <f ca="1">ROUND($L$37*(1+Q31),3)</f>
        <v>6.8000000000000005E-2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27"/>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627"/>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51" hidden="1">
      <c r="A51" s="1964" t="s">
        <v>2049</v>
      </c>
      <c r="B51" s="1259" t="str">
        <f>估价对象房地状况!C18</f>
        <v>周边有104路、119路、125路、430路等多条公交线路及地铁5号线和平里北街站，综合评价交通便捷度较好</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40.25" hidden="1">
      <c r="A56" s="1970" t="s">
        <v>2055</v>
      </c>
      <c r="B5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51.75" hidden="1" thickBot="1">
      <c r="A58" s="1971" t="s">
        <v>2057</v>
      </c>
      <c r="B58" s="1972" t="str">
        <f>估价对象房地状况!C20</f>
        <v>周边有地坛公园、青年湖公园、柳荫公园等自然及人文景观，综合评价环境状况较好。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51" hidden="1">
      <c r="A62" s="1964" t="s">
        <v>2049</v>
      </c>
      <c r="B62" s="1259" t="str">
        <f>估价对象房地状况!C18</f>
        <v>周边有104路、119路、125路、430路等多条公交线路及地铁5号线和平里北街站，综合评价交通便捷度较好</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40.25" hidden="1">
      <c r="A67" s="1964" t="s">
        <v>2055</v>
      </c>
      <c r="B67"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51.75" hidden="1" thickBot="1">
      <c r="A69" s="1971" t="s">
        <v>2057</v>
      </c>
      <c r="B69" s="1973" t="str">
        <f>估价对象房地状况!C20</f>
        <v>周边有地坛公园、青年湖公园、柳荫公园等自然及人文景观，综合评价环境状况较好。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周边有和平里社区、青年湖小区、青年湖北里、小黄庄前街2号院等住宅小区，居住社区成熟度较好。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51">
      <c r="A73" s="1964" t="s">
        <v>2049</v>
      </c>
      <c r="B73" s="1259" t="str">
        <f>估价对象房地状况!C18</f>
        <v>周边有104路、119路、125路、430路等多条公交线路及地铁5号线和平里北街站，综合评价交通便捷度较好</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40.25">
      <c r="A76" s="1964" t="s">
        <v>2055</v>
      </c>
      <c r="B7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51">
      <c r="A79" s="1964" t="s">
        <v>2057</v>
      </c>
      <c r="B79" s="1967" t="str">
        <f>估价对象房地状况!C20</f>
        <v>周边有地坛公园、青年湖公园、柳荫公园等自然及人文景观，综合评价环境状况较好。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51">
      <c r="A94" s="3073" t="s">
        <v>3272</v>
      </c>
      <c r="B94" s="3064" t="str">
        <f>估价对象房地状况!C18</f>
        <v>周边有104路、119路、125路、430路等多条公交线路及地铁5号线和平里北街站，综合评价交通便捷度较好</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40.25">
      <c r="A99" s="3073" t="s">
        <v>3276</v>
      </c>
      <c r="B99" s="3064"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51.75" thickBot="1">
      <c r="A101" s="3074" t="s">
        <v>3278</v>
      </c>
      <c r="B101" s="3081" t="str">
        <f>估价对象房地状况!C20</f>
        <v>周边有地坛公园、青年湖公园、柳荫公园等自然及人文景观，综合评价环境状况较好。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24" t="s">
        <v>3293</v>
      </c>
      <c r="B103" s="3624"/>
      <c r="C103" s="3624"/>
      <c r="D103" s="3624"/>
      <c r="E103" s="3624"/>
      <c r="F103" s="3624"/>
      <c r="G103" s="3624"/>
      <c r="H103" s="3624"/>
      <c r="I103" s="3624"/>
      <c r="J103" s="3624"/>
      <c r="K103" s="1664"/>
      <c r="L103" s="1664"/>
      <c r="M103" s="1664"/>
      <c r="N103" s="1664"/>
    </row>
    <row r="104" spans="1:14">
      <c r="A104" s="3625" t="s">
        <v>3294</v>
      </c>
      <c r="B104" s="3625" t="s">
        <v>3295</v>
      </c>
      <c r="C104" s="3083" t="s">
        <v>3296</v>
      </c>
      <c r="D104" s="3084"/>
      <c r="E104" s="3084"/>
      <c r="F104" s="3084"/>
      <c r="G104" s="3084"/>
      <c r="H104" s="3084"/>
      <c r="I104" s="3084"/>
      <c r="J104" s="3085"/>
      <c r="K104" s="3086"/>
      <c r="L104" s="3086"/>
      <c r="M104" s="3086"/>
      <c r="N104" s="3086"/>
    </row>
    <row r="105" spans="1:14">
      <c r="A105" s="3625"/>
      <c r="B105" s="3625"/>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11"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12"/>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12"/>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12"/>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12"/>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12"/>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13"/>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14" t="s">
        <v>3310</v>
      </c>
      <c r="B113" s="3614"/>
      <c r="C113" s="3614"/>
      <c r="D113" s="3614"/>
      <c r="E113" s="3614"/>
      <c r="F113" s="3614"/>
      <c r="G113" s="3614"/>
      <c r="H113" s="3614"/>
      <c r="I113" s="3614"/>
      <c r="J113" s="3614"/>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39" t="s">
        <v>2604</v>
      </c>
      <c r="B20" s="3634" t="s">
        <v>2625</v>
      </c>
      <c r="C20" s="2835" t="s">
        <v>2436</v>
      </c>
      <c r="D20" s="2836"/>
      <c r="E20" s="2837">
        <v>1</v>
      </c>
      <c r="F20" s="2838" t="s">
        <v>2437</v>
      </c>
      <c r="G20" s="2838"/>
    </row>
    <row r="21" spans="1:13" ht="19.5" customHeight="1">
      <c r="A21" s="3640"/>
      <c r="B21" s="3633"/>
      <c r="C21" s="2839" t="s">
        <v>2438</v>
      </c>
      <c r="D21" s="2840"/>
      <c r="E21" s="2841">
        <v>1</v>
      </c>
      <c r="F21" s="2838" t="s">
        <v>2439</v>
      </c>
      <c r="G21" s="2838"/>
    </row>
    <row r="22" spans="1:13" ht="19.5" customHeight="1">
      <c r="A22" s="3640"/>
      <c r="B22" s="3633"/>
      <c r="C22" s="2839" t="s">
        <v>2440</v>
      </c>
      <c r="D22" s="2840"/>
      <c r="E22" s="2841">
        <v>0.9</v>
      </c>
      <c r="F22" s="2838" t="s">
        <v>2441</v>
      </c>
      <c r="G22" s="2838"/>
    </row>
    <row r="23" spans="1:13" ht="19.5" customHeight="1">
      <c r="A23" s="3640"/>
      <c r="B23" s="3633"/>
      <c r="C23" s="2839" t="s">
        <v>2442</v>
      </c>
      <c r="D23" s="2840"/>
      <c r="E23" s="2841">
        <v>0.9</v>
      </c>
      <c r="F23" s="2838" t="s">
        <v>2443</v>
      </c>
      <c r="G23" s="2838"/>
    </row>
    <row r="24" spans="1:13" ht="19.5" customHeight="1">
      <c r="A24" s="3640"/>
      <c r="B24" s="3633"/>
      <c r="C24" s="2839" t="s">
        <v>2444</v>
      </c>
      <c r="D24" s="2840"/>
      <c r="E24" s="2841">
        <v>0.8</v>
      </c>
      <c r="F24" s="2838" t="s">
        <v>2445</v>
      </c>
      <c r="G24" s="2838"/>
    </row>
    <row r="25" spans="1:13" ht="19.5" customHeight="1" thickBot="1">
      <c r="A25" s="3641"/>
      <c r="B25" s="3635"/>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36" t="s">
        <v>2628</v>
      </c>
      <c r="B27" s="3634" t="s">
        <v>2609</v>
      </c>
      <c r="C27" s="2835" t="s">
        <v>2449</v>
      </c>
      <c r="D27" s="2836"/>
      <c r="E27" s="2837">
        <v>1</v>
      </c>
      <c r="F27" s="2838" t="s">
        <v>2450</v>
      </c>
      <c r="G27" s="2838"/>
    </row>
    <row r="28" spans="1:13" ht="19.5" customHeight="1">
      <c r="A28" s="3637"/>
      <c r="B28" s="3633"/>
      <c r="C28" s="2839" t="s">
        <v>2451</v>
      </c>
      <c r="D28" s="2840"/>
      <c r="E28" s="2841">
        <v>1</v>
      </c>
      <c r="F28" s="2838" t="s">
        <v>2452</v>
      </c>
      <c r="G28" s="2838"/>
    </row>
    <row r="29" spans="1:13" ht="19.5" customHeight="1">
      <c r="A29" s="3637"/>
      <c r="B29" s="3633"/>
      <c r="C29" s="2839" t="s">
        <v>2453</v>
      </c>
      <c r="D29" s="2840"/>
      <c r="E29" s="2841">
        <v>0.8</v>
      </c>
      <c r="F29" s="2838" t="s">
        <v>2454</v>
      </c>
      <c r="G29" s="2838"/>
    </row>
    <row r="30" spans="1:13" ht="19.5" customHeight="1">
      <c r="A30" s="3637"/>
      <c r="B30" s="3633"/>
      <c r="C30" s="2839" t="s">
        <v>2455</v>
      </c>
      <c r="D30" s="2840"/>
      <c r="E30" s="2841">
        <v>0.8</v>
      </c>
      <c r="F30" s="2838" t="s">
        <v>2456</v>
      </c>
      <c r="G30" s="2838"/>
    </row>
    <row r="31" spans="1:13" ht="19.5" customHeight="1">
      <c r="A31" s="3637"/>
      <c r="B31" s="3633"/>
      <c r="C31" s="2839" t="s">
        <v>2457</v>
      </c>
      <c r="D31" s="2840"/>
      <c r="E31" s="2841">
        <v>0.8</v>
      </c>
      <c r="F31" s="2838" t="s">
        <v>2458</v>
      </c>
      <c r="G31" s="2838"/>
    </row>
    <row r="32" spans="1:13" ht="19.5" customHeight="1">
      <c r="A32" s="3637"/>
      <c r="B32" s="3633"/>
      <c r="C32" s="2839" t="s">
        <v>2459</v>
      </c>
      <c r="D32" s="2840"/>
      <c r="E32" s="2841">
        <v>0.7</v>
      </c>
      <c r="F32" s="2838" t="s">
        <v>2460</v>
      </c>
      <c r="G32" s="2838"/>
    </row>
    <row r="33" spans="1:7" ht="19.5" customHeight="1">
      <c r="A33" s="3637"/>
      <c r="B33" s="3633"/>
      <c r="C33" s="2839" t="s">
        <v>2461</v>
      </c>
      <c r="D33" s="2840"/>
      <c r="E33" s="2841">
        <v>0.8</v>
      </c>
      <c r="F33" s="2838" t="s">
        <v>2462</v>
      </c>
      <c r="G33" s="2838"/>
    </row>
    <row r="34" spans="1:7" ht="19.5" customHeight="1">
      <c r="A34" s="3637"/>
      <c r="B34" s="3633"/>
      <c r="C34" s="2839" t="s">
        <v>2463</v>
      </c>
      <c r="D34" s="2840"/>
      <c r="E34" s="2841">
        <v>0.6</v>
      </c>
      <c r="F34" s="2838" t="s">
        <v>2464</v>
      </c>
      <c r="G34" s="2838"/>
    </row>
    <row r="35" spans="1:7" ht="19.5" customHeight="1">
      <c r="A35" s="3637"/>
      <c r="B35" s="3633"/>
      <c r="C35" s="2839" t="s">
        <v>2465</v>
      </c>
      <c r="D35" s="2840"/>
      <c r="E35" s="2841">
        <v>0.2</v>
      </c>
      <c r="F35" s="2838" t="s">
        <v>2466</v>
      </c>
      <c r="G35" s="2838"/>
    </row>
    <row r="36" spans="1:7" ht="19.5" customHeight="1">
      <c r="A36" s="3637"/>
      <c r="B36" s="3633"/>
      <c r="C36" s="2839" t="s">
        <v>2467</v>
      </c>
      <c r="D36" s="2840"/>
      <c r="E36" s="2841">
        <v>0.2</v>
      </c>
      <c r="F36" s="2838" t="s">
        <v>2468</v>
      </c>
      <c r="G36" s="2838"/>
    </row>
    <row r="37" spans="1:7" ht="19.5" customHeight="1">
      <c r="A37" s="3637"/>
      <c r="B37" s="3631" t="s">
        <v>2629</v>
      </c>
      <c r="C37" s="2839" t="s">
        <v>2469</v>
      </c>
      <c r="D37" s="2840"/>
      <c r="E37" s="2841">
        <v>0.6</v>
      </c>
      <c r="F37" s="2838" t="s">
        <v>2470</v>
      </c>
      <c r="G37" s="2838"/>
    </row>
    <row r="38" spans="1:7" ht="19.5" customHeight="1">
      <c r="A38" s="3637"/>
      <c r="B38" s="3633"/>
      <c r="C38" s="2839" t="s">
        <v>2471</v>
      </c>
      <c r="D38" s="2840"/>
      <c r="E38" s="2841">
        <v>0.6</v>
      </c>
      <c r="F38" s="2838" t="s">
        <v>2472</v>
      </c>
      <c r="G38" s="2838"/>
    </row>
    <row r="39" spans="1:7" ht="19.5" customHeight="1" thickBot="1">
      <c r="A39" s="3638"/>
      <c r="B39" s="3635"/>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39" t="s">
        <v>2607</v>
      </c>
      <c r="B41" s="3634" t="s">
        <v>2631</v>
      </c>
      <c r="C41" s="2835" t="s">
        <v>2476</v>
      </c>
      <c r="D41" s="2836"/>
      <c r="E41" s="2837">
        <v>1</v>
      </c>
      <c r="F41" s="2838" t="s">
        <v>2477</v>
      </c>
      <c r="G41" s="2838"/>
    </row>
    <row r="42" spans="1:7" ht="19.5" customHeight="1">
      <c r="A42" s="3640"/>
      <c r="B42" s="3633"/>
      <c r="C42" s="2839" t="s">
        <v>2478</v>
      </c>
      <c r="D42" s="2840"/>
      <c r="E42" s="2841">
        <v>1</v>
      </c>
      <c r="F42" s="2838" t="s">
        <v>2479</v>
      </c>
      <c r="G42" s="2838"/>
    </row>
    <row r="43" spans="1:7" ht="19.5" customHeight="1">
      <c r="A43" s="3640"/>
      <c r="B43" s="3632"/>
      <c r="C43" s="2839" t="s">
        <v>2480</v>
      </c>
      <c r="D43" s="2840"/>
      <c r="E43" s="2841">
        <v>1.5</v>
      </c>
      <c r="F43" s="2838" t="s">
        <v>2481</v>
      </c>
      <c r="G43" s="2838"/>
    </row>
    <row r="44" spans="1:7" ht="19.5" customHeight="1">
      <c r="A44" s="3640"/>
      <c r="B44" s="2850" t="s">
        <v>2632</v>
      </c>
      <c r="C44" s="2839" t="s">
        <v>2633</v>
      </c>
      <c r="D44" s="2840"/>
      <c r="E44" s="2841">
        <v>2</v>
      </c>
      <c r="F44" s="2838" t="s">
        <v>2482</v>
      </c>
      <c r="G44" s="2838"/>
    </row>
    <row r="45" spans="1:7" ht="19.5" customHeight="1">
      <c r="A45" s="3640"/>
      <c r="B45" s="3631" t="s">
        <v>2634</v>
      </c>
      <c r="C45" s="2839" t="s">
        <v>2483</v>
      </c>
      <c r="D45" s="2840"/>
      <c r="E45" s="2841">
        <v>1</v>
      </c>
      <c r="F45" s="2838" t="s">
        <v>2484</v>
      </c>
      <c r="G45" s="2838"/>
    </row>
    <row r="46" spans="1:7" ht="19.5" customHeight="1">
      <c r="A46" s="3640"/>
      <c r="B46" s="3633"/>
      <c r="C46" s="2839" t="s">
        <v>2485</v>
      </c>
      <c r="D46" s="2840"/>
      <c r="E46" s="2841">
        <v>1</v>
      </c>
      <c r="F46" s="2838" t="s">
        <v>2486</v>
      </c>
      <c r="G46" s="2838"/>
    </row>
    <row r="47" spans="1:7" ht="19.5" customHeight="1">
      <c r="A47" s="3640"/>
      <c r="B47" s="3633"/>
      <c r="C47" s="2839" t="s">
        <v>2487</v>
      </c>
      <c r="D47" s="2840"/>
      <c r="E47" s="2841">
        <v>1</v>
      </c>
      <c r="F47" s="2838" t="s">
        <v>2488</v>
      </c>
      <c r="G47" s="2838"/>
    </row>
    <row r="48" spans="1:7" ht="19.5" customHeight="1">
      <c r="A48" s="3640"/>
      <c r="B48" s="3633"/>
      <c r="C48" s="2839" t="s">
        <v>2489</v>
      </c>
      <c r="D48" s="2840"/>
      <c r="E48" s="2841">
        <v>1</v>
      </c>
      <c r="F48" s="2838" t="s">
        <v>2490</v>
      </c>
      <c r="G48" s="2838"/>
    </row>
    <row r="49" spans="1:7" ht="19.5" customHeight="1">
      <c r="A49" s="3640"/>
      <c r="B49" s="3633"/>
      <c r="C49" s="2839" t="s">
        <v>2491</v>
      </c>
      <c r="D49" s="2840"/>
      <c r="E49" s="2841">
        <v>1</v>
      </c>
      <c r="F49" s="2838" t="s">
        <v>2492</v>
      </c>
      <c r="G49" s="2838"/>
    </row>
    <row r="50" spans="1:7" ht="19.5" customHeight="1">
      <c r="A50" s="3640"/>
      <c r="B50" s="3633"/>
      <c r="C50" s="2839" t="s">
        <v>2493</v>
      </c>
      <c r="D50" s="2840"/>
      <c r="E50" s="2841">
        <v>1</v>
      </c>
      <c r="F50" s="2838" t="s">
        <v>2494</v>
      </c>
      <c r="G50" s="2838"/>
    </row>
    <row r="51" spans="1:7" ht="19.5" customHeight="1" thickBot="1">
      <c r="A51" s="3641"/>
      <c r="B51" s="3635"/>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31" t="s">
        <v>2648</v>
      </c>
      <c r="C73" s="2824" t="s">
        <v>2649</v>
      </c>
      <c r="D73" s="2824" t="s">
        <v>2650</v>
      </c>
      <c r="E73" s="2850">
        <v>0.2</v>
      </c>
      <c r="F73" s="2850">
        <v>25</v>
      </c>
    </row>
    <row r="74" spans="1:7" ht="24">
      <c r="A74" s="2850">
        <v>2</v>
      </c>
      <c r="B74" s="3633"/>
      <c r="C74" s="2824" t="s">
        <v>2651</v>
      </c>
      <c r="D74" s="2824" t="s">
        <v>2652</v>
      </c>
      <c r="E74" s="2850">
        <v>0.2</v>
      </c>
      <c r="F74" s="2850">
        <v>25</v>
      </c>
    </row>
    <row r="75" spans="1:7" ht="24">
      <c r="A75" s="2850">
        <v>3</v>
      </c>
      <c r="B75" s="3633"/>
      <c r="C75" s="2824" t="s">
        <v>2653</v>
      </c>
      <c r="D75" s="2824" t="s">
        <v>2654</v>
      </c>
      <c r="E75" s="2850">
        <v>0.2</v>
      </c>
      <c r="F75" s="2850">
        <v>25</v>
      </c>
    </row>
    <row r="76" spans="1:7" ht="13.5">
      <c r="A76" s="2850">
        <v>4</v>
      </c>
      <c r="B76" s="3633"/>
      <c r="C76" s="2824" t="s">
        <v>2655</v>
      </c>
      <c r="D76" s="2824" t="s">
        <v>2656</v>
      </c>
      <c r="E76" s="2850">
        <v>0.15</v>
      </c>
      <c r="F76" s="2850">
        <v>20</v>
      </c>
    </row>
    <row r="77" spans="1:7" ht="24">
      <c r="A77" s="2850">
        <v>5</v>
      </c>
      <c r="B77" s="3633"/>
      <c r="C77" s="2824" t="s">
        <v>2657</v>
      </c>
      <c r="D77" s="2824" t="s">
        <v>2658</v>
      </c>
      <c r="E77" s="2850">
        <v>0.15</v>
      </c>
      <c r="F77" s="2850">
        <v>20</v>
      </c>
    </row>
    <row r="78" spans="1:7" ht="24">
      <c r="A78" s="2850">
        <v>6</v>
      </c>
      <c r="B78" s="3633"/>
      <c r="C78" s="2824" t="s">
        <v>2659</v>
      </c>
      <c r="D78" s="2824" t="s">
        <v>2660</v>
      </c>
      <c r="E78" s="2850">
        <v>0.15</v>
      </c>
      <c r="F78" s="2850">
        <v>20</v>
      </c>
    </row>
    <row r="79" spans="1:7" ht="24">
      <c r="A79" s="2850">
        <v>7</v>
      </c>
      <c r="B79" s="3633"/>
      <c r="C79" s="2824" t="s">
        <v>2661</v>
      </c>
      <c r="D79" s="2824" t="s">
        <v>2662</v>
      </c>
      <c r="E79" s="2850">
        <v>0.15</v>
      </c>
      <c r="F79" s="2850">
        <v>20</v>
      </c>
    </row>
    <row r="80" spans="1:7" ht="24">
      <c r="A80" s="2850">
        <v>8</v>
      </c>
      <c r="B80" s="3633"/>
      <c r="C80" s="2824" t="s">
        <v>2663</v>
      </c>
      <c r="D80" s="2824" t="s">
        <v>2664</v>
      </c>
      <c r="E80" s="2850">
        <v>0.1</v>
      </c>
      <c r="F80" s="2850">
        <v>15</v>
      </c>
    </row>
    <row r="81" spans="1:6" ht="24">
      <c r="A81" s="2850">
        <v>9</v>
      </c>
      <c r="B81" s="3633"/>
      <c r="C81" s="2824" t="s">
        <v>2665</v>
      </c>
      <c r="D81" s="2824" t="s">
        <v>2666</v>
      </c>
      <c r="E81" s="2850">
        <v>0.1</v>
      </c>
      <c r="F81" s="2850">
        <v>15</v>
      </c>
    </row>
    <row r="82" spans="1:6" ht="24">
      <c r="A82" s="2850">
        <v>10</v>
      </c>
      <c r="B82" s="3633"/>
      <c r="C82" s="2824" t="s">
        <v>2667</v>
      </c>
      <c r="D82" s="2824" t="s">
        <v>2668</v>
      </c>
      <c r="E82" s="2850">
        <v>0.1</v>
      </c>
      <c r="F82" s="2850">
        <v>15</v>
      </c>
    </row>
    <row r="83" spans="1:6" ht="24">
      <c r="A83" s="2850">
        <v>11</v>
      </c>
      <c r="B83" s="3633"/>
      <c r="C83" s="2824" t="s">
        <v>2669</v>
      </c>
      <c r="D83" s="2824" t="s">
        <v>2670</v>
      </c>
      <c r="E83" s="2850">
        <v>0.1</v>
      </c>
      <c r="F83" s="2850">
        <v>15</v>
      </c>
    </row>
    <row r="84" spans="1:6" ht="24">
      <c r="A84" s="2850">
        <v>12</v>
      </c>
      <c r="B84" s="3633"/>
      <c r="C84" s="2824" t="s">
        <v>2671</v>
      </c>
      <c r="D84" s="2824" t="s">
        <v>2672</v>
      </c>
      <c r="E84" s="2850">
        <v>0.1</v>
      </c>
      <c r="F84" s="2850">
        <v>15</v>
      </c>
    </row>
    <row r="85" spans="1:6" ht="13.5">
      <c r="A85" s="2850">
        <v>13</v>
      </c>
      <c r="B85" s="3633"/>
      <c r="C85" s="2824" t="s">
        <v>2673</v>
      </c>
      <c r="D85" s="2824" t="s">
        <v>2674</v>
      </c>
      <c r="E85" s="2850">
        <v>0.1</v>
      </c>
      <c r="F85" s="2850">
        <v>15</v>
      </c>
    </row>
    <row r="86" spans="1:6" ht="13.5">
      <c r="A86" s="2850">
        <v>14</v>
      </c>
      <c r="B86" s="3633"/>
      <c r="C86" s="2824" t="s">
        <v>2675</v>
      </c>
      <c r="D86" s="2824" t="s">
        <v>2676</v>
      </c>
      <c r="E86" s="2850">
        <v>0.1</v>
      </c>
      <c r="F86" s="2850">
        <v>15</v>
      </c>
    </row>
    <row r="87" spans="1:6" ht="13.5">
      <c r="A87" s="2850">
        <v>15</v>
      </c>
      <c r="B87" s="3633"/>
      <c r="C87" s="2824" t="s">
        <v>2677</v>
      </c>
      <c r="D87" s="2824" t="s">
        <v>2678</v>
      </c>
      <c r="E87" s="2850">
        <v>0.1</v>
      </c>
      <c r="F87" s="2850">
        <v>15</v>
      </c>
    </row>
    <row r="88" spans="1:6" ht="24">
      <c r="A88" s="2850">
        <v>16</v>
      </c>
      <c r="B88" s="3633"/>
      <c r="C88" s="2824" t="s">
        <v>2679</v>
      </c>
      <c r="D88" s="2824" t="s">
        <v>2680</v>
      </c>
      <c r="E88" s="2850">
        <v>0.1</v>
      </c>
      <c r="F88" s="2850">
        <v>15</v>
      </c>
    </row>
    <row r="89" spans="1:6" ht="24">
      <c r="A89" s="2850">
        <v>17</v>
      </c>
      <c r="B89" s="3632"/>
      <c r="C89" s="2824" t="s">
        <v>2681</v>
      </c>
      <c r="D89" s="2824" t="s">
        <v>2682</v>
      </c>
      <c r="E89" s="2850">
        <v>0.1</v>
      </c>
      <c r="F89" s="2850">
        <v>15</v>
      </c>
    </row>
    <row r="90" spans="1:6" ht="13.5">
      <c r="A90" s="2850">
        <v>18</v>
      </c>
      <c r="B90" s="3631" t="s">
        <v>2683</v>
      </c>
      <c r="C90" s="2824" t="s">
        <v>2684</v>
      </c>
      <c r="D90" s="2824" t="s">
        <v>2685</v>
      </c>
      <c r="E90" s="2850">
        <v>0.2</v>
      </c>
      <c r="F90" s="2850">
        <v>25</v>
      </c>
    </row>
    <row r="91" spans="1:6" ht="24">
      <c r="A91" s="2850">
        <v>19</v>
      </c>
      <c r="B91" s="3633"/>
      <c r="C91" s="2824" t="s">
        <v>2686</v>
      </c>
      <c r="D91" s="2824" t="s">
        <v>2687</v>
      </c>
      <c r="E91" s="2850">
        <v>0.2</v>
      </c>
      <c r="F91" s="2850">
        <v>25</v>
      </c>
    </row>
    <row r="92" spans="1:6" ht="13.5">
      <c r="A92" s="2850">
        <v>20</v>
      </c>
      <c r="B92" s="3633"/>
      <c r="C92" s="2824" t="s">
        <v>2688</v>
      </c>
      <c r="D92" s="2824" t="s">
        <v>2689</v>
      </c>
      <c r="E92" s="2850">
        <v>0.15</v>
      </c>
      <c r="F92" s="2850">
        <v>20</v>
      </c>
    </row>
    <row r="93" spans="1:6" ht="13.5">
      <c r="A93" s="2850">
        <v>21</v>
      </c>
      <c r="B93" s="3633"/>
      <c r="C93" s="2824" t="s">
        <v>2690</v>
      </c>
      <c r="D93" s="2824" t="s">
        <v>2691</v>
      </c>
      <c r="E93" s="2850">
        <v>0.15</v>
      </c>
      <c r="F93" s="2850">
        <v>20</v>
      </c>
    </row>
    <row r="94" spans="1:6" ht="13.5">
      <c r="A94" s="2850">
        <v>22</v>
      </c>
      <c r="B94" s="3633"/>
      <c r="C94" s="2824" t="s">
        <v>2692</v>
      </c>
      <c r="D94" s="2824" t="s">
        <v>2693</v>
      </c>
      <c r="E94" s="2850">
        <v>0.15</v>
      </c>
      <c r="F94" s="2850">
        <v>20</v>
      </c>
    </row>
    <row r="95" spans="1:6" ht="36">
      <c r="A95" s="2850">
        <v>23</v>
      </c>
      <c r="B95" s="3633"/>
      <c r="C95" s="2824" t="s">
        <v>2694</v>
      </c>
      <c r="D95" s="2824" t="s">
        <v>2695</v>
      </c>
      <c r="E95" s="2850">
        <v>0.15</v>
      </c>
      <c r="F95" s="2850">
        <v>20</v>
      </c>
    </row>
    <row r="96" spans="1:6" ht="13.5">
      <c r="A96" s="2850">
        <v>24</v>
      </c>
      <c r="B96" s="3633"/>
      <c r="C96" s="2824" t="s">
        <v>2696</v>
      </c>
      <c r="D96" s="2824" t="s">
        <v>2697</v>
      </c>
      <c r="E96" s="2850">
        <v>0.1</v>
      </c>
      <c r="F96" s="2850">
        <v>15</v>
      </c>
    </row>
    <row r="97" spans="1:6" ht="13.5">
      <c r="A97" s="2850">
        <v>25</v>
      </c>
      <c r="B97" s="3633"/>
      <c r="C97" s="2824" t="s">
        <v>2698</v>
      </c>
      <c r="D97" s="2824" t="s">
        <v>2699</v>
      </c>
      <c r="E97" s="2850">
        <v>0.1</v>
      </c>
      <c r="F97" s="2850">
        <v>15</v>
      </c>
    </row>
    <row r="98" spans="1:6" ht="24">
      <c r="A98" s="2850">
        <v>26</v>
      </c>
      <c r="B98" s="3633"/>
      <c r="C98" s="2824" t="s">
        <v>2700</v>
      </c>
      <c r="D98" s="2824" t="s">
        <v>2701</v>
      </c>
      <c r="E98" s="2850">
        <v>0.1</v>
      </c>
      <c r="F98" s="2850">
        <v>15</v>
      </c>
    </row>
    <row r="99" spans="1:6" ht="24">
      <c r="A99" s="2850">
        <v>27</v>
      </c>
      <c r="B99" s="3633"/>
      <c r="C99" s="2824" t="s">
        <v>2702</v>
      </c>
      <c r="D99" s="2824" t="s">
        <v>2703</v>
      </c>
      <c r="E99" s="2850">
        <v>0.1</v>
      </c>
      <c r="F99" s="2850">
        <v>15</v>
      </c>
    </row>
    <row r="100" spans="1:6" ht="13.5">
      <c r="A100" s="2850">
        <v>28</v>
      </c>
      <c r="B100" s="3633"/>
      <c r="C100" s="2824" t="s">
        <v>2704</v>
      </c>
      <c r="D100" s="2824" t="s">
        <v>2705</v>
      </c>
      <c r="E100" s="2850">
        <v>0.1</v>
      </c>
      <c r="F100" s="2850">
        <v>15</v>
      </c>
    </row>
    <row r="101" spans="1:6" ht="13.5">
      <c r="A101" s="2850">
        <v>29</v>
      </c>
      <c r="B101" s="3633"/>
      <c r="C101" s="2824" t="s">
        <v>2706</v>
      </c>
      <c r="D101" s="2824" t="s">
        <v>2707</v>
      </c>
      <c r="E101" s="2850">
        <v>0.1</v>
      </c>
      <c r="F101" s="2850">
        <v>15</v>
      </c>
    </row>
    <row r="102" spans="1:6" ht="13.5">
      <c r="A102" s="2850">
        <v>30</v>
      </c>
      <c r="B102" s="3633"/>
      <c r="C102" s="2824" t="s">
        <v>2708</v>
      </c>
      <c r="D102" s="2824" t="s">
        <v>2709</v>
      </c>
      <c r="E102" s="2850">
        <v>0.1</v>
      </c>
      <c r="F102" s="2850">
        <v>15</v>
      </c>
    </row>
    <row r="103" spans="1:6" ht="24">
      <c r="A103" s="2850">
        <v>31</v>
      </c>
      <c r="B103" s="3633"/>
      <c r="C103" s="2824" t="s">
        <v>2710</v>
      </c>
      <c r="D103" s="2824" t="s">
        <v>2711</v>
      </c>
      <c r="E103" s="2850">
        <v>0.1</v>
      </c>
      <c r="F103" s="2850">
        <v>15</v>
      </c>
    </row>
    <row r="104" spans="1:6" ht="24">
      <c r="A104" s="2850">
        <v>32</v>
      </c>
      <c r="B104" s="3633"/>
      <c r="C104" s="2824" t="s">
        <v>2712</v>
      </c>
      <c r="D104" s="2824" t="s">
        <v>2713</v>
      </c>
      <c r="E104" s="2850">
        <v>0.1</v>
      </c>
      <c r="F104" s="2850">
        <v>15</v>
      </c>
    </row>
    <row r="105" spans="1:6" ht="24">
      <c r="A105" s="2850">
        <v>33</v>
      </c>
      <c r="B105" s="3633"/>
      <c r="C105" s="2824" t="s">
        <v>2714</v>
      </c>
      <c r="D105" s="2824" t="s">
        <v>2715</v>
      </c>
      <c r="E105" s="2850">
        <v>0.1</v>
      </c>
      <c r="F105" s="2850">
        <v>15</v>
      </c>
    </row>
    <row r="106" spans="1:6" ht="24">
      <c r="A106" s="2850">
        <v>34</v>
      </c>
      <c r="B106" s="3632"/>
      <c r="C106" s="2824" t="s">
        <v>2716</v>
      </c>
      <c r="D106" s="2824" t="s">
        <v>2717</v>
      </c>
      <c r="E106" s="2850">
        <v>0.1</v>
      </c>
      <c r="F106" s="2850">
        <v>15</v>
      </c>
    </row>
    <row r="107" spans="1:6" ht="24">
      <c r="A107" s="2850">
        <v>35</v>
      </c>
      <c r="B107" s="3631" t="s">
        <v>2718</v>
      </c>
      <c r="C107" s="2850" t="s">
        <v>2719</v>
      </c>
      <c r="D107" s="2824" t="s">
        <v>2720</v>
      </c>
      <c r="E107" s="2850">
        <v>0.15</v>
      </c>
      <c r="F107" s="2850">
        <v>20</v>
      </c>
    </row>
    <row r="108" spans="1:6" ht="13.5">
      <c r="A108" s="2850">
        <v>36</v>
      </c>
      <c r="B108" s="3633"/>
      <c r="C108" s="2850" t="s">
        <v>2721</v>
      </c>
      <c r="D108" s="2824" t="s">
        <v>2722</v>
      </c>
      <c r="E108" s="2850">
        <v>0.15</v>
      </c>
      <c r="F108" s="2850">
        <v>20</v>
      </c>
    </row>
    <row r="109" spans="1:6" ht="13.5">
      <c r="A109" s="2850">
        <v>37</v>
      </c>
      <c r="B109" s="3633"/>
      <c r="C109" s="2850" t="s">
        <v>2723</v>
      </c>
      <c r="D109" s="2824" t="s">
        <v>2724</v>
      </c>
      <c r="E109" s="2850">
        <v>0.15</v>
      </c>
      <c r="F109" s="2850">
        <v>20</v>
      </c>
    </row>
    <row r="110" spans="1:6" ht="13.5">
      <c r="A110" s="2850">
        <v>38</v>
      </c>
      <c r="B110" s="3633"/>
      <c r="C110" s="2850" t="s">
        <v>2725</v>
      </c>
      <c r="D110" s="2824" t="s">
        <v>2726</v>
      </c>
      <c r="E110" s="2850">
        <v>0.1</v>
      </c>
      <c r="F110" s="2850">
        <v>15</v>
      </c>
    </row>
    <row r="111" spans="1:6" ht="24">
      <c r="A111" s="2850">
        <v>39</v>
      </c>
      <c r="B111" s="3633"/>
      <c r="C111" s="2850" t="s">
        <v>2727</v>
      </c>
      <c r="D111" s="2824" t="s">
        <v>2728</v>
      </c>
      <c r="E111" s="2850">
        <v>0.1</v>
      </c>
      <c r="F111" s="2850">
        <v>15</v>
      </c>
    </row>
    <row r="112" spans="1:6" ht="24">
      <c r="A112" s="2850">
        <v>40</v>
      </c>
      <c r="B112" s="3632"/>
      <c r="C112" s="2850" t="s">
        <v>2729</v>
      </c>
      <c r="D112" s="2824" t="s">
        <v>2730</v>
      </c>
      <c r="E112" s="2850">
        <v>0.1</v>
      </c>
      <c r="F112" s="2850">
        <v>15</v>
      </c>
    </row>
    <row r="113" spans="1:6" ht="13.5">
      <c r="A113" s="2850">
        <v>41</v>
      </c>
      <c r="B113" s="3630" t="s">
        <v>2731</v>
      </c>
      <c r="C113" s="2850" t="s">
        <v>2732</v>
      </c>
      <c r="D113" s="2824" t="s">
        <v>2733</v>
      </c>
      <c r="E113" s="2850">
        <v>0.1</v>
      </c>
      <c r="F113" s="2850">
        <v>15</v>
      </c>
    </row>
    <row r="114" spans="1:6" ht="13.5">
      <c r="A114" s="2850">
        <v>42</v>
      </c>
      <c r="B114" s="3630"/>
      <c r="C114" s="2850" t="s">
        <v>2734</v>
      </c>
      <c r="D114" s="2824" t="s">
        <v>2735</v>
      </c>
      <c r="E114" s="2850">
        <v>0.1</v>
      </c>
      <c r="F114" s="2850">
        <v>15</v>
      </c>
    </row>
    <row r="115" spans="1:6" ht="24">
      <c r="A115" s="2850">
        <v>43</v>
      </c>
      <c r="B115" s="3630"/>
      <c r="C115" s="2850" t="s">
        <v>2736</v>
      </c>
      <c r="D115" s="2824" t="s">
        <v>2737</v>
      </c>
      <c r="E115" s="2850">
        <v>0.1</v>
      </c>
      <c r="F115" s="2850">
        <v>15</v>
      </c>
    </row>
    <row r="116" spans="1:6" ht="13.5">
      <c r="A116" s="2850">
        <v>44</v>
      </c>
      <c r="B116" s="3631" t="s">
        <v>2738</v>
      </c>
      <c r="C116" s="2850" t="s">
        <v>2739</v>
      </c>
      <c r="D116" s="2824" t="s">
        <v>2740</v>
      </c>
      <c r="E116" s="2850">
        <v>0.1</v>
      </c>
      <c r="F116" s="2850">
        <v>15</v>
      </c>
    </row>
    <row r="117" spans="1:6" ht="24">
      <c r="A117" s="2850">
        <v>45</v>
      </c>
      <c r="B117" s="3632"/>
      <c r="C117" s="2824" t="s">
        <v>2741</v>
      </c>
      <c r="D117" s="2824" t="s">
        <v>2742</v>
      </c>
      <c r="E117" s="2850">
        <v>0.1</v>
      </c>
      <c r="F117" s="2850">
        <v>15</v>
      </c>
    </row>
    <row r="118" spans="1:6" ht="24">
      <c r="A118" s="2850">
        <v>46</v>
      </c>
      <c r="B118" s="3631" t="s">
        <v>2743</v>
      </c>
      <c r="C118" s="2850" t="s">
        <v>2744</v>
      </c>
      <c r="D118" s="2824" t="s">
        <v>2745</v>
      </c>
      <c r="E118" s="2850">
        <v>0.1</v>
      </c>
      <c r="F118" s="2850">
        <v>15</v>
      </c>
    </row>
    <row r="119" spans="1:6" ht="24">
      <c r="A119" s="2850">
        <v>47</v>
      </c>
      <c r="B119" s="3632"/>
      <c r="C119" s="2850" t="s">
        <v>2746</v>
      </c>
      <c r="D119" s="2824" t="s">
        <v>2747</v>
      </c>
      <c r="E119" s="2850">
        <v>0.1</v>
      </c>
      <c r="F119" s="2850">
        <v>15</v>
      </c>
    </row>
    <row r="120" spans="1:6" ht="13.5">
      <c r="A120" s="2850">
        <v>48</v>
      </c>
      <c r="B120" s="3631" t="s">
        <v>2748</v>
      </c>
      <c r="C120" s="2850" t="s">
        <v>2749</v>
      </c>
      <c r="D120" s="2824" t="s">
        <v>2750</v>
      </c>
      <c r="E120" s="2850">
        <v>0.1</v>
      </c>
      <c r="F120" s="2850">
        <v>15</v>
      </c>
    </row>
    <row r="121" spans="1:6" ht="13.5">
      <c r="A121" s="2850">
        <v>49</v>
      </c>
      <c r="B121" s="3632"/>
      <c r="C121" s="2850" t="s">
        <v>2751</v>
      </c>
      <c r="D121" s="2824" t="s">
        <v>2752</v>
      </c>
      <c r="E121" s="2850">
        <v>0.1</v>
      </c>
      <c r="F121" s="2850">
        <v>15</v>
      </c>
    </row>
    <row r="122" spans="1:6" ht="24">
      <c r="A122" s="2850">
        <v>50</v>
      </c>
      <c r="B122" s="3630" t="s">
        <v>2753</v>
      </c>
      <c r="C122" s="2850" t="s">
        <v>2754</v>
      </c>
      <c r="D122" s="2824" t="s">
        <v>2755</v>
      </c>
      <c r="E122" s="2850">
        <v>0.1</v>
      </c>
      <c r="F122" s="2850">
        <v>15</v>
      </c>
    </row>
    <row r="123" spans="1:6" ht="24">
      <c r="A123" s="2850">
        <v>51</v>
      </c>
      <c r="B123" s="3630"/>
      <c r="C123" s="2850" t="s">
        <v>2756</v>
      </c>
      <c r="D123" s="2824" t="s">
        <v>2757</v>
      </c>
      <c r="E123" s="2850">
        <v>0.1</v>
      </c>
      <c r="F123" s="2850">
        <v>15</v>
      </c>
    </row>
    <row r="124" spans="1:6" ht="24">
      <c r="A124" s="2850">
        <v>52</v>
      </c>
      <c r="B124" s="3630" t="s">
        <v>2758</v>
      </c>
      <c r="C124" s="2850" t="s">
        <v>2759</v>
      </c>
      <c r="D124" s="2824" t="s">
        <v>2760</v>
      </c>
      <c r="E124" s="2850">
        <v>0.1</v>
      </c>
      <c r="F124" s="2850">
        <v>15</v>
      </c>
    </row>
    <row r="125" spans="1:6" ht="24">
      <c r="A125" s="2850">
        <v>53</v>
      </c>
      <c r="B125" s="3630"/>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30" t="s">
        <v>2766</v>
      </c>
      <c r="C127" s="2850" t="s">
        <v>2767</v>
      </c>
      <c r="D127" s="2824" t="s">
        <v>2768</v>
      </c>
      <c r="E127" s="2850">
        <v>0.1</v>
      </c>
      <c r="F127" s="2850">
        <v>15</v>
      </c>
    </row>
    <row r="128" spans="1:6" ht="13.5">
      <c r="A128" s="2850">
        <v>56</v>
      </c>
      <c r="B128" s="3630"/>
      <c r="C128" s="2850" t="s">
        <v>2769</v>
      </c>
      <c r="D128" s="2824" t="s">
        <v>2770</v>
      </c>
      <c r="E128" s="2850">
        <v>0.1</v>
      </c>
      <c r="F128" s="2850">
        <v>15</v>
      </c>
    </row>
    <row r="129" spans="1:6" ht="24">
      <c r="A129" s="2850">
        <v>57</v>
      </c>
      <c r="B129" s="3630"/>
      <c r="C129" s="2850" t="s">
        <v>2771</v>
      </c>
      <c r="D129" s="2824" t="s">
        <v>2772</v>
      </c>
      <c r="E129" s="2850">
        <v>0.1</v>
      </c>
      <c r="F129" s="2850">
        <v>15</v>
      </c>
    </row>
    <row r="130" spans="1:6" ht="24">
      <c r="A130" s="2850">
        <v>58</v>
      </c>
      <c r="B130" s="3630" t="s">
        <v>2773</v>
      </c>
      <c r="C130" s="2850" t="s">
        <v>2774</v>
      </c>
      <c r="D130" s="2824" t="s">
        <v>2775</v>
      </c>
      <c r="E130" s="2850">
        <v>0.1</v>
      </c>
      <c r="F130" s="2850">
        <v>15</v>
      </c>
    </row>
    <row r="131" spans="1:6" ht="13.5">
      <c r="A131" s="2850">
        <v>59</v>
      </c>
      <c r="B131" s="3630"/>
      <c r="C131" s="2850" t="s">
        <v>2776</v>
      </c>
      <c r="D131" s="2824" t="s">
        <v>2777</v>
      </c>
      <c r="E131" s="2850">
        <v>0.1</v>
      </c>
      <c r="F131" s="2850">
        <v>15</v>
      </c>
    </row>
    <row r="132" spans="1:6" ht="13.5">
      <c r="A132" s="2850">
        <v>60</v>
      </c>
      <c r="B132" s="3631" t="s">
        <v>2778</v>
      </c>
      <c r="C132" s="2850" t="s">
        <v>2779</v>
      </c>
      <c r="D132" s="2824" t="s">
        <v>2780</v>
      </c>
      <c r="E132" s="2850">
        <v>0.1</v>
      </c>
      <c r="F132" s="2850">
        <v>15</v>
      </c>
    </row>
    <row r="133" spans="1:6" ht="13.5">
      <c r="A133" s="2850">
        <v>61</v>
      </c>
      <c r="B133" s="3632"/>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30" t="s">
        <v>2786</v>
      </c>
      <c r="C135" s="2850" t="s">
        <v>2787</v>
      </c>
      <c r="D135" s="2824" t="s">
        <v>2788</v>
      </c>
      <c r="E135" s="2850">
        <v>0.1</v>
      </c>
      <c r="F135" s="2850">
        <v>15</v>
      </c>
    </row>
    <row r="136" spans="1:6" ht="13.5">
      <c r="A136" s="2850">
        <v>64</v>
      </c>
      <c r="B136" s="3630"/>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3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8">
      <c r="A3" s="3326" t="str">
        <f>IF(项目基本情况!B9="房地产市场价值","估价结果一览表（市场价值不需“结果表-1”）","估价结果一览表")</f>
        <v>估价结果一览表</v>
      </c>
      <c r="B3" s="3326"/>
      <c r="C3" s="3326"/>
      <c r="D3" s="3326"/>
      <c r="E3" s="3326"/>
    </row>
    <row r="4" spans="1:5" ht="19.5" thickBot="1">
      <c r="A4" s="1388"/>
      <c r="B4" s="3324" t="s">
        <v>917</v>
      </c>
      <c r="C4" s="3324"/>
      <c r="D4" s="3324"/>
      <c r="E4" s="1388"/>
    </row>
    <row r="5" spans="1:5" ht="16.5" thickTop="1">
      <c r="B5" s="3322" t="s">
        <v>909</v>
      </c>
      <c r="C5" s="1389" t="s">
        <v>910</v>
      </c>
      <c r="D5" s="795" t="e">
        <f ca="1">结果表!H101</f>
        <v>#REF!</v>
      </c>
    </row>
    <row r="6" spans="1:5" ht="15.75">
      <c r="B6" s="3322"/>
      <c r="C6" s="1389" t="s">
        <v>911</v>
      </c>
      <c r="D6" s="795" t="e">
        <f ca="1">NUMBERSTRING(INT(D5*10000),2)&amp;"元整"</f>
        <v>#REF!</v>
      </c>
    </row>
    <row r="7" spans="1:5" ht="15.75">
      <c r="B7" s="3327"/>
      <c r="C7" s="1390" t="s">
        <v>912</v>
      </c>
      <c r="D7" s="796" t="e">
        <f ca="1">结果表!H102</f>
        <v>#REF!</v>
      </c>
    </row>
    <row r="8" spans="1:5" ht="15.75">
      <c r="B8" s="3328" t="str">
        <f>结果表!E103</f>
        <v>2.估价师知悉的法定优先受偿款</v>
      </c>
      <c r="C8" s="1391" t="s">
        <v>913</v>
      </c>
      <c r="D8" s="796">
        <f>结果表!H103</f>
        <v>0</v>
      </c>
    </row>
    <row r="9" spans="1:5" ht="15.75">
      <c r="B9" s="333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321" t="str">
        <f>结果表!E107</f>
        <v>3.房地产抵押价值</v>
      </c>
      <c r="C13" s="1394" t="s">
        <v>910</v>
      </c>
      <c r="D13" s="798" t="e">
        <f ca="1">结果表!H107</f>
        <v>#REF!</v>
      </c>
    </row>
    <row r="14" spans="1:5" ht="15.75">
      <c r="B14" s="3322"/>
      <c r="C14" s="1389" t="s">
        <v>911</v>
      </c>
      <c r="D14" s="795" t="e">
        <f ca="1">NUMBERSTRING(INT(D13*10000),2)&amp;"元整"</f>
        <v>#REF!</v>
      </c>
    </row>
    <row r="15" spans="1:5" ht="15">
      <c r="B15" s="3327"/>
      <c r="C15" s="1390" t="s">
        <v>921</v>
      </c>
      <c r="D15" s="804" t="e">
        <f ca="1">结果表!H108</f>
        <v>#REF!</v>
      </c>
    </row>
    <row r="16" spans="1:5" ht="15">
      <c r="B16" s="3328" t="str">
        <f>结果表!E109</f>
        <v>——</v>
      </c>
      <c r="C16" s="1394" t="s">
        <v>922</v>
      </c>
      <c r="D16" s="1395" t="str">
        <f>结果表!H109</f>
        <v>——</v>
      </c>
    </row>
    <row r="17" spans="1:5" ht="15.75">
      <c r="B17" s="3329"/>
      <c r="C17" s="1389" t="s">
        <v>923</v>
      </c>
      <c r="D17" s="795" t="e">
        <f>NUMBERSTRING(INT(D16*10000),2)&amp;"元整"</f>
        <v>#VALUE!</v>
      </c>
    </row>
    <row r="18" spans="1:5" ht="15">
      <c r="B18" s="3330"/>
      <c r="C18" s="1390" t="s">
        <v>912</v>
      </c>
      <c r="D18" s="804" t="str">
        <f>结果表!H110</f>
        <v>——</v>
      </c>
    </row>
    <row r="19" spans="1:5" ht="15.75">
      <c r="B19" s="3321" t="str">
        <f>结果表!E111</f>
        <v>——</v>
      </c>
      <c r="C19" s="1394" t="s">
        <v>910</v>
      </c>
      <c r="D19" s="796" t="str">
        <f>结果表!H111</f>
        <v>——</v>
      </c>
    </row>
    <row r="20" spans="1:5" ht="15.75">
      <c r="B20" s="3322"/>
      <c r="C20" s="1389" t="s">
        <v>923</v>
      </c>
      <c r="D20" s="795" t="e">
        <f>NUMBERSTRING(INT(D19*10000),2)&amp;"元整"</f>
        <v>#VALUE!</v>
      </c>
    </row>
    <row r="21" spans="1:5" ht="15.75" thickBot="1">
      <c r="B21" s="332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28687</v>
      </c>
      <c r="C2" s="2" t="s">
        <v>106</v>
      </c>
      <c r="D2" s="189"/>
      <c r="E2" s="189"/>
      <c r="F2" s="189"/>
      <c r="G2" s="189"/>
    </row>
    <row r="3" spans="1:7" s="190" customFormat="1" ht="18" customHeight="1" thickBot="1">
      <c r="A3" s="193" t="s">
        <v>58</v>
      </c>
      <c r="B3" s="194">
        <f ca="1">ROUND(B2*10000/'数据-汇总表'!E3,0)</f>
        <v>4638157</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61.85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v>
      </c>
      <c r="D19" s="202">
        <f>'数据-汇总表'!E3</f>
        <v>61.85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2308</v>
      </c>
      <c r="D22" s="225">
        <f ca="1">C26</f>
        <v>1.1000000000000001E-3</v>
      </c>
      <c r="E22" s="226" t="s">
        <v>99</v>
      </c>
      <c r="F22" s="227">
        <f ca="1">'数据-取费表'!B40</f>
        <v>5.4000000000000006E-2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2286</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22</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3153</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3153</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28677</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13</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11</v>
      </c>
      <c r="D34" s="207"/>
      <c r="E34" s="210"/>
      <c r="F34" s="247">
        <f>IF('数据-取费表'!B24=0,1,'数据-取费表'!N16)</f>
        <v>1</v>
      </c>
      <c r="G34" s="209" t="s">
        <v>89</v>
      </c>
    </row>
    <row r="35" spans="1:7" ht="13.5" customHeight="1">
      <c r="A35" s="732" t="s">
        <v>351</v>
      </c>
      <c r="B35" s="205" t="s">
        <v>33</v>
      </c>
      <c r="C35" s="210">
        <f>ROUND(C34*F35,0)</f>
        <v>0</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1</v>
      </c>
      <c r="D37" s="207">
        <f>'数据-汇总表'!E3</f>
        <v>61.85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0</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02" t="s">
        <v>94</v>
      </c>
    </row>
    <row r="43" spans="1:7" ht="13.5" customHeight="1">
      <c r="A43" s="732" t="s">
        <v>347</v>
      </c>
      <c r="B43" s="205" t="s">
        <v>426</v>
      </c>
      <c r="C43" s="228">
        <f ca="1">ROUND(IF('数据-取费表'!B22&lt;=1,C39*F22*'数据-取费表'!B21/2,C39*(POWER((1+F22),'数据-取费表'!B21/2)-1)),0)</f>
        <v>0</v>
      </c>
      <c r="D43" s="228"/>
      <c r="E43" s="228"/>
      <c r="F43" s="229"/>
      <c r="G43" s="3503"/>
    </row>
    <row r="44" spans="1:7" ht="13.5" customHeight="1">
      <c r="A44" s="732" t="s">
        <v>348</v>
      </c>
      <c r="B44" s="205" t="s">
        <v>428</v>
      </c>
      <c r="C44" s="228">
        <f ca="1">ROUND(IF('数据-取费表'!B22&lt;=1,C40*F22*'数据-取费表'!B21/2,C40*(POWER((1+F22),'数据-取费表'!B21/2)-1)),4)</f>
        <v>1.1000000000000001E-3</v>
      </c>
      <c r="D44" s="228"/>
      <c r="E44" s="228"/>
      <c r="F44" s="229"/>
      <c r="G44" s="3504"/>
    </row>
    <row r="45" spans="1:7" s="204" customFormat="1" ht="13.5" customHeight="1">
      <c r="A45" s="729" t="s">
        <v>341</v>
      </c>
      <c r="B45" s="234" t="s">
        <v>85</v>
      </c>
      <c r="C45" s="235">
        <f>C46</f>
        <v>2</v>
      </c>
      <c r="D45" s="225">
        <f>C47</f>
        <v>3.0000000000000001E-3</v>
      </c>
      <c r="E45" s="226" t="s">
        <v>102</v>
      </c>
      <c r="F45" s="236"/>
      <c r="G45" s="237" t="s">
        <v>434</v>
      </c>
    </row>
    <row r="46" spans="1:7" s="204" customFormat="1" ht="13.5" customHeight="1">
      <c r="A46" s="732" t="s">
        <v>349</v>
      </c>
      <c r="B46" s="238" t="s">
        <v>427</v>
      </c>
      <c r="C46" s="239">
        <f>ROUND((C33+C39)*F27,0)</f>
        <v>2</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17</v>
      </c>
      <c r="D49" s="222"/>
      <c r="E49" s="222"/>
      <c r="F49" s="254"/>
      <c r="G49" s="224" t="s">
        <v>435</v>
      </c>
    </row>
    <row r="50" spans="1:7" s="248" customFormat="1" ht="24">
      <c r="A50" s="729" t="s">
        <v>344</v>
      </c>
      <c r="B50" s="200" t="s">
        <v>97</v>
      </c>
      <c r="C50" s="222"/>
      <c r="D50" s="222"/>
      <c r="E50" s="222"/>
      <c r="F50" s="254">
        <f>IF('数据-取费表'!B24=0,'数据-取费表'!N16,1)</f>
        <v>0.6</v>
      </c>
      <c r="G50" s="237" t="s">
        <v>98</v>
      </c>
    </row>
    <row r="51" spans="1:7" ht="16.5" customHeight="1">
      <c r="A51" s="729" t="s">
        <v>345</v>
      </c>
      <c r="B51" s="200" t="s">
        <v>105</v>
      </c>
      <c r="C51" s="222">
        <f ca="1">ROUND(C49*F50,0)</f>
        <v>10</v>
      </c>
      <c r="D51" s="222"/>
      <c r="E51" s="222"/>
      <c r="F51" s="254"/>
      <c r="G51" s="224" t="s">
        <v>37</v>
      </c>
    </row>
    <row r="52" spans="1:7" s="198" customFormat="1" ht="16.5" thickBot="1">
      <c r="A52" s="255" t="s">
        <v>38</v>
      </c>
      <c r="B52" s="256"/>
      <c r="C52" s="257">
        <f ca="1">C31+C51</f>
        <v>28687</v>
      </c>
      <c r="D52" s="256"/>
      <c r="E52" s="256"/>
      <c r="F52" s="256"/>
      <c r="G52" s="258"/>
    </row>
    <row r="55" spans="1:7" ht="15">
      <c r="B55" s="260" t="s">
        <v>39</v>
      </c>
      <c r="C55" s="261"/>
    </row>
    <row r="56" spans="1:7">
      <c r="B56" s="263" t="s">
        <v>40</v>
      </c>
      <c r="C56" s="264">
        <f ca="1">ROUND(C51/C52,3)</f>
        <v>0</v>
      </c>
    </row>
    <row r="57" spans="1:7">
      <c r="B57" s="263" t="s">
        <v>41</v>
      </c>
      <c r="C57" s="265">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44" t="s">
        <v>2838</v>
      </c>
      <c r="B1" s="3644"/>
      <c r="C1" s="3644"/>
      <c r="D1" s="3644"/>
      <c r="E1" s="3644"/>
      <c r="F1" s="3644"/>
      <c r="G1" s="3645"/>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42"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43"/>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46" t="s">
        <v>3180</v>
      </c>
      <c r="B1" s="3646"/>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47" t="s">
        <v>3231</v>
      </c>
      <c r="B1" s="3647"/>
      <c r="C1" s="3647"/>
      <c r="D1" s="3647"/>
      <c r="E1" s="3647"/>
      <c r="F1" s="3648"/>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40268</v>
      </c>
      <c r="B1" s="2922" t="s">
        <v>2837</v>
      </c>
      <c r="C1" s="2923"/>
      <c r="D1" s="2923"/>
      <c r="E1" s="2923"/>
      <c r="F1" s="2923"/>
      <c r="G1" s="2923"/>
      <c r="H1" s="2923"/>
      <c r="I1" s="2923"/>
      <c r="J1" s="2889"/>
      <c r="K1" s="2923" t="s">
        <v>454</v>
      </c>
      <c r="L1" s="2923"/>
      <c r="M1" s="2923"/>
      <c r="N1" s="2923"/>
      <c r="O1" s="2923"/>
      <c r="P1" s="2923"/>
      <c r="Q1" s="2889"/>
      <c r="R1" s="3649" t="s">
        <v>456</v>
      </c>
      <c r="S1" s="3650"/>
      <c r="T1" s="3650"/>
      <c r="U1" s="3650"/>
      <c r="V1" s="3650"/>
      <c r="W1" s="3650"/>
      <c r="X1" s="2889"/>
      <c r="Y1" s="3649" t="s">
        <v>457</v>
      </c>
      <c r="Z1" s="3650"/>
      <c r="AA1" s="3650"/>
      <c r="AB1" s="3650"/>
      <c r="AC1" s="3650"/>
      <c r="AD1" s="3650"/>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49" t="s">
        <v>2825</v>
      </c>
      <c r="S21" s="3650"/>
      <c r="T21" s="3650"/>
      <c r="U21" s="3650"/>
      <c r="V21" s="3650"/>
      <c r="W21" s="3650"/>
      <c r="X21" s="2889"/>
      <c r="Y21" s="3649" t="s">
        <v>2826</v>
      </c>
      <c r="Z21" s="3650"/>
      <c r="AA21" s="3650"/>
      <c r="AB21" s="3650"/>
      <c r="AC21" s="3650"/>
      <c r="AD21" s="3650"/>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54" t="s">
        <v>452</v>
      </c>
      <c r="C1" s="3654"/>
      <c r="D1" s="3654"/>
      <c r="E1" s="3654"/>
      <c r="F1" s="3654"/>
      <c r="G1" s="3650" t="s">
        <v>453</v>
      </c>
      <c r="H1" s="3650"/>
      <c r="I1" s="3650"/>
      <c r="J1" s="3650"/>
      <c r="K1" s="3650"/>
      <c r="L1" s="3650"/>
      <c r="N1" s="3650" t="s">
        <v>454</v>
      </c>
      <c r="O1" s="3650"/>
      <c r="P1" s="3650"/>
      <c r="Q1" s="3650"/>
      <c r="S1" s="3650" t="s">
        <v>455</v>
      </c>
      <c r="T1" s="3650"/>
      <c r="U1" s="3650"/>
      <c r="V1" s="3650"/>
      <c r="X1" s="3649" t="s">
        <v>456</v>
      </c>
      <c r="Y1" s="3650"/>
      <c r="Z1" s="3650"/>
      <c r="AA1" s="3650"/>
      <c r="AB1" s="3650"/>
      <c r="AD1" s="3649" t="s">
        <v>457</v>
      </c>
      <c r="AE1" s="3650"/>
      <c r="AF1" s="3650"/>
      <c r="AG1" s="3650"/>
      <c r="AH1" s="3650"/>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52">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52"/>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52"/>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59"/>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55">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52"/>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52"/>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59"/>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55">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52"/>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52"/>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53"/>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51">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52"/>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52"/>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53"/>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51">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52"/>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52"/>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53"/>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56">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57"/>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57"/>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58"/>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51">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52"/>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52"/>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53"/>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51">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52">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52">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53">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51">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52">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52">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53">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51">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52">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52">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53">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51">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52">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52">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53">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51">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52">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52">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53">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51">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52">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52">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53">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51">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52">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52">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53">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51">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52">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52">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53">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51">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52">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52">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53">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51">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52">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52">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53">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38" t="str">
        <f>IF(项目基本情况!B9="房地产市场价值","估价结果一览表","结果表-2")</f>
        <v>结果表-2</v>
      </c>
      <c r="B1" s="3338"/>
      <c r="C1" s="3338"/>
      <c r="D1" s="3338"/>
      <c r="E1" s="3338"/>
      <c r="F1" s="3338"/>
      <c r="G1" s="3338"/>
      <c r="H1" s="3338"/>
      <c r="I1" s="3338"/>
    </row>
    <row r="2" spans="1:9" ht="30" customHeight="1" thickTop="1">
      <c r="A2" s="3339" t="s">
        <v>928</v>
      </c>
      <c r="B2" s="3339" t="s">
        <v>929</v>
      </c>
      <c r="C2" s="3339" t="s">
        <v>930</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spans="1:9" ht="15">
      <c r="A3" s="3334"/>
      <c r="B3" s="3334"/>
      <c r="C3" s="3334"/>
      <c r="D3" s="799" t="s">
        <v>925</v>
      </c>
      <c r="E3" s="799" t="s">
        <v>931</v>
      </c>
      <c r="F3" s="799" t="s">
        <v>925</v>
      </c>
      <c r="G3" s="799" t="s">
        <v>926</v>
      </c>
      <c r="H3" s="799" t="s">
        <v>925</v>
      </c>
      <c r="I3" s="799" t="s">
        <v>926</v>
      </c>
    </row>
    <row r="4" spans="1:9" ht="15">
      <c r="A4" s="1400" t="str">
        <f>项目基本情况!S2</f>
        <v>北京市房地产</v>
      </c>
      <c r="B4" s="799">
        <f>项目基本情况!C17</f>
        <v>61.85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34" t="s">
        <v>927</v>
      </c>
      <c r="B5" s="3334"/>
      <c r="C5" s="3334"/>
      <c r="D5" s="3334" t="e">
        <f ca="1">结果表!D119</f>
        <v>#REF!</v>
      </c>
      <c r="E5" s="3334"/>
      <c r="F5" s="3334" t="e">
        <f ca="1">结果表!F119</f>
        <v>#REF!</v>
      </c>
      <c r="G5" s="3334"/>
      <c r="H5" s="3334" t="e">
        <f ca="1">结果表!H119</f>
        <v>#REF!</v>
      </c>
      <c r="I5" s="3334"/>
    </row>
    <row r="6" spans="1:9" ht="15.75">
      <c r="A6" s="3333" t="str">
        <f>结果表!A120</f>
        <v>估价师知悉的法定优先受偿款</v>
      </c>
      <c r="B6" s="3333"/>
      <c r="C6" s="3333"/>
      <c r="D6" s="3333">
        <f>结果表!D120</f>
        <v>0</v>
      </c>
      <c r="E6" s="3333"/>
      <c r="F6" s="3333"/>
      <c r="G6" s="3333"/>
      <c r="H6" s="3333"/>
      <c r="I6" s="3333"/>
    </row>
    <row r="7" spans="1:9" ht="15">
      <c r="A7" s="3334" t="s">
        <v>927</v>
      </c>
      <c r="B7" s="3334"/>
      <c r="C7" s="3334"/>
      <c r="D7" s="3335" t="str">
        <f>结果表!D121</f>
        <v>零元整</v>
      </c>
      <c r="E7" s="3336"/>
      <c r="F7" s="3336"/>
      <c r="G7" s="3336"/>
      <c r="H7" s="3336"/>
      <c r="I7" s="3337"/>
    </row>
    <row r="8" spans="1:9" ht="15.75">
      <c r="A8" s="3333" t="str">
        <f>结果表!A122</f>
        <v>房地产抵押价值</v>
      </c>
      <c r="B8" s="3333"/>
      <c r="C8" s="3333"/>
      <c r="D8" s="3333" t="e">
        <f ca="1">结果表!D122</f>
        <v>#REF!</v>
      </c>
      <c r="E8" s="3333"/>
      <c r="F8" s="3333"/>
      <c r="G8" s="3333"/>
      <c r="H8" s="3333"/>
      <c r="I8" s="3333"/>
    </row>
    <row r="9" spans="1:9" ht="15">
      <c r="A9" s="3334" t="s">
        <v>927</v>
      </c>
      <c r="B9" s="3334"/>
      <c r="C9" s="3334"/>
      <c r="D9" s="3334" t="e">
        <f ca="1">结果表!D123</f>
        <v>#REF!</v>
      </c>
      <c r="E9" s="3334"/>
      <c r="F9" s="3334"/>
      <c r="G9" s="3334"/>
      <c r="H9" s="3334"/>
      <c r="I9" s="3334"/>
    </row>
    <row r="10" spans="1:9" ht="15.75">
      <c r="A10" s="3333" t="str">
        <f>结果表!A124</f>
        <v/>
      </c>
      <c r="B10" s="3333"/>
      <c r="C10" s="3333"/>
      <c r="D10" s="3333" t="str">
        <f>结果表!D124</f>
        <v>——</v>
      </c>
      <c r="E10" s="3333"/>
      <c r="F10" s="3333"/>
      <c r="G10" s="3333"/>
      <c r="H10" s="3333"/>
      <c r="I10" s="3333"/>
    </row>
    <row r="11" spans="1:9" ht="15">
      <c r="A11" s="3334" t="s">
        <v>927</v>
      </c>
      <c r="B11" s="3334"/>
      <c r="C11" s="3334"/>
      <c r="D11" s="3334" t="e">
        <f>结果表!D125</f>
        <v>#VALUE!</v>
      </c>
      <c r="E11" s="3334"/>
      <c r="F11" s="3334"/>
      <c r="G11" s="3334"/>
      <c r="H11" s="3334"/>
      <c r="I11" s="3334"/>
    </row>
    <row r="12" spans="1:9" ht="15.75">
      <c r="A12" s="3333" t="str">
        <f>结果表!A126</f>
        <v/>
      </c>
      <c r="B12" s="3333"/>
      <c r="C12" s="3333"/>
      <c r="D12" s="3333" t="str">
        <f>结果表!D126</f>
        <v>——</v>
      </c>
      <c r="E12" s="3333"/>
      <c r="F12" s="3333"/>
      <c r="G12" s="3333"/>
      <c r="H12" s="3333"/>
      <c r="I12" s="3333"/>
    </row>
    <row r="13" spans="1:9" ht="15.75" thickBot="1">
      <c r="A13" s="3331" t="s">
        <v>927</v>
      </c>
      <c r="B13" s="3331"/>
      <c r="C13" s="3331"/>
      <c r="D13" s="3331" t="e">
        <f>结果表!D127</f>
        <v>#VALUE!</v>
      </c>
      <c r="E13" s="3331"/>
      <c r="F13" s="3331"/>
      <c r="G13" s="3331"/>
      <c r="H13" s="3331"/>
      <c r="I13" s="3331"/>
    </row>
    <row r="14" spans="1:9" ht="15" thickTop="1">
      <c r="A14" s="3332" t="s">
        <v>932</v>
      </c>
      <c r="B14" s="3332"/>
      <c r="C14" s="3332"/>
      <c r="D14" s="3332"/>
      <c r="E14" s="3332"/>
      <c r="F14" s="3332"/>
      <c r="G14" s="3332"/>
      <c r="H14" s="3332"/>
      <c r="I14" s="333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46" t="s">
        <v>949</v>
      </c>
      <c r="B1" s="3346"/>
      <c r="C1" s="3346"/>
      <c r="D1" s="3346"/>
    </row>
    <row r="2" spans="1:4" ht="18">
      <c r="A2" s="3347" t="s">
        <v>933</v>
      </c>
      <c r="B2" s="3347"/>
      <c r="C2" s="3347"/>
      <c r="D2" s="3347"/>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47" t="s">
        <v>939</v>
      </c>
      <c r="B6" s="3347"/>
      <c r="C6" s="3347"/>
      <c r="D6" s="334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48" t="s">
        <v>942</v>
      </c>
      <c r="B11" s="3340"/>
      <c r="C11" s="3340"/>
      <c r="D11" s="3340"/>
    </row>
    <row r="12" spans="1:4" ht="15.75">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5"/>
      <c r="C12" s="3345"/>
      <c r="D12" s="3345"/>
    </row>
    <row r="13" spans="1:4" ht="30" customHeight="1">
      <c r="A13" s="3340" t="str">
        <f>IF(项目基本情况!B8="抵押","3.抵押双方在办理抵押登记手续时，应使用本公司出具的正式《房地产评估报告》，特提醒报告使用者注意。","——")</f>
        <v>——</v>
      </c>
      <c r="B13" s="3345"/>
      <c r="C13" s="3345"/>
      <c r="D13" s="3345"/>
    </row>
    <row r="14" spans="1:4" ht="15.75" customHeight="1">
      <c r="A14" s="3340" t="str">
        <f>IF(项目基本情况!B8="抵押","4.本次评估估价师所知悉的法定优先受偿款情况说明如下：","——")</f>
        <v>——</v>
      </c>
      <c r="B14" s="3345"/>
      <c r="C14" s="3345"/>
      <c r="D14" s="3345"/>
    </row>
    <row r="15" spans="1:4" ht="42" customHeight="1">
      <c r="A15" s="3340" t="str">
        <f>IF(项目基本情况!B8="抵押","（1）"&amp;CONCATENATE(项目基本情况!L20,项目基本情况!L21,项目基本情况!L22),"——")</f>
        <v>——</v>
      </c>
      <c r="B15" s="3340"/>
      <c r="C15" s="3340"/>
      <c r="D15" s="3340"/>
    </row>
    <row r="16" spans="1:4" ht="30" customHeight="1">
      <c r="A16" s="3342" t="s">
        <v>943</v>
      </c>
      <c r="B16" s="3342"/>
      <c r="C16" s="3342"/>
      <c r="D16" s="3342"/>
    </row>
    <row r="17" spans="1:4" ht="144" customHeight="1">
      <c r="A17" s="3342" t="s">
        <v>944</v>
      </c>
      <c r="B17" s="3342"/>
      <c r="C17" s="3342"/>
      <c r="D17" s="3342"/>
    </row>
    <row r="18" spans="1:4" ht="15.75" customHeight="1">
      <c r="A18" s="3340" t="str">
        <f>IF(项目基本情况!B8="抵押",结果表!K120,"——")</f>
        <v>——</v>
      </c>
      <c r="B18" s="3340"/>
      <c r="C18" s="3340"/>
      <c r="D18" s="3340"/>
    </row>
    <row r="19" spans="1:4" ht="46.5" customHeight="1">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57.75" customHeight="1">
      <c r="A20" s="33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0"/>
      <c r="C20" s="3340"/>
      <c r="D20" s="3340"/>
    </row>
    <row r="21" spans="1:4" ht="57.75" customHeight="1">
      <c r="A21" s="33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3"/>
      <c r="C21" s="3343"/>
      <c r="D21" s="3343"/>
    </row>
    <row r="22" spans="1:4" ht="18.75" customHeight="1">
      <c r="A22" s="3344" t="s">
        <v>945</v>
      </c>
      <c r="B22" s="3344"/>
      <c r="C22" s="3344"/>
      <c r="D22" s="3344"/>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41">
        <v>42551</v>
      </c>
      <c r="D31" s="33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54" t="s">
        <v>956</v>
      </c>
      <c r="B15" s="3349" t="s">
        <v>109</v>
      </c>
      <c r="C15" s="3350"/>
    </row>
    <row r="16" spans="1:7" ht="13.5">
      <c r="A16" s="3355"/>
      <c r="B16" s="3349" t="s">
        <v>42</v>
      </c>
      <c r="C16" s="3350"/>
    </row>
    <row r="17" spans="1:3" ht="13.5">
      <c r="A17" s="3355"/>
      <c r="B17" s="3352" t="s">
        <v>957</v>
      </c>
      <c r="C17" s="1426" t="s">
        <v>956</v>
      </c>
    </row>
    <row r="18" spans="1:3" ht="13.5">
      <c r="A18" s="3355"/>
      <c r="B18" s="3352"/>
      <c r="C18" s="1426" t="s">
        <v>958</v>
      </c>
    </row>
    <row r="19" spans="1:3" ht="13.5">
      <c r="A19" s="3355"/>
      <c r="B19" s="3352"/>
      <c r="C19" s="1426" t="s">
        <v>959</v>
      </c>
    </row>
    <row r="20" spans="1:3" ht="13.5">
      <c r="A20" s="3356"/>
      <c r="B20" s="3351" t="s">
        <v>960</v>
      </c>
      <c r="C20" s="3350"/>
    </row>
    <row r="21" spans="1:3" ht="13.5">
      <c r="A21" s="1427" t="s">
        <v>961</v>
      </c>
      <c r="B21" s="1428"/>
      <c r="C21" s="1429"/>
    </row>
    <row r="22" spans="1:3" ht="13.5">
      <c r="A22" s="3353" t="s">
        <v>962</v>
      </c>
      <c r="B22" s="3351" t="s">
        <v>963</v>
      </c>
      <c r="C22" s="3350"/>
    </row>
    <row r="23" spans="1:3" ht="13.5">
      <c r="A23" s="3353"/>
      <c r="B23" s="3351" t="s">
        <v>964</v>
      </c>
      <c r="C23" s="3350"/>
    </row>
    <row r="24" spans="1:3" ht="13.5">
      <c r="A24" s="3353"/>
      <c r="B24" s="3351" t="s">
        <v>965</v>
      </c>
      <c r="C24" s="3350"/>
    </row>
    <row r="25" spans="1:3" ht="13.5">
      <c r="A25" s="3353"/>
      <c r="B25" s="3352" t="s">
        <v>966</v>
      </c>
      <c r="C25" s="1426" t="s">
        <v>967</v>
      </c>
    </row>
    <row r="26" spans="1:3" ht="13.5">
      <c r="A26" s="3353"/>
      <c r="B26" s="3352"/>
      <c r="C26" s="1426" t="s">
        <v>968</v>
      </c>
    </row>
    <row r="27" spans="1:3" ht="13.5">
      <c r="A27" s="3353"/>
      <c r="B27" s="3352"/>
      <c r="C27" s="1426" t="s">
        <v>969</v>
      </c>
    </row>
    <row r="28" spans="1:3" ht="13.5">
      <c r="A28" s="3353"/>
      <c r="B28" s="3352"/>
      <c r="C28" s="1426" t="s">
        <v>970</v>
      </c>
    </row>
    <row r="29" spans="1:3" ht="13.5">
      <c r="A29" s="3353"/>
      <c r="B29" s="3352"/>
      <c r="C29" s="1426" t="s">
        <v>971</v>
      </c>
    </row>
    <row r="30" spans="1:3" ht="13.5">
      <c r="A30" s="3353"/>
      <c r="B30" s="3352"/>
      <c r="C30" s="1426" t="s">
        <v>972</v>
      </c>
    </row>
    <row r="31" spans="1:3" ht="13.5">
      <c r="A31" s="3353"/>
      <c r="B31" s="3352"/>
      <c r="C31" s="1426" t="s">
        <v>973</v>
      </c>
    </row>
    <row r="32" spans="1:3" ht="13.5">
      <c r="A32" s="3353"/>
      <c r="B32" s="3352"/>
      <c r="C32" s="1426" t="s">
        <v>974</v>
      </c>
    </row>
    <row r="33" spans="1:3" ht="13.5">
      <c r="A33" s="3353"/>
      <c r="B33" s="335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45889</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57" t="s">
        <v>2156</v>
      </c>
      <c r="B17" s="3357"/>
      <c r="C17" s="3357"/>
      <c r="D17" s="3357"/>
      <c r="E17" s="3357"/>
      <c r="F17" s="3357"/>
      <c r="G17" s="3357"/>
      <c r="H17" s="3357"/>
    </row>
    <row r="18" spans="1:8" ht="24" customHeight="1">
      <c r="A18" s="3358" t="s">
        <v>2157</v>
      </c>
      <c r="B18" s="3358"/>
      <c r="C18" s="3358"/>
      <c r="D18" s="2154"/>
      <c r="E18" s="3359" t="s">
        <v>2158</v>
      </c>
      <c r="F18" s="3358"/>
      <c r="G18" s="3358"/>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2025-08-20T06:16:13Z</dcterms:modified>
</cp:coreProperties>
</file>