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9600" windowHeight="11085" tabRatio="885" firstSheet="16"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比较法-住宅" sheetId="21" r:id="rId17"/>
    <sheet name="Sheet1" sheetId="63" r:id="rId18"/>
    <sheet name="成本法" sheetId="11" r:id="rId19"/>
    <sheet name="假设开发法" sheetId="12" state="hidden" r:id="rId20"/>
    <sheet name="收益法" sheetId="15" state="hidden" r:id="rId21"/>
    <sheet name="酒店收入计算" sheetId="58" state="hidden" r:id="rId22"/>
    <sheet name="基准地价修正" sheetId="43" r:id="rId23"/>
    <sheet name="典型户型修正" sheetId="3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 name="Sheet2" sheetId="64"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E127" i="21" l="1"/>
  <c r="D127" i="21"/>
  <c r="D16" i="64" l="1"/>
  <c r="D15" i="64"/>
  <c r="E10" i="64"/>
  <c r="E9" i="64"/>
  <c r="E8" i="64"/>
  <c r="E7" i="64"/>
  <c r="E6" i="64"/>
  <c r="J16" i="62" l="1"/>
  <c r="B15" i="62"/>
  <c r="D10" i="31" l="1"/>
  <c r="E10" i="31"/>
  <c r="F10" i="31"/>
  <c r="C10" i="31"/>
  <c r="D8" i="31"/>
  <c r="E8" i="31"/>
  <c r="C8" i="31"/>
  <c r="D21" i="31"/>
  <c r="E21" i="31"/>
  <c r="C21" i="31"/>
  <c r="D20" i="31"/>
  <c r="E20" i="31"/>
  <c r="C20" i="31"/>
  <c r="I47" i="21"/>
  <c r="G47" i="21"/>
  <c r="E47" i="21"/>
  <c r="I37" i="21"/>
  <c r="G37" i="21"/>
  <c r="E37" i="21"/>
  <c r="C37" i="21"/>
  <c r="E20" i="1"/>
  <c r="G22" i="1"/>
  <c r="G20" i="1"/>
  <c r="G71" i="43"/>
  <c r="G72" i="43"/>
  <c r="G73" i="43"/>
  <c r="G74" i="43"/>
  <c r="G75" i="43"/>
  <c r="G76" i="43"/>
  <c r="G77" i="43"/>
  <c r="G78" i="43"/>
  <c r="G70" i="43"/>
  <c r="E20" i="43" l="1"/>
  <c r="AH5" i="59" l="1"/>
  <c r="AG5" i="59"/>
  <c r="AE5" i="59"/>
  <c r="AF5" i="59" s="1"/>
  <c r="AD5" i="59"/>
  <c r="Q5" i="59"/>
  <c r="P5" i="59"/>
  <c r="O5" i="59"/>
  <c r="N5" i="59"/>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s="1"/>
  <c r="AD11" i="59"/>
  <c r="Q12" i="59"/>
  <c r="Q13" i="59"/>
  <c r="P12" i="59"/>
  <c r="P13" i="59"/>
  <c r="AH12" i="59"/>
  <c r="AG12" i="59"/>
  <c r="AE12" i="59"/>
  <c r="AF12" i="59"/>
  <c r="AD12" i="59"/>
  <c r="M15" i="45"/>
  <c r="L15" i="45"/>
  <c r="K15" i="45"/>
  <c r="J15" i="45"/>
  <c r="I15" i="45"/>
  <c r="H15" i="45"/>
  <c r="G15" i="45"/>
  <c r="F15" i="45"/>
  <c r="E15" i="45"/>
  <c r="D15" i="45"/>
  <c r="C15" i="45"/>
  <c r="B15" i="45"/>
  <c r="AH13" i="59"/>
  <c r="AG13" i="59"/>
  <c r="AE13" i="59"/>
  <c r="AF13" i="59" s="1"/>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c r="AD17" i="59"/>
  <c r="AH18" i="59"/>
  <c r="AG18" i="59"/>
  <c r="AE18" i="59"/>
  <c r="AF18" i="59" s="1"/>
  <c r="AD18" i="59"/>
  <c r="Q18" i="59"/>
  <c r="P18" i="59"/>
  <c r="O18" i="59"/>
  <c r="N18" i="59"/>
  <c r="Q19" i="59"/>
  <c r="P19" i="59"/>
  <c r="O19" i="59"/>
  <c r="N19" i="59"/>
  <c r="D19" i="59"/>
  <c r="E18" i="59"/>
  <c r="E17" i="59"/>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s="1"/>
  <c r="E80" i="59" s="1"/>
  <c r="C82" i="59"/>
  <c r="D82" i="59"/>
  <c r="B82" i="59"/>
  <c r="F81" i="59"/>
  <c r="F80" i="59" s="1"/>
  <c r="B81" i="59"/>
  <c r="B80" i="59" s="1"/>
  <c r="D79" i="59"/>
  <c r="F78" i="59"/>
  <c r="E78" i="59"/>
  <c r="E77" i="59" s="1"/>
  <c r="E76" i="59" s="1"/>
  <c r="C78" i="59"/>
  <c r="D78" i="59"/>
  <c r="B78" i="59"/>
  <c r="F77" i="59"/>
  <c r="F76" i="59" s="1"/>
  <c r="B77" i="59"/>
  <c r="B76" i="59" s="1"/>
  <c r="D75" i="59"/>
  <c r="Q74" i="59"/>
  <c r="P74" i="59"/>
  <c r="O74" i="59"/>
  <c r="N74" i="59"/>
  <c r="F74" i="59"/>
  <c r="V74" i="59" s="1"/>
  <c r="E74" i="59"/>
  <c r="U74" i="59" s="1"/>
  <c r="C74" i="59"/>
  <c r="T74" i="59" s="1"/>
  <c r="B74" i="59"/>
  <c r="S74" i="59" s="1"/>
  <c r="Q73" i="59"/>
  <c r="P73" i="59"/>
  <c r="O73" i="59"/>
  <c r="N73" i="59"/>
  <c r="F73" i="59"/>
  <c r="F72" i="59"/>
  <c r="B73" i="59"/>
  <c r="B72" i="59"/>
  <c r="Q72" i="59"/>
  <c r="P72" i="59"/>
  <c r="O72" i="59"/>
  <c r="N72" i="59"/>
  <c r="Q71" i="59"/>
  <c r="P71" i="59"/>
  <c r="O71" i="59"/>
  <c r="N71" i="59"/>
  <c r="D71" i="59"/>
  <c r="Q70" i="59"/>
  <c r="P70" i="59"/>
  <c r="O70" i="59"/>
  <c r="N70" i="59"/>
  <c r="F70" i="59"/>
  <c r="V70" i="59"/>
  <c r="E70" i="59"/>
  <c r="U70" i="59"/>
  <c r="C70" i="59"/>
  <c r="T70" i="59" s="1"/>
  <c r="B70" i="59"/>
  <c r="S70" i="59" s="1"/>
  <c r="Q69" i="59"/>
  <c r="P69" i="59"/>
  <c r="O69" i="59"/>
  <c r="N69" i="59"/>
  <c r="F69" i="59"/>
  <c r="F68" i="59" s="1"/>
  <c r="B69" i="59"/>
  <c r="B68" i="59" s="1"/>
  <c r="Q68" i="59"/>
  <c r="P68" i="59"/>
  <c r="O68" i="59"/>
  <c r="N68" i="59"/>
  <c r="Q67" i="59"/>
  <c r="P67" i="59"/>
  <c r="O67" i="59"/>
  <c r="N67" i="59"/>
  <c r="D67" i="59"/>
  <c r="Q66" i="59"/>
  <c r="P66" i="59"/>
  <c r="O66" i="59"/>
  <c r="N66" i="59"/>
  <c r="F66" i="59"/>
  <c r="V66" i="59"/>
  <c r="E66" i="59"/>
  <c r="C66" i="59"/>
  <c r="B66" i="59"/>
  <c r="S66" i="59" s="1"/>
  <c r="Q65" i="59"/>
  <c r="P65" i="59"/>
  <c r="O65" i="59"/>
  <c r="N65" i="59"/>
  <c r="F65" i="59"/>
  <c r="F64" i="59" s="1"/>
  <c r="B65" i="59"/>
  <c r="B64" i="59" s="1"/>
  <c r="Q64" i="59"/>
  <c r="P64" i="59"/>
  <c r="O64" i="59"/>
  <c r="N64" i="59"/>
  <c r="Q63" i="59"/>
  <c r="P63" i="59"/>
  <c r="O63" i="59"/>
  <c r="N63" i="59"/>
  <c r="D63" i="59"/>
  <c r="S62" i="59"/>
  <c r="N62" i="59"/>
  <c r="F62" i="59"/>
  <c r="V62" i="59"/>
  <c r="E62" i="59"/>
  <c r="U62" i="59" s="1"/>
  <c r="E61" i="59"/>
  <c r="P61" i="59" s="1"/>
  <c r="C62" i="59"/>
  <c r="B62" i="59"/>
  <c r="F61" i="59"/>
  <c r="F60" i="59" s="1"/>
  <c r="Q60" i="59"/>
  <c r="B61" i="59"/>
  <c r="E60" i="59"/>
  <c r="P59" i="59" s="1"/>
  <c r="D59" i="59"/>
  <c r="Q58" i="59"/>
  <c r="P58" i="59"/>
  <c r="O58" i="59"/>
  <c r="N58" i="59"/>
  <c r="Q57" i="59"/>
  <c r="P57" i="59"/>
  <c r="O57" i="59"/>
  <c r="N57" i="59"/>
  <c r="Q56" i="59"/>
  <c r="P56" i="59"/>
  <c r="O56" i="59"/>
  <c r="N56" i="59"/>
  <c r="Q55" i="59"/>
  <c r="F56" i="59" s="1"/>
  <c r="F57" i="59" s="1"/>
  <c r="F58" i="59" s="1"/>
  <c r="V58" i="59" s="1"/>
  <c r="P55" i="59"/>
  <c r="E56" i="59" s="1"/>
  <c r="E57" i="59" s="1"/>
  <c r="E58" i="59" s="1"/>
  <c r="U58" i="59" s="1"/>
  <c r="O55" i="59"/>
  <c r="C56" i="59" s="1"/>
  <c r="N55" i="59"/>
  <c r="B56" i="59" s="1"/>
  <c r="B57" i="59"/>
  <c r="B58" i="59" s="1"/>
  <c r="S58" i="59" s="1"/>
  <c r="D55" i="59"/>
  <c r="Q54" i="59"/>
  <c r="P54" i="59"/>
  <c r="O54" i="59"/>
  <c r="N54" i="59"/>
  <c r="Q53" i="59"/>
  <c r="P53" i="59"/>
  <c r="O53" i="59"/>
  <c r="N53" i="59"/>
  <c r="Q52" i="59"/>
  <c r="P52" i="59"/>
  <c r="O52" i="59"/>
  <c r="N52" i="59"/>
  <c r="Q51" i="59"/>
  <c r="F52" i="59"/>
  <c r="F53" i="59" s="1"/>
  <c r="F54" i="59" s="1"/>
  <c r="V54" i="59" s="1"/>
  <c r="P51" i="59"/>
  <c r="E52" i="59" s="1"/>
  <c r="O51" i="59"/>
  <c r="C52" i="59" s="1"/>
  <c r="N51" i="59"/>
  <c r="B52"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c r="B50" i="59" s="1"/>
  <c r="S50" i="59" s="1"/>
  <c r="D47" i="59"/>
  <c r="Q46" i="59"/>
  <c r="P46" i="59"/>
  <c r="O46" i="59"/>
  <c r="N46" i="59"/>
  <c r="Q45" i="59"/>
  <c r="P45" i="59"/>
  <c r="O45" i="59"/>
  <c r="N45" i="59"/>
  <c r="Q44" i="59"/>
  <c r="P44" i="59"/>
  <c r="O44" i="59"/>
  <c r="N44" i="59"/>
  <c r="E44" i="59"/>
  <c r="E45" i="59" s="1"/>
  <c r="E46" i="59"/>
  <c r="U46" i="59" s="1"/>
  <c r="Q43" i="59"/>
  <c r="F44" i="59" s="1"/>
  <c r="F45" i="59"/>
  <c r="F46" i="59" s="1"/>
  <c r="V46" i="59" s="1"/>
  <c r="P43" i="59"/>
  <c r="O43" i="59"/>
  <c r="C44" i="59" s="1"/>
  <c r="N43" i="59"/>
  <c r="B44" i="59" s="1"/>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c r="E41" i="59" s="1"/>
  <c r="E42" i="59" s="1"/>
  <c r="U42" i="59" s="1"/>
  <c r="O39" i="59"/>
  <c r="C40" i="59" s="1"/>
  <c r="N39" i="59"/>
  <c r="B40" i="59" s="1"/>
  <c r="B41" i="59"/>
  <c r="B42" i="59" s="1"/>
  <c r="S42" i="59" s="1"/>
  <c r="D39" i="59"/>
  <c r="Q38" i="59"/>
  <c r="P38" i="59"/>
  <c r="O38" i="59"/>
  <c r="N38" i="59"/>
  <c r="Q37" i="59"/>
  <c r="P37" i="59"/>
  <c r="O37" i="59"/>
  <c r="N37" i="59"/>
  <c r="Q36" i="59"/>
  <c r="P36" i="59"/>
  <c r="O36" i="59"/>
  <c r="N36" i="59"/>
  <c r="Q35" i="59"/>
  <c r="F36" i="59" s="1"/>
  <c r="F37" i="59" s="1"/>
  <c r="F38" i="59" s="1"/>
  <c r="V38" i="59" s="1"/>
  <c r="P35" i="59"/>
  <c r="E36" i="59"/>
  <c r="E37" i="59" s="1"/>
  <c r="E38" i="59"/>
  <c r="U38" i="59" s="1"/>
  <c r="O35" i="59"/>
  <c r="C36" i="59" s="1"/>
  <c r="N35" i="59"/>
  <c r="B36" i="59" s="1"/>
  <c r="B37" i="59" s="1"/>
  <c r="B38" i="59" s="1"/>
  <c r="S38" i="59" s="1"/>
  <c r="D35" i="59"/>
  <c r="Q34" i="59"/>
  <c r="P34" i="59"/>
  <c r="O34" i="59"/>
  <c r="N34" i="59"/>
  <c r="AB33" i="59"/>
  <c r="Q33" i="59"/>
  <c r="P33" i="59"/>
  <c r="AA33" i="59" s="1"/>
  <c r="O33" i="59"/>
  <c r="Y33" i="59" s="1"/>
  <c r="Z33" i="59"/>
  <c r="N33" i="59"/>
  <c r="X33" i="59"/>
  <c r="Q32" i="59"/>
  <c r="AB32" i="59" s="1"/>
  <c r="P32" i="59"/>
  <c r="O32" i="59"/>
  <c r="Y32" i="59" s="1"/>
  <c r="Z32" i="59" s="1"/>
  <c r="N32" i="59"/>
  <c r="X32" i="59" s="1"/>
  <c r="Q31" i="59"/>
  <c r="AB31" i="59" s="1"/>
  <c r="P31" i="59"/>
  <c r="E32" i="59"/>
  <c r="E33" i="59" s="1"/>
  <c r="E34" i="59"/>
  <c r="O31" i="59"/>
  <c r="N31" i="59"/>
  <c r="D31" i="59"/>
  <c r="Q30" i="59"/>
  <c r="AB30" i="59" s="1"/>
  <c r="P30" i="59"/>
  <c r="O30" i="59"/>
  <c r="Y30" i="59" s="1"/>
  <c r="Z30" i="59" s="1"/>
  <c r="N30" i="59"/>
  <c r="Q29" i="59"/>
  <c r="AB29" i="59" s="1"/>
  <c r="P29" i="59"/>
  <c r="O29" i="59"/>
  <c r="Y29" i="59" s="1"/>
  <c r="Z29" i="59" s="1"/>
  <c r="N29" i="59"/>
  <c r="Q28" i="59"/>
  <c r="AB28" i="59" s="1"/>
  <c r="P28" i="59"/>
  <c r="O28" i="59"/>
  <c r="Y28" i="59" s="1"/>
  <c r="Z28" i="59" s="1"/>
  <c r="N28" i="59"/>
  <c r="Q27" i="59"/>
  <c r="AB27" i="59" s="1"/>
  <c r="P27" i="59"/>
  <c r="E28" i="59"/>
  <c r="E29" i="59" s="1"/>
  <c r="E30" i="59" s="1"/>
  <c r="U30" i="59" s="1"/>
  <c r="O27" i="59"/>
  <c r="Y19" i="59" s="1"/>
  <c r="Z19" i="59" s="1"/>
  <c r="N27" i="59"/>
  <c r="D27" i="59"/>
  <c r="Q26" i="59"/>
  <c r="P26" i="59"/>
  <c r="O26" i="59"/>
  <c r="N26" i="59"/>
  <c r="Q25" i="59"/>
  <c r="P25" i="59"/>
  <c r="O25" i="59"/>
  <c r="N25" i="59"/>
  <c r="Q24" i="59"/>
  <c r="P24" i="59"/>
  <c r="O24" i="59"/>
  <c r="N24" i="59"/>
  <c r="Q23" i="59"/>
  <c r="P23" i="59"/>
  <c r="AA23" i="59" s="1"/>
  <c r="O23" i="59"/>
  <c r="C24" i="59"/>
  <c r="D24" i="59" s="1"/>
  <c r="N23" i="59"/>
  <c r="B24" i="59"/>
  <c r="B25" i="59" s="1"/>
  <c r="B26" i="59" s="1"/>
  <c r="S26" i="59" s="1"/>
  <c r="D23" i="59"/>
  <c r="O22" i="59"/>
  <c r="N22" i="59"/>
  <c r="B22" i="59" s="1"/>
  <c r="C22" i="59"/>
  <c r="T22" i="59"/>
  <c r="X22" i="59"/>
  <c r="X19" i="59"/>
  <c r="C25" i="59"/>
  <c r="C26" i="59" s="1"/>
  <c r="C37" i="59"/>
  <c r="C38" i="59" s="1"/>
  <c r="D36" i="59"/>
  <c r="C41" i="59"/>
  <c r="D41" i="59" s="1"/>
  <c r="D40" i="59"/>
  <c r="C45" i="59"/>
  <c r="D44" i="59"/>
  <c r="P22" i="59"/>
  <c r="E53" i="59"/>
  <c r="E54" i="59"/>
  <c r="U54" i="59" s="1"/>
  <c r="Q59" i="59"/>
  <c r="P60" i="59"/>
  <c r="U66" i="59"/>
  <c r="E65" i="59"/>
  <c r="E64" i="59" s="1"/>
  <c r="Q22" i="59"/>
  <c r="F22" i="59" s="1"/>
  <c r="C49" i="59"/>
  <c r="D48" i="59"/>
  <c r="C57" i="59"/>
  <c r="D56" i="59"/>
  <c r="N61" i="59"/>
  <c r="B60" i="59"/>
  <c r="N59" i="59" s="1"/>
  <c r="Q61" i="59"/>
  <c r="T62" i="59"/>
  <c r="O62" i="59"/>
  <c r="D62" i="59"/>
  <c r="C61" i="59"/>
  <c r="T66" i="59"/>
  <c r="D66" i="59"/>
  <c r="C65" i="59"/>
  <c r="C64" i="59" s="1"/>
  <c r="D64" i="59" s="1"/>
  <c r="Q62" i="59"/>
  <c r="C69" i="59"/>
  <c r="C68" i="59" s="1"/>
  <c r="D68" i="59" s="1"/>
  <c r="E69" i="59"/>
  <c r="E68" i="59"/>
  <c r="D70" i="59"/>
  <c r="C73" i="59"/>
  <c r="D73" i="59" s="1"/>
  <c r="E73" i="59"/>
  <c r="E72" i="59"/>
  <c r="D74" i="59"/>
  <c r="C77" i="59"/>
  <c r="D77" i="59" s="1"/>
  <c r="C81" i="59"/>
  <c r="AB3" i="59"/>
  <c r="AB20" i="59"/>
  <c r="AB22" i="59"/>
  <c r="E22" i="59"/>
  <c r="AA20" i="59"/>
  <c r="AA22" i="59"/>
  <c r="AA19" i="59"/>
  <c r="C21" i="59"/>
  <c r="D22" i="59"/>
  <c r="C76" i="59"/>
  <c r="D76" i="59" s="1"/>
  <c r="D69" i="59"/>
  <c r="C46" i="59"/>
  <c r="T46" i="59" s="1"/>
  <c r="D45" i="59"/>
  <c r="D81" i="59"/>
  <c r="C80" i="59"/>
  <c r="D80" i="59"/>
  <c r="C72" i="59"/>
  <c r="D72" i="59" s="1"/>
  <c r="C60" i="59"/>
  <c r="D60" i="59" s="1"/>
  <c r="O61" i="59"/>
  <c r="D61" i="59"/>
  <c r="C58" i="59"/>
  <c r="D57" i="59"/>
  <c r="C50" i="59"/>
  <c r="D49" i="59"/>
  <c r="N60" i="59"/>
  <c r="D37" i="59"/>
  <c r="D25" i="59"/>
  <c r="D21" i="59"/>
  <c r="C20" i="59"/>
  <c r="D20" i="59" s="1"/>
  <c r="E21" i="59"/>
  <c r="E20" i="59" s="1"/>
  <c r="U22" i="59"/>
  <c r="O60" i="59"/>
  <c r="O59" i="59"/>
  <c r="D46" i="59"/>
  <c r="T50" i="59"/>
  <c r="D50" i="59"/>
  <c r="T58" i="59"/>
  <c r="D58"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M76" i="43"/>
  <c r="N76" i="43" s="1"/>
  <c r="K76" i="43"/>
  <c r="J76" i="43" s="1"/>
  <c r="D76" i="43"/>
  <c r="M75" i="43"/>
  <c r="N75" i="43" s="1"/>
  <c r="K75" i="43"/>
  <c r="J75" i="43" s="1"/>
  <c r="D75" i="43" s="1"/>
  <c r="M74" i="43"/>
  <c r="N74" i="43" s="1"/>
  <c r="K74" i="43"/>
  <c r="J74" i="43" s="1"/>
  <c r="D74" i="43" s="1"/>
  <c r="M73" i="43"/>
  <c r="N73" i="43" s="1"/>
  <c r="K73" i="43"/>
  <c r="J73" i="43" s="1"/>
  <c r="M72" i="43"/>
  <c r="N72" i="43" s="1"/>
  <c r="K72" i="43"/>
  <c r="J72" i="43" s="1"/>
  <c r="D72" i="43"/>
  <c r="M71" i="43"/>
  <c r="N71" i="43" s="1"/>
  <c r="K71" i="43"/>
  <c r="J71" i="43" s="1"/>
  <c r="D71" i="43" s="1"/>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A18" i="54" s="1"/>
  <c r="B15" i="60" s="1"/>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R31" i="31"/>
  <c r="T31" i="31" s="1"/>
  <c r="R32" i="31"/>
  <c r="T32" i="31" s="1"/>
  <c r="R33" i="31"/>
  <c r="T33" i="31" s="1"/>
  <c r="R34" i="3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S270" i="31" s="1"/>
  <c r="R271" i="31"/>
  <c r="S271" i="31" s="1"/>
  <c r="R272" i="31"/>
  <c r="T272" i="31" s="1"/>
  <c r="R273" i="31"/>
  <c r="S273" i="31" s="1"/>
  <c r="R274" i="31"/>
  <c r="T274" i="31" s="1"/>
  <c r="R275" i="31"/>
  <c r="S275" i="31" s="1"/>
  <c r="R276" i="31"/>
  <c r="R277" i="31"/>
  <c r="S277" i="31" s="1"/>
  <c r="R278" i="31"/>
  <c r="T278" i="31" s="1"/>
  <c r="R279" i="31"/>
  <c r="S279" i="31" s="1"/>
  <c r="R280" i="31"/>
  <c r="T280" i="31" s="1"/>
  <c r="R281" i="31"/>
  <c r="S281" i="31" s="1"/>
  <c r="R282" i="31"/>
  <c r="T282" i="31" s="1"/>
  <c r="R283" i="31"/>
  <c r="S283" i="31" s="1"/>
  <c r="R284" i="31"/>
  <c r="T284" i="31" s="1"/>
  <c r="R285" i="31"/>
  <c r="S285" i="31" s="1"/>
  <c r="R286" i="31"/>
  <c r="S286" i="31" s="1"/>
  <c r="R287" i="31"/>
  <c r="S287" i="31" s="1"/>
  <c r="R288" i="31"/>
  <c r="R289" i="31"/>
  <c r="S289" i="31" s="1"/>
  <c r="R290" i="31"/>
  <c r="T290" i="31" s="1"/>
  <c r="R291" i="31"/>
  <c r="S291" i="31" s="1"/>
  <c r="R292" i="31"/>
  <c r="T292" i="31" s="1"/>
  <c r="R293" i="31"/>
  <c r="S293" i="31" s="1"/>
  <c r="R294" i="31"/>
  <c r="T294" i="31" s="1"/>
  <c r="R295" i="31"/>
  <c r="S295" i="31" s="1"/>
  <c r="R296" i="31"/>
  <c r="T296" i="31" s="1"/>
  <c r="R297" i="31"/>
  <c r="S297" i="31" s="1"/>
  <c r="R298" i="31"/>
  <c r="R299" i="31"/>
  <c r="S299" i="31" s="1"/>
  <c r="R300" i="31"/>
  <c r="T300" i="31" s="1"/>
  <c r="R301" i="31"/>
  <c r="S301" i="31" s="1"/>
  <c r="R302" i="31"/>
  <c r="S302" i="31" s="1"/>
  <c r="R303" i="31"/>
  <c r="S303" i="31" s="1"/>
  <c r="R304" i="31"/>
  <c r="T304" i="31" s="1"/>
  <c r="R305" i="31"/>
  <c r="S305" i="31" s="1"/>
  <c r="R306" i="31"/>
  <c r="T306" i="31" s="1"/>
  <c r="R307" i="31"/>
  <c r="S307" i="31" s="1"/>
  <c r="R308" i="31"/>
  <c r="R309" i="31"/>
  <c r="S309" i="31" s="1"/>
  <c r="R310" i="31"/>
  <c r="T310" i="31" s="1"/>
  <c r="R311" i="31"/>
  <c r="S311" i="31" s="1"/>
  <c r="R312" i="31"/>
  <c r="T312" i="31" s="1"/>
  <c r="R313" i="31"/>
  <c r="S313" i="31" s="1"/>
  <c r="R314" i="31"/>
  <c r="T314" i="31" s="1"/>
  <c r="R315" i="31"/>
  <c r="S315" i="31" s="1"/>
  <c r="R316" i="31"/>
  <c r="T316" i="31" s="1"/>
  <c r="R317" i="31"/>
  <c r="S317" i="31" s="1"/>
  <c r="R318" i="31"/>
  <c r="S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S332" i="31" s="1"/>
  <c r="R333" i="31"/>
  <c r="T333" i="31" s="1"/>
  <c r="R334" i="31"/>
  <c r="T334" i="31" s="1"/>
  <c r="R335" i="31"/>
  <c r="T335" i="31" s="1"/>
  <c r="R336" i="31"/>
  <c r="T336" i="31" s="1"/>
  <c r="R337" i="31"/>
  <c r="T337" i="31" s="1"/>
  <c r="R338" i="31"/>
  <c r="R339" i="31"/>
  <c r="T339" i="31" s="1"/>
  <c r="R340" i="31"/>
  <c r="T340" i="31" s="1"/>
  <c r="R341" i="31"/>
  <c r="T341" i="31" s="1"/>
  <c r="R342" i="31"/>
  <c r="T342" i="31" s="1"/>
  <c r="R343" i="31"/>
  <c r="T343" i="31" s="1"/>
  <c r="R344" i="31"/>
  <c r="T344" i="31" s="1"/>
  <c r="R345" i="31"/>
  <c r="T345" i="31" s="1"/>
  <c r="R346" i="31"/>
  <c r="T346" i="31" s="1"/>
  <c r="R347" i="31"/>
  <c r="T347" i="31" s="1"/>
  <c r="R348" i="31"/>
  <c r="S348" i="31" s="1"/>
  <c r="R349" i="31"/>
  <c r="T349" i="31" s="1"/>
  <c r="R350" i="31"/>
  <c r="R351" i="31"/>
  <c r="T351" i="31" s="1"/>
  <c r="R352" i="31"/>
  <c r="T352" i="31" s="1"/>
  <c r="R353" i="31"/>
  <c r="T353" i="31" s="1"/>
  <c r="R354" i="31"/>
  <c r="T354" i="31" s="1"/>
  <c r="R355" i="31"/>
  <c r="T355" i="31" s="1"/>
  <c r="R356" i="31"/>
  <c r="T356" i="31" s="1"/>
  <c r="R357" i="31"/>
  <c r="T357" i="31" s="1"/>
  <c r="R358" i="31"/>
  <c r="T358" i="31" s="1"/>
  <c r="R359" i="31"/>
  <c r="T359" i="31" s="1"/>
  <c r="R360" i="31"/>
  <c r="R361" i="31"/>
  <c r="T361" i="31" s="1"/>
  <c r="R362" i="31"/>
  <c r="T362" i="31" s="1"/>
  <c r="R363" i="31"/>
  <c r="T363" i="31" s="1"/>
  <c r="R364" i="31"/>
  <c r="S364" i="31" s="1"/>
  <c r="R365" i="31"/>
  <c r="T365" i="31" s="1"/>
  <c r="R366" i="31"/>
  <c r="T366" i="31" s="1"/>
  <c r="R367" i="31"/>
  <c r="T367" i="31" s="1"/>
  <c r="R368" i="31"/>
  <c r="T368" i="31" s="1"/>
  <c r="R369" i="31"/>
  <c r="T369" i="31" s="1"/>
  <c r="R370" i="3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R383" i="31"/>
  <c r="T383" i="31" s="1"/>
  <c r="R384" i="31"/>
  <c r="T384" i="31" s="1"/>
  <c r="R385" i="31"/>
  <c r="T385" i="31" s="1"/>
  <c r="R386" i="31"/>
  <c r="T386" i="31" s="1"/>
  <c r="R387" i="31"/>
  <c r="T387" i="31" s="1"/>
  <c r="R388" i="31"/>
  <c r="T388" i="31" s="1"/>
  <c r="R389" i="31"/>
  <c r="T389" i="31" s="1"/>
  <c r="R390" i="31"/>
  <c r="T390" i="31" s="1"/>
  <c r="R391" i="31"/>
  <c r="T391" i="31" s="1"/>
  <c r="R392" i="31"/>
  <c r="R393" i="31"/>
  <c r="T393" i="31" s="1"/>
  <c r="R394" i="31"/>
  <c r="T394" i="31" s="1"/>
  <c r="R395" i="31"/>
  <c r="T395" i="31" s="1"/>
  <c r="R396" i="31"/>
  <c r="S396" i="31" s="1"/>
  <c r="R397" i="31"/>
  <c r="T397" i="31" s="1"/>
  <c r="R398" i="31"/>
  <c r="T398" i="31" s="1"/>
  <c r="R399" i="31"/>
  <c r="T399" i="31" s="1"/>
  <c r="R400" i="31"/>
  <c r="T400" i="31" s="1"/>
  <c r="R401" i="31"/>
  <c r="T401" i="31" s="1"/>
  <c r="R402" i="31"/>
  <c r="R403" i="31"/>
  <c r="T403" i="31" s="1"/>
  <c r="R404" i="31"/>
  <c r="T404" i="31" s="1"/>
  <c r="R405" i="31"/>
  <c r="T405" i="31" s="1"/>
  <c r="R406" i="31"/>
  <c r="T406" i="31" s="1"/>
  <c r="R407" i="31"/>
  <c r="T407" i="31" s="1"/>
  <c r="R408" i="31"/>
  <c r="T408" i="31" s="1"/>
  <c r="R409" i="31"/>
  <c r="T409" i="31" s="1"/>
  <c r="R410" i="31"/>
  <c r="T410" i="31" s="1"/>
  <c r="R411" i="31"/>
  <c r="T411" i="31" s="1"/>
  <c r="R412" i="31"/>
  <c r="S412" i="31" s="1"/>
  <c r="R413" i="31"/>
  <c r="T413" i="31" s="1"/>
  <c r="R414" i="31"/>
  <c r="R415" i="31"/>
  <c r="T415" i="31" s="1"/>
  <c r="R416" i="31"/>
  <c r="T416" i="31" s="1"/>
  <c r="R417" i="31"/>
  <c r="T417" i="31" s="1"/>
  <c r="R418" i="31"/>
  <c r="T418" i="31" s="1"/>
  <c r="R419" i="31"/>
  <c r="T419" i="31" s="1"/>
  <c r="R420" i="31"/>
  <c r="T420" i="31" s="1"/>
  <c r="R421" i="31"/>
  <c r="T421" i="31" s="1"/>
  <c r="R422" i="31"/>
  <c r="T422" i="31" s="1"/>
  <c r="R423" i="31"/>
  <c r="T423" i="31" s="1"/>
  <c r="R424" i="31"/>
  <c r="R425" i="31"/>
  <c r="T425" i="31" s="1"/>
  <c r="R426" i="31"/>
  <c r="T426" i="31" s="1"/>
  <c r="R427" i="31"/>
  <c r="T427" i="31" s="1"/>
  <c r="R428" i="31"/>
  <c r="T428" i="31" s="1"/>
  <c r="R429" i="31"/>
  <c r="T429" i="31" s="1"/>
  <c r="R430" i="31"/>
  <c r="S430" i="31" s="1"/>
  <c r="R431" i="31"/>
  <c r="T431" i="31" s="1"/>
  <c r="R432" i="31"/>
  <c r="R433" i="31"/>
  <c r="T433" i="31" s="1"/>
  <c r="R434" i="31"/>
  <c r="S434" i="31" s="1"/>
  <c r="R435" i="31"/>
  <c r="T435" i="31" s="1"/>
  <c r="R436" i="31"/>
  <c r="R437" i="31"/>
  <c r="T437" i="31" s="1"/>
  <c r="R438" i="31"/>
  <c r="S438" i="31" s="1"/>
  <c r="R439" i="31"/>
  <c r="T439" i="31" s="1"/>
  <c r="R440" i="31"/>
  <c r="T440" i="31" s="1"/>
  <c r="R441" i="31"/>
  <c r="T441" i="31" s="1"/>
  <c r="R442" i="31"/>
  <c r="S442" i="31" s="1"/>
  <c r="R443" i="31"/>
  <c r="T443" i="31" s="1"/>
  <c r="R444" i="31"/>
  <c r="T444" i="31" s="1"/>
  <c r="R445" i="31"/>
  <c r="T445" i="31" s="1"/>
  <c r="R446" i="31"/>
  <c r="S446" i="31" s="1"/>
  <c r="R447" i="31"/>
  <c r="T447" i="31" s="1"/>
  <c r="R448" i="31"/>
  <c r="T448" i="31" s="1"/>
  <c r="R449" i="31"/>
  <c r="R450" i="31"/>
  <c r="T450" i="31" s="1"/>
  <c r="R451" i="31"/>
  <c r="R452" i="31"/>
  <c r="R453" i="31"/>
  <c r="T453" i="31" s="1"/>
  <c r="R454" i="31"/>
  <c r="S454" i="31" s="1"/>
  <c r="R455" i="31"/>
  <c r="T455" i="31" s="1"/>
  <c r="R456" i="31"/>
  <c r="T456" i="31" s="1"/>
  <c r="R457" i="31"/>
  <c r="T457" i="31" s="1"/>
  <c r="R458" i="31"/>
  <c r="T458" i="31" s="1"/>
  <c r="R459" i="31"/>
  <c r="T459" i="31" s="1"/>
  <c r="R460" i="31"/>
  <c r="T460" i="31" s="1"/>
  <c r="R461" i="31"/>
  <c r="T461" i="31" s="1"/>
  <c r="R462" i="31"/>
  <c r="T462" i="31" s="1"/>
  <c r="R463" i="31"/>
  <c r="T463" i="31" s="1"/>
  <c r="R464" i="31"/>
  <c r="R465" i="31"/>
  <c r="T465" i="31" s="1"/>
  <c r="R466" i="31"/>
  <c r="T466" i="31" s="1"/>
  <c r="R467" i="31"/>
  <c r="T467" i="31" s="1"/>
  <c r="R468" i="31"/>
  <c r="T468" i="31" s="1"/>
  <c r="R469" i="31"/>
  <c r="T469" i="31" s="1"/>
  <c r="R470" i="31"/>
  <c r="T470" i="31" s="1"/>
  <c r="R471" i="31"/>
  <c r="T471" i="31" s="1"/>
  <c r="R472" i="31"/>
  <c r="T472" i="31" s="1"/>
  <c r="R473" i="31"/>
  <c r="R474" i="31"/>
  <c r="T474" i="31" s="1"/>
  <c r="R475" i="31"/>
  <c r="T475" i="31" s="1"/>
  <c r="R476" i="31"/>
  <c r="T476" i="31" s="1"/>
  <c r="R477" i="31"/>
  <c r="R478" i="31"/>
  <c r="T478" i="31" s="1"/>
  <c r="R479" i="31"/>
  <c r="T479" i="31" s="1"/>
  <c r="R480" i="31"/>
  <c r="T480" i="31" s="1"/>
  <c r="R481" i="31"/>
  <c r="R482" i="31"/>
  <c r="T482" i="31" s="1"/>
  <c r="R483" i="31"/>
  <c r="T483" i="31" s="1"/>
  <c r="R484" i="31"/>
  <c r="T484" i="31" s="1"/>
  <c r="R485" i="31"/>
  <c r="R486" i="31"/>
  <c r="T486" i="31" s="1"/>
  <c r="R487" i="31"/>
  <c r="T487" i="31" s="1"/>
  <c r="R488" i="31"/>
  <c r="T488" i="31" s="1"/>
  <c r="R489" i="31"/>
  <c r="R490" i="31"/>
  <c r="T490" i="31" s="1"/>
  <c r="R491" i="31"/>
  <c r="T491" i="31" s="1"/>
  <c r="R492" i="31"/>
  <c r="T492" i="31" s="1"/>
  <c r="R493" i="31"/>
  <c r="R494" i="31"/>
  <c r="T494" i="31" s="1"/>
  <c r="R495" i="31"/>
  <c r="T495" i="31" s="1"/>
  <c r="R496" i="31"/>
  <c r="T496" i="31" s="1"/>
  <c r="R497" i="31"/>
  <c r="R498" i="31"/>
  <c r="T498" i="31" s="1"/>
  <c r="R499" i="31"/>
  <c r="T499" i="31" s="1"/>
  <c r="R500" i="31"/>
  <c r="T500" i="31" s="1"/>
  <c r="R501" i="31"/>
  <c r="T501" i="31" s="1"/>
  <c r="R502" i="31"/>
  <c r="R503" i="31"/>
  <c r="T503" i="31" s="1"/>
  <c r="R504" i="31"/>
  <c r="T504" i="31" s="1"/>
  <c r="R505" i="31"/>
  <c r="T505" i="31" s="1"/>
  <c r="R506" i="31"/>
  <c r="R507" i="31"/>
  <c r="R508" i="31"/>
  <c r="T508" i="31" s="1"/>
  <c r="R509" i="31"/>
  <c r="T509" i="31" s="1"/>
  <c r="R510" i="31"/>
  <c r="T510" i="31" s="1"/>
  <c r="R511" i="31"/>
  <c r="T511" i="31" s="1"/>
  <c r="R512" i="31"/>
  <c r="T512" i="31" s="1"/>
  <c r="R513" i="31"/>
  <c r="T513" i="31" s="1"/>
  <c r="R514" i="31"/>
  <c r="T514" i="31" s="1"/>
  <c r="R515" i="31"/>
  <c r="T515" i="31" s="1"/>
  <c r="R516" i="3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08" i="31"/>
  <c r="S386" i="31"/>
  <c r="S366" i="31"/>
  <c r="S344" i="31"/>
  <c r="S426" i="31"/>
  <c r="S304" i="31"/>
  <c r="S282" i="31"/>
  <c r="S264" i="31"/>
  <c r="S257" i="31"/>
  <c r="S255" i="31"/>
  <c r="S253" i="31"/>
  <c r="S251" i="31"/>
  <c r="S249" i="31"/>
  <c r="S247" i="31"/>
  <c r="S245" i="31"/>
  <c r="S243" i="31"/>
  <c r="S241" i="31"/>
  <c r="S239" i="31"/>
  <c r="S237" i="31"/>
  <c r="S235" i="31"/>
  <c r="S233" i="31"/>
  <c r="S231" i="31"/>
  <c r="S229" i="31"/>
  <c r="S227" i="31"/>
  <c r="S224" i="31"/>
  <c r="S216" i="31"/>
  <c r="S208" i="31"/>
  <c r="S200" i="31"/>
  <c r="S192" i="31"/>
  <c r="S184" i="31"/>
  <c r="S176" i="31"/>
  <c r="S168" i="31"/>
  <c r="S160" i="31"/>
  <c r="S152" i="31"/>
  <c r="S144" i="31"/>
  <c r="S136" i="31"/>
  <c r="S128" i="31"/>
  <c r="S499" i="31"/>
  <c r="S483" i="31"/>
  <c r="S124" i="31"/>
  <c r="S116" i="31"/>
  <c r="S51" i="31"/>
  <c r="S43" i="31"/>
  <c r="S35" i="31"/>
  <c r="S70" i="31"/>
  <c r="S62" i="31"/>
  <c r="S98" i="31"/>
  <c r="S90" i="31"/>
  <c r="S82" i="31"/>
  <c r="S104" i="31"/>
  <c r="S112" i="31"/>
  <c r="S512"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21" i="31"/>
  <c r="S525"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F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s="1"/>
  <c r="J9" i="21"/>
  <c r="W9" i="21"/>
  <c r="H8" i="21"/>
  <c r="U8" i="21" s="1"/>
  <c r="H9" i="21"/>
  <c r="AB9" i="21"/>
  <c r="H10" i="21"/>
  <c r="AB10" i="21"/>
  <c r="H36" i="21"/>
  <c r="U36" i="21"/>
  <c r="F35" i="21"/>
  <c r="AA35" i="21"/>
  <c r="J33" i="21"/>
  <c r="W33" i="21" s="1"/>
  <c r="H33" i="21"/>
  <c r="AB33" i="21" s="1"/>
  <c r="F33" i="21"/>
  <c r="AA33" i="21" s="1"/>
  <c r="J10" i="21"/>
  <c r="AC10" i="21"/>
  <c r="H26" i="21"/>
  <c r="AB26" i="21" s="1"/>
  <c r="F19" i="21"/>
  <c r="AA19" i="2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s="1"/>
  <c r="H39" i="39"/>
  <c r="U39" i="39" s="1"/>
  <c r="S38" i="39"/>
  <c r="H34" i="39"/>
  <c r="AB34" i="39"/>
  <c r="E109" i="39"/>
  <c r="F109" i="39"/>
  <c r="H31" i="39"/>
  <c r="AB31" i="39" s="1"/>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AC28" i="21" s="1"/>
  <c r="H30" i="21"/>
  <c r="AB30" i="21"/>
  <c r="F30" i="21"/>
  <c r="S30" i="21"/>
  <c r="J30" i="21"/>
  <c r="W30" i="2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19" i="21"/>
  <c r="J41" i="39"/>
  <c r="W41" i="39" s="1"/>
  <c r="AC45" i="39"/>
  <c r="U36" i="39"/>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c r="J23" i="21"/>
  <c r="AC23" i="21"/>
  <c r="H23" i="21"/>
  <c r="U23" i="21"/>
  <c r="F17" i="21"/>
  <c r="AA17" i="21"/>
  <c r="J17" i="21"/>
  <c r="AC17" i="21" s="1"/>
  <c r="H17" i="21"/>
  <c r="AB17" i="21" s="1"/>
  <c r="J15" i="21"/>
  <c r="W15" i="21" s="1"/>
  <c r="U35" i="21"/>
  <c r="AC35" i="21"/>
  <c r="H103" i="57"/>
  <c r="A131" i="9"/>
  <c r="A135" i="57"/>
  <c r="A14" i="52" s="1"/>
  <c r="B61" i="60" s="1"/>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S45" i="39"/>
  <c r="AA45" i="39"/>
  <c r="H27" i="21"/>
  <c r="AB27" i="21"/>
  <c r="J27" i="21"/>
  <c r="W27" i="21"/>
  <c r="F27" i="21"/>
  <c r="AA27" i="21"/>
  <c r="J29" i="21"/>
  <c r="AC29" i="21"/>
  <c r="H29" i="21"/>
  <c r="U29" i="21"/>
  <c r="F29" i="21"/>
  <c r="J31" i="21"/>
  <c r="W31" i="21" s="1"/>
  <c r="H31" i="21"/>
  <c r="F31" i="21"/>
  <c r="AA31" i="21"/>
  <c r="H39" i="21"/>
  <c r="U39" i="21"/>
  <c r="S9" i="21"/>
  <c r="AA9" i="21"/>
  <c r="AA15" i="33"/>
  <c r="S15" i="33"/>
  <c r="AA35" i="33"/>
  <c r="E117" i="33"/>
  <c r="F117" i="33" s="1"/>
  <c r="G117" i="33" s="1"/>
  <c r="J39" i="33"/>
  <c r="AC39" i="33"/>
  <c r="E125" i="33"/>
  <c r="H43" i="33"/>
  <c r="U43" i="33" s="1"/>
  <c r="E91" i="33"/>
  <c r="F91" i="33" s="1"/>
  <c r="G91" i="33" s="1"/>
  <c r="H91" i="33" s="1"/>
  <c r="I91" i="33" s="1"/>
  <c r="J91" i="33" s="1"/>
  <c r="K91" i="33"/>
  <c r="L91" i="33" s="1"/>
  <c r="M91" i="33" s="1"/>
  <c r="F27" i="33"/>
  <c r="S27" i="33"/>
  <c r="H41" i="33"/>
  <c r="U41" i="33"/>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AC37" i="21"/>
  <c r="W34" i="21"/>
  <c r="U27" i="21"/>
  <c r="AB23" i="21"/>
  <c r="U19" i="21"/>
  <c r="U43" i="21"/>
  <c r="U30" i="21"/>
  <c r="AB36" i="21"/>
  <c r="S17" i="21"/>
  <c r="AA36" i="21"/>
  <c r="AA43" i="21"/>
  <c r="AB32" i="21"/>
  <c r="AB21" i="21"/>
  <c r="U21" i="21"/>
  <c r="AC19" i="21"/>
  <c r="U17" i="21"/>
  <c r="S13" i="21"/>
  <c r="U12" i="21"/>
  <c r="AB11" i="21"/>
  <c r="U10" i="21"/>
  <c r="U9"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Y25" i="31"/>
  <c r="C37" i="57" s="1"/>
  <c r="F125" i="57" s="1"/>
  <c r="G125" i="57" s="1"/>
  <c r="V25" i="31"/>
  <c r="H102" i="43"/>
  <c r="D3" i="21"/>
  <c r="M6" i="43"/>
  <c r="M5" i="43"/>
  <c r="F81" i="43"/>
  <c r="H85" i="43" s="1"/>
  <c r="H13" i="44"/>
  <c r="G59" i="40"/>
  <c r="C59" i="40" s="1"/>
  <c r="H11" i="44"/>
  <c r="C51" i="10"/>
  <c r="A8" i="54"/>
  <c r="B8" i="60" s="1"/>
  <c r="F2" i="21"/>
  <c r="F2" i="34"/>
  <c r="F2" i="35"/>
  <c r="F2" i="33"/>
  <c r="D36" i="57"/>
  <c r="C120" i="57"/>
  <c r="H116" i="57" s="1"/>
  <c r="S498" i="31"/>
  <c r="S494" i="31"/>
  <c r="S490" i="31"/>
  <c r="S486" i="31"/>
  <c r="S482" i="31"/>
  <c r="S478" i="31"/>
  <c r="S474" i="31"/>
  <c r="S470" i="31"/>
  <c r="S462"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s="1"/>
  <c r="E13" i="1" s="1"/>
  <c r="C8"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S18" i="59" s="1"/>
  <c r="AB18" i="59"/>
  <c r="U18" i="59"/>
  <c r="AA17" i="59"/>
  <c r="X17" i="59"/>
  <c r="AB17" i="59"/>
  <c r="AA16" i="59"/>
  <c r="Y16" i="59"/>
  <c r="Z16" i="59"/>
  <c r="Y14" i="59"/>
  <c r="Z14" i="59"/>
  <c r="AB14" i="59"/>
  <c r="AB12" i="59"/>
  <c r="X14" i="59"/>
  <c r="X12" i="59"/>
  <c r="AA14" i="59"/>
  <c r="AA12" i="59"/>
  <c r="AB13" i="59"/>
  <c r="X13" i="59"/>
  <c r="U14" i="59"/>
  <c r="J30" i="35"/>
  <c r="W30" i="35" s="1"/>
  <c r="H30" i="35"/>
  <c r="AB30" i="35" s="1"/>
  <c r="AA30" i="35"/>
  <c r="N56" i="9"/>
  <c r="O56" i="9"/>
  <c r="O58" i="57"/>
  <c r="K58" i="57"/>
  <c r="K59" i="57" s="1"/>
  <c r="K61" i="57" s="1"/>
  <c r="K63" i="57" s="1"/>
  <c r="N58" i="57"/>
  <c r="K56" i="9"/>
  <c r="K57" i="9" s="1"/>
  <c r="K59" i="9" s="1"/>
  <c r="K61" i="9" s="1"/>
  <c r="L58" i="57"/>
  <c r="F15" i="59"/>
  <c r="F14" i="59"/>
  <c r="F13" i="59" s="1"/>
  <c r="F12" i="59" s="1"/>
  <c r="F11" i="59" s="1"/>
  <c r="F10" i="59" s="1"/>
  <c r="C15" i="59"/>
  <c r="C14" i="59"/>
  <c r="C13" i="59" s="1"/>
  <c r="C12" i="59" s="1"/>
  <c r="C11" i="59" s="1"/>
  <c r="D11" i="59" s="1"/>
  <c r="X3" i="59"/>
  <c r="Y3" i="59"/>
  <c r="Z3" i="59" s="1"/>
  <c r="D15" i="59"/>
  <c r="F48" i="43"/>
  <c r="H50" i="43" s="1"/>
  <c r="G4" i="47"/>
  <c r="B17" i="59"/>
  <c r="B16" i="59" s="1"/>
  <c r="B15" i="59" s="1"/>
  <c r="B14" i="59" s="1"/>
  <c r="AC30" i="35"/>
  <c r="D13" i="59"/>
  <c r="I116" i="57"/>
  <c r="D133" i="57" s="1"/>
  <c r="I14" i="62" s="1"/>
  <c r="B8" i="62" s="1"/>
  <c r="D120" i="57"/>
  <c r="I114" i="9"/>
  <c r="D129" i="9" s="1"/>
  <c r="I112" i="9"/>
  <c r="D116" i="9"/>
  <c r="D114" i="9"/>
  <c r="D115" i="9"/>
  <c r="I113" i="9" s="1"/>
  <c r="C19" i="9"/>
  <c r="H23" i="31"/>
  <c r="F5" i="61"/>
  <c r="E2" i="37"/>
  <c r="D7" i="61"/>
  <c r="D5" i="61"/>
  <c r="E2" i="35"/>
  <c r="D19" i="9"/>
  <c r="F7" i="61"/>
  <c r="C20" i="9"/>
  <c r="E2" i="21"/>
  <c r="D4" i="61"/>
  <c r="D3" i="61"/>
  <c r="E2" i="11"/>
  <c r="F6" i="61"/>
  <c r="E2" i="36"/>
  <c r="D6" i="61"/>
  <c r="E2" i="33"/>
  <c r="F4" i="61"/>
  <c r="D20" i="9"/>
  <c r="F3" i="61"/>
  <c r="E2" i="34"/>
  <c r="C114" i="9" l="1"/>
  <c r="H112" i="9" s="1"/>
  <c r="U28" i="21"/>
  <c r="S28" i="21"/>
  <c r="W28" i="21"/>
  <c r="T516" i="31"/>
  <c r="S516" i="31"/>
  <c r="T506" i="31"/>
  <c r="S506" i="31"/>
  <c r="T502" i="31"/>
  <c r="S502" i="31"/>
  <c r="T464" i="31"/>
  <c r="S464" i="31"/>
  <c r="T452" i="31"/>
  <c r="S452" i="31"/>
  <c r="T436" i="31"/>
  <c r="S436" i="31"/>
  <c r="T432" i="31"/>
  <c r="S432" i="31"/>
  <c r="T424" i="31"/>
  <c r="S424" i="31"/>
  <c r="T414" i="31"/>
  <c r="S414" i="31"/>
  <c r="T402" i="31"/>
  <c r="S402" i="31"/>
  <c r="T392" i="31"/>
  <c r="S392" i="31"/>
  <c r="T382" i="31"/>
  <c r="S382" i="31"/>
  <c r="T370" i="31"/>
  <c r="S370" i="31"/>
  <c r="T360" i="31"/>
  <c r="S360" i="31"/>
  <c r="T350" i="31"/>
  <c r="S350" i="31"/>
  <c r="T338" i="31"/>
  <c r="S338" i="31"/>
  <c r="T328" i="31"/>
  <c r="S328" i="31"/>
  <c r="T320" i="31"/>
  <c r="S320" i="31"/>
  <c r="T308" i="31"/>
  <c r="S308" i="31"/>
  <c r="T298" i="31"/>
  <c r="S298" i="31"/>
  <c r="T288" i="31"/>
  <c r="S288" i="31"/>
  <c r="T276" i="31"/>
  <c r="S276" i="31"/>
  <c r="T266" i="31"/>
  <c r="S266" i="31"/>
  <c r="T260" i="31"/>
  <c r="S260"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2" i="31"/>
  <c r="S122" i="31"/>
  <c r="T118" i="31"/>
  <c r="S118"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T30" i="31"/>
  <c r="S30" i="31"/>
  <c r="S458" i="31"/>
  <c r="S466" i="31"/>
  <c r="S472" i="31"/>
  <c r="S476" i="31"/>
  <c r="S480" i="31"/>
  <c r="S484" i="31"/>
  <c r="S488" i="31"/>
  <c r="S492" i="31"/>
  <c r="S496" i="31"/>
  <c r="S500" i="31"/>
  <c r="S508" i="31"/>
  <c r="S448" i="31"/>
  <c r="S108" i="31"/>
  <c r="S32" i="31"/>
  <c r="S86" i="31"/>
  <c r="S94" i="31"/>
  <c r="S58" i="31"/>
  <c r="S66" i="31"/>
  <c r="S74" i="31"/>
  <c r="S456" i="31"/>
  <c r="S120" i="31"/>
  <c r="S444" i="31"/>
  <c r="S132" i="31"/>
  <c r="S140" i="31"/>
  <c r="S148" i="31"/>
  <c r="S156" i="31"/>
  <c r="S164" i="31"/>
  <c r="S172" i="31"/>
  <c r="S180" i="31"/>
  <c r="S188" i="31"/>
  <c r="S196" i="31"/>
  <c r="S204" i="31"/>
  <c r="S212" i="31"/>
  <c r="S220" i="31"/>
  <c r="S226" i="31"/>
  <c r="S228" i="31"/>
  <c r="S230" i="31"/>
  <c r="S232" i="31"/>
  <c r="S234" i="31"/>
  <c r="S236" i="31"/>
  <c r="S238" i="31"/>
  <c r="S240" i="31"/>
  <c r="S242" i="31"/>
  <c r="S244" i="31"/>
  <c r="S246" i="31"/>
  <c r="S248" i="31"/>
  <c r="S250" i="31"/>
  <c r="S252" i="31"/>
  <c r="S254" i="31"/>
  <c r="S256" i="31"/>
  <c r="S258" i="31"/>
  <c r="S272" i="31"/>
  <c r="S292" i="31"/>
  <c r="S314" i="31"/>
  <c r="S334" i="31"/>
  <c r="S354" i="31"/>
  <c r="S376" i="31"/>
  <c r="S398" i="31"/>
  <c r="S418" i="31"/>
  <c r="W42" i="21"/>
  <c r="S42" i="21"/>
  <c r="U42" i="21"/>
  <c r="AC26" i="21"/>
  <c r="U26" i="21"/>
  <c r="AA26" i="21"/>
  <c r="S527" i="31"/>
  <c r="S523" i="31"/>
  <c r="S519" i="31"/>
  <c r="S503" i="31"/>
  <c r="S475" i="31"/>
  <c r="S491" i="31"/>
  <c r="S526" i="31"/>
  <c r="S524" i="31"/>
  <c r="S522" i="31"/>
  <c r="S520" i="31"/>
  <c r="S518" i="31"/>
  <c r="S514" i="31"/>
  <c r="S510" i="31"/>
  <c r="S450" i="31"/>
  <c r="S460" i="31"/>
  <c r="S468" i="31"/>
  <c r="S440" i="31"/>
  <c r="S428" i="31"/>
  <c r="S268" i="31"/>
  <c r="S274" i="31"/>
  <c r="S280" i="31"/>
  <c r="S284" i="31"/>
  <c r="S290" i="31"/>
  <c r="S296" i="31"/>
  <c r="S300" i="31"/>
  <c r="S306" i="31"/>
  <c r="S312" i="31"/>
  <c r="S316" i="31"/>
  <c r="S322" i="31"/>
  <c r="S326" i="31"/>
  <c r="S330" i="31"/>
  <c r="S336" i="31"/>
  <c r="S342" i="31"/>
  <c r="S346" i="31"/>
  <c r="S352" i="31"/>
  <c r="S358" i="31"/>
  <c r="S362" i="31"/>
  <c r="S368" i="31"/>
  <c r="S374" i="31"/>
  <c r="S378" i="31"/>
  <c r="S384" i="31"/>
  <c r="S390" i="31"/>
  <c r="S394" i="31"/>
  <c r="S400" i="31"/>
  <c r="S406" i="31"/>
  <c r="S410" i="31"/>
  <c r="S416" i="31"/>
  <c r="S422" i="31"/>
  <c r="AB44" i="21"/>
  <c r="S44" i="21"/>
  <c r="W44" i="21"/>
  <c r="AB46" i="21"/>
  <c r="AC33" i="21"/>
  <c r="S33" i="21"/>
  <c r="W25" i="21"/>
  <c r="AB25" i="21"/>
  <c r="AA25" i="21"/>
  <c r="AA11" i="21"/>
  <c r="W11" i="21"/>
  <c r="C34" i="11"/>
  <c r="C36" i="11" s="1"/>
  <c r="C13" i="12"/>
  <c r="D73" i="43"/>
  <c r="E70" i="43" s="1"/>
  <c r="B68" i="43" s="1"/>
  <c r="C24" i="43" s="1"/>
  <c r="D77" i="43"/>
  <c r="N102" i="43"/>
  <c r="D42" i="50"/>
  <c r="D43" i="50" s="1"/>
  <c r="F70" i="43"/>
  <c r="H76" i="43" s="1"/>
  <c r="A8" i="52"/>
  <c r="B65" i="60" s="1"/>
  <c r="B13" i="59"/>
  <c r="B12" i="59" s="1"/>
  <c r="B11" i="59" s="1"/>
  <c r="B10" i="59" s="1"/>
  <c r="S14" i="59"/>
  <c r="U30" i="35"/>
  <c r="F9" i="59"/>
  <c r="F8" i="59" s="1"/>
  <c r="F7" i="59" s="1"/>
  <c r="F6" i="59" s="1"/>
  <c r="V10" i="59"/>
  <c r="U23" i="39"/>
  <c r="S12" i="21"/>
  <c r="AA12" i="21"/>
  <c r="D39" i="50"/>
  <c r="D40" i="50" s="1"/>
  <c r="D12" i="59"/>
  <c r="D14" i="59"/>
  <c r="V14" i="59"/>
  <c r="T14" i="59"/>
  <c r="W40" i="40"/>
  <c r="AA15" i="39"/>
  <c r="U31" i="33"/>
  <c r="U32" i="36"/>
  <c r="AC13" i="36"/>
  <c r="AC32" i="34"/>
  <c r="W30" i="33"/>
  <c r="W28" i="37"/>
  <c r="AB14" i="33"/>
  <c r="W13" i="35"/>
  <c r="AC27" i="40"/>
  <c r="J36" i="35"/>
  <c r="W17" i="21"/>
  <c r="D1" i="58"/>
  <c r="E10" i="58" s="1"/>
  <c r="I21" i="58"/>
  <c r="D38" i="59"/>
  <c r="T38" i="59"/>
  <c r="B21" i="59"/>
  <c r="B20" i="59" s="1"/>
  <c r="S22" i="59"/>
  <c r="D52" i="59"/>
  <c r="C53" i="59"/>
  <c r="D4" i="47"/>
  <c r="F4" i="47" s="1"/>
  <c r="B2" i="47" s="1"/>
  <c r="F21" i="59"/>
  <c r="F20" i="59" s="1"/>
  <c r="V22" i="59"/>
  <c r="D26" i="59"/>
  <c r="T26" i="59"/>
  <c r="B66" i="43"/>
  <c r="B86" i="43"/>
  <c r="D65" i="59"/>
  <c r="AA3" i="59"/>
  <c r="AA21" i="59"/>
  <c r="AB21" i="59"/>
  <c r="AB19" i="59"/>
  <c r="X20" i="59"/>
  <c r="X21" i="59"/>
  <c r="Y21" i="59"/>
  <c r="Z21" i="59" s="1"/>
  <c r="Y22" i="59"/>
  <c r="Z22" i="59" s="1"/>
  <c r="Y20" i="59"/>
  <c r="Z20" i="59" s="1"/>
  <c r="X23" i="59"/>
  <c r="Y23" i="59"/>
  <c r="Z23" i="59" s="1"/>
  <c r="E24" i="59"/>
  <c r="E25" i="59" s="1"/>
  <c r="E26" i="59" s="1"/>
  <c r="U26" i="59" s="1"/>
  <c r="AB23" i="59"/>
  <c r="F24" i="59"/>
  <c r="F25" i="59" s="1"/>
  <c r="F26" i="59" s="1"/>
  <c r="V26" i="59" s="1"/>
  <c r="Y24" i="59"/>
  <c r="Z24" i="59" s="1"/>
  <c r="AB24" i="59"/>
  <c r="Y25" i="59"/>
  <c r="Z25" i="59" s="1"/>
  <c r="AB25" i="59"/>
  <c r="Y26" i="59"/>
  <c r="Z26" i="59" s="1"/>
  <c r="AB26" i="59"/>
  <c r="X27" i="59"/>
  <c r="B28" i="59"/>
  <c r="B29" i="59" s="1"/>
  <c r="B30" i="59" s="1"/>
  <c r="S30" i="59" s="1"/>
  <c r="Y31" i="59"/>
  <c r="Z31" i="59" s="1"/>
  <c r="C32" i="59"/>
  <c r="F32" i="59"/>
  <c r="F33" i="59" s="1"/>
  <c r="F34" i="59" s="1"/>
  <c r="V34" i="59" s="1"/>
  <c r="B53" i="59"/>
  <c r="B54" i="59" s="1"/>
  <c r="S54" i="59" s="1"/>
  <c r="U25" i="31"/>
  <c r="C36" i="57" s="1"/>
  <c r="D125" i="57" s="1"/>
  <c r="E125" i="57" s="1"/>
  <c r="N100" i="43"/>
  <c r="J100" i="43"/>
  <c r="F100" i="43"/>
  <c r="M100" i="43"/>
  <c r="I100" i="43"/>
  <c r="E100" i="43"/>
  <c r="C31" i="58"/>
  <c r="C30" i="58"/>
  <c r="E26" i="58" s="1"/>
  <c r="C29" i="39"/>
  <c r="B55" i="43"/>
  <c r="Y27" i="59"/>
  <c r="Z27" i="59" s="1"/>
  <c r="C28" i="59"/>
  <c r="F28" i="59"/>
  <c r="F29" i="59" s="1"/>
  <c r="F30" i="59" s="1"/>
  <c r="V30" i="59" s="1"/>
  <c r="X31" i="59"/>
  <c r="B32" i="59"/>
  <c r="B33" i="59" s="1"/>
  <c r="B34" i="59" s="1"/>
  <c r="S34" i="59" s="1"/>
  <c r="M19" i="43"/>
  <c r="U34" i="59"/>
  <c r="X16" i="59"/>
  <c r="AA13" i="59"/>
  <c r="X15" i="59"/>
  <c r="AA11" i="59"/>
  <c r="AB11" i="59"/>
  <c r="X11" i="59"/>
  <c r="Y7" i="59"/>
  <c r="Z7" i="59" s="1"/>
  <c r="AB5" i="59"/>
  <c r="X24" i="59"/>
  <c r="AA24" i="59"/>
  <c r="X25" i="59"/>
  <c r="AA25" i="59"/>
  <c r="X26" i="59"/>
  <c r="AA26" i="59"/>
  <c r="AA27" i="59"/>
  <c r="X28" i="59"/>
  <c r="AA28" i="59"/>
  <c r="X29" i="59"/>
  <c r="AA29" i="59"/>
  <c r="X30" i="59"/>
  <c r="AA30" i="59"/>
  <c r="AA31" i="59"/>
  <c r="AA32" i="59"/>
  <c r="P62" i="59"/>
  <c r="AA15" i="59"/>
  <c r="AA18" i="59"/>
  <c r="E9" i="59"/>
  <c r="E8" i="59" s="1"/>
  <c r="E7" i="59" s="1"/>
  <c r="E6" i="59" s="1"/>
  <c r="E5" i="59" s="1"/>
  <c r="U10" i="59"/>
  <c r="Y18" i="59"/>
  <c r="Z18" i="59" s="1"/>
  <c r="AB16" i="59"/>
  <c r="AB15" i="59"/>
  <c r="Y15" i="59"/>
  <c r="Z15" i="59" s="1"/>
  <c r="Y12" i="59"/>
  <c r="Z12" i="59" s="1"/>
  <c r="AB10" i="59"/>
  <c r="AA10" i="59"/>
  <c r="Y17" i="59"/>
  <c r="Z17" i="59" s="1"/>
  <c r="Y13" i="59"/>
  <c r="Z13" i="59" s="1"/>
  <c r="X9" i="59"/>
  <c r="AA9" i="59"/>
  <c r="AB7" i="59"/>
  <c r="Y6" i="59"/>
  <c r="Z6" i="59" s="1"/>
  <c r="AA5" i="59"/>
  <c r="AA6" i="59"/>
  <c r="X6" i="59"/>
  <c r="X7" i="59"/>
  <c r="B15" i="50"/>
  <c r="V18" i="59"/>
  <c r="X18" i="59"/>
  <c r="Y11" i="59"/>
  <c r="Z11" i="59" s="1"/>
  <c r="Y9" i="59"/>
  <c r="Z9" i="59" s="1"/>
  <c r="AB9" i="59"/>
  <c r="AB6" i="59"/>
  <c r="AB8" i="59"/>
  <c r="Y5" i="59"/>
  <c r="Z5" i="59" s="1"/>
  <c r="Y8" i="59"/>
  <c r="Z8" i="59" s="1"/>
  <c r="AA7" i="59"/>
  <c r="AA8" i="59"/>
  <c r="X5" i="59"/>
  <c r="X8" i="59"/>
  <c r="F5" i="59"/>
  <c r="V6" i="59"/>
  <c r="U6" i="59"/>
  <c r="D18" i="50"/>
  <c r="B31" i="60" s="1"/>
  <c r="A10" i="52"/>
  <c r="B66" i="60" s="1"/>
  <c r="C14" i="15"/>
  <c r="D12" i="52"/>
  <c r="H70" i="43"/>
  <c r="H78" i="43"/>
  <c r="H73" i="43"/>
  <c r="G26" i="47"/>
  <c r="H62" i="43"/>
  <c r="H88" i="43"/>
  <c r="H83" i="43"/>
  <c r="H82" i="43"/>
  <c r="H54" i="43"/>
  <c r="H51" i="43"/>
  <c r="B20" i="60"/>
  <c r="C18" i="50"/>
  <c r="L108" i="57"/>
  <c r="AA8" i="37"/>
  <c r="AC8" i="37"/>
  <c r="AC36" i="37"/>
  <c r="S36" i="37"/>
  <c r="S30" i="37"/>
  <c r="W31" i="37"/>
  <c r="AA29" i="37"/>
  <c r="D68" i="39"/>
  <c r="E68" i="39" s="1"/>
  <c r="F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8" i="62"/>
  <c r="C14" i="50"/>
  <c r="C10" i="59"/>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G68" i="39" l="1"/>
  <c r="F70" i="39"/>
  <c r="H7" i="37"/>
  <c r="AB7" i="37" s="1"/>
  <c r="T42" i="37" s="1"/>
  <c r="G42" i="37" s="1"/>
  <c r="G46" i="37" s="1"/>
  <c r="H46" i="37" s="1"/>
  <c r="D70" i="39"/>
  <c r="D19" i="50"/>
  <c r="B32" i="60" s="1"/>
  <c r="C38" i="11"/>
  <c r="H75" i="43"/>
  <c r="C9" i="59"/>
  <c r="T10" i="59"/>
  <c r="H7" i="35"/>
  <c r="F7" i="35"/>
  <c r="C33" i="59"/>
  <c r="D32" i="59"/>
  <c r="D53" i="59"/>
  <c r="C54" i="59"/>
  <c r="C29" i="59"/>
  <c r="D28" i="59"/>
  <c r="AC36" i="35"/>
  <c r="W36" i="35"/>
  <c r="B9" i="59"/>
  <c r="B8" i="59" s="1"/>
  <c r="B7" i="59" s="1"/>
  <c r="B6" i="59" s="1"/>
  <c r="S10" i="59"/>
  <c r="C18" i="15"/>
  <c r="C16" i="15"/>
  <c r="J7" i="35"/>
  <c r="AC7" i="35" s="1"/>
  <c r="V38" i="35" s="1"/>
  <c r="I38"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E42" i="37" l="1"/>
  <c r="G70" i="39"/>
  <c r="H68" i="39"/>
  <c r="C19" i="15"/>
  <c r="C20" i="15" s="1"/>
  <c r="C26" i="15" s="1"/>
  <c r="D54" i="59"/>
  <c r="T54" i="59"/>
  <c r="J7" i="36"/>
  <c r="AC7" i="36" s="1"/>
  <c r="V36" i="36" s="1"/>
  <c r="I36" i="36" s="1"/>
  <c r="S6" i="59"/>
  <c r="B5" i="59"/>
  <c r="D29" i="59"/>
  <c r="C30" i="59"/>
  <c r="D33" i="59"/>
  <c r="C34" i="59"/>
  <c r="H7" i="36"/>
  <c r="C20" i="43"/>
  <c r="C29" i="43" s="1"/>
  <c r="B5" i="55"/>
  <c r="B55" i="60" s="1"/>
  <c r="B18" i="49"/>
  <c r="B4" i="60" s="1"/>
  <c r="D8" i="59"/>
  <c r="C7" i="59"/>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H70" i="39" l="1"/>
  <c r="I68" i="39"/>
  <c r="D34" i="59"/>
  <c r="T34" i="59"/>
  <c r="D30" i="59"/>
  <c r="T30"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J68" i="39" l="1"/>
  <c r="I70" i="39"/>
  <c r="C5" i="59"/>
  <c r="T6" i="59"/>
  <c r="E33" i="43"/>
  <c r="G36" i="43"/>
  <c r="I36" i="43" s="1"/>
  <c r="E35" i="43"/>
  <c r="E34" i="43"/>
  <c r="G37" i="43"/>
  <c r="I37" i="43" s="1"/>
  <c r="D6" i="59"/>
  <c r="G65" i="40"/>
  <c r="H63" i="40"/>
  <c r="J29" i="15"/>
  <c r="B3" i="35"/>
  <c r="B2" i="35"/>
  <c r="H59" i="34"/>
  <c r="R37" i="36"/>
  <c r="E36" i="36"/>
  <c r="I58" i="21"/>
  <c r="C41" i="11"/>
  <c r="C49" i="11" s="1"/>
  <c r="C51" i="11" s="1"/>
  <c r="C29" i="15"/>
  <c r="J14" i="15" s="1"/>
  <c r="C32" i="12"/>
  <c r="K68" i="39" l="1"/>
  <c r="J70" i="39"/>
  <c r="D5" i="59"/>
  <c r="M20" i="43" s="1"/>
  <c r="C27" i="43"/>
  <c r="C26" i="43"/>
  <c r="B2" i="43" s="1"/>
  <c r="N51"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H7" i="21" l="1"/>
  <c r="B3" i="43"/>
  <c r="C6" i="11"/>
  <c r="K70" i="39"/>
  <c r="L68" i="39"/>
  <c r="F7" i="21"/>
  <c r="S7" i="21" s="1"/>
  <c r="J7" i="21"/>
  <c r="AC7" i="21" s="1"/>
  <c r="V48" i="21" s="1"/>
  <c r="I48" i="21" s="1"/>
  <c r="C65" i="15"/>
  <c r="M70" i="57"/>
  <c r="N70" i="57" s="1"/>
  <c r="M69" i="57"/>
  <c r="N69" i="57" s="1"/>
  <c r="M68" i="57"/>
  <c r="N68" i="57" s="1"/>
  <c r="M67" i="57"/>
  <c r="N67" i="57" s="1"/>
  <c r="M65" i="57"/>
  <c r="N65" i="57" s="1"/>
  <c r="M66" i="57"/>
  <c r="N66" i="57" s="1"/>
  <c r="J63" i="40"/>
  <c r="I65" i="40"/>
  <c r="AB7" i="21"/>
  <c r="T48" i="21" s="1"/>
  <c r="G48" i="21" s="1"/>
  <c r="U7" i="21"/>
  <c r="J59" i="34"/>
  <c r="Q46" i="15"/>
  <c r="C60" i="15"/>
  <c r="C57" i="15"/>
  <c r="C66" i="15" s="1"/>
  <c r="C37" i="15"/>
  <c r="C30" i="15" s="1"/>
  <c r="C39" i="15" s="1"/>
  <c r="Q68" i="15"/>
  <c r="J16" i="15"/>
  <c r="J25" i="15" s="1"/>
  <c r="M68" i="39" l="1"/>
  <c r="L70" i="39"/>
  <c r="C7" i="11"/>
  <c r="C5" i="11" s="1"/>
  <c r="W7" i="21"/>
  <c r="AA7" i="21"/>
  <c r="R48" i="21" s="1"/>
  <c r="E48" i="21" s="1"/>
  <c r="I53" i="21" s="1"/>
  <c r="J53" i="21" s="1"/>
  <c r="N71" i="57"/>
  <c r="O71" i="57" s="1"/>
  <c r="J65" i="40"/>
  <c r="K63" i="40"/>
  <c r="G53" i="21"/>
  <c r="H53" i="21" s="1"/>
  <c r="G52" i="21"/>
  <c r="H52" i="21" s="1"/>
  <c r="K59" i="34"/>
  <c r="I52" i="21"/>
  <c r="J52" i="21" s="1"/>
  <c r="C59" i="15"/>
  <c r="C68" i="15" s="1"/>
  <c r="C69" i="15" s="1"/>
  <c r="C72" i="15" s="1"/>
  <c r="C40" i="15"/>
  <c r="L52" i="15" s="1"/>
  <c r="J38" i="15"/>
  <c r="J39" i="15" s="1"/>
  <c r="Q67" i="15"/>
  <c r="Q66" i="15" s="1"/>
  <c r="C20" i="11" l="1"/>
  <c r="C23" i="11"/>
  <c r="M70" i="39"/>
  <c r="N68" i="39"/>
  <c r="R49" i="21"/>
  <c r="C48" i="21" s="1"/>
  <c r="L63" i="40"/>
  <c r="K65" i="40"/>
  <c r="E52" i="21"/>
  <c r="F52" i="21" s="1"/>
  <c r="E53" i="21"/>
  <c r="F53" i="21" s="1"/>
  <c r="L59" i="34"/>
  <c r="C47" i="15"/>
  <c r="J41" i="15"/>
  <c r="J42" i="15" s="1"/>
  <c r="Q54" i="15"/>
  <c r="C43" i="15"/>
  <c r="Q65" i="15"/>
  <c r="Q45" i="15"/>
  <c r="Q51" i="15" s="1"/>
  <c r="Q63" i="15"/>
  <c r="O68" i="39" l="1"/>
  <c r="O70" i="39" s="1"/>
  <c r="N70" i="39"/>
  <c r="C28" i="11"/>
  <c r="C27" i="11" s="1"/>
  <c r="C25" i="11"/>
  <c r="C22" i="11" s="1"/>
  <c r="C49" i="21"/>
  <c r="B2" i="21" s="1"/>
  <c r="D35" i="9"/>
  <c r="D34" i="9" s="1"/>
  <c r="L65" i="40"/>
  <c r="M63" i="40"/>
  <c r="M59" i="34"/>
  <c r="N59" i="34" s="1"/>
  <c r="O59" i="34" s="1"/>
  <c r="H7" i="34" s="1"/>
  <c r="L58" i="15"/>
  <c r="L61" i="15" s="1"/>
  <c r="C19" i="57"/>
  <c r="C31" i="11" l="1"/>
  <c r="C52" i="11" s="1"/>
  <c r="C56" i="11" s="1"/>
  <c r="C57" i="11" s="1"/>
  <c r="H7" i="39"/>
  <c r="J7" i="39"/>
  <c r="F7" i="39"/>
  <c r="B3" i="21"/>
  <c r="C103" i="57"/>
  <c r="Q64" i="15"/>
  <c r="Q73" i="15" s="1"/>
  <c r="L47" i="15"/>
  <c r="C35" i="9"/>
  <c r="C34" i="9" s="1"/>
  <c r="F7" i="34"/>
  <c r="S7" i="34" s="1"/>
  <c r="J7" i="34"/>
  <c r="W7" i="34" s="1"/>
  <c r="M65" i="40"/>
  <c r="N63" i="40"/>
  <c r="AB7" i="34"/>
  <c r="T49" i="34" s="1"/>
  <c r="G49" i="34" s="1"/>
  <c r="U7" i="34"/>
  <c r="Q55" i="15"/>
  <c r="Q60" i="15" s="1"/>
  <c r="D55" i="9"/>
  <c r="N53" i="9" s="1"/>
  <c r="D56" i="9"/>
  <c r="N54" i="9" s="1"/>
  <c r="D59" i="9"/>
  <c r="N55" i="9" s="1"/>
  <c r="C20" i="57"/>
  <c r="B3" i="11" l="1"/>
  <c r="B2" i="11"/>
  <c r="S7" i="39"/>
  <c r="AA7" i="39"/>
  <c r="R47" i="39" s="1"/>
  <c r="AB7" i="39"/>
  <c r="T47" i="39" s="1"/>
  <c r="G47" i="39" s="1"/>
  <c r="G51" i="39" s="1"/>
  <c r="H51" i="39" s="1"/>
  <c r="U7" i="39"/>
  <c r="AC7" i="39"/>
  <c r="V47" i="39" s="1"/>
  <c r="I47" i="39" s="1"/>
  <c r="I51" i="39" s="1"/>
  <c r="J51" i="39" s="1"/>
  <c r="W7" i="39"/>
  <c r="C104" i="57"/>
  <c r="AA7" i="34"/>
  <c r="R49" i="34" s="1"/>
  <c r="R50" i="34" s="1"/>
  <c r="B2" i="15"/>
  <c r="B3" i="15"/>
  <c r="AC7" i="34"/>
  <c r="V49" i="34" s="1"/>
  <c r="I49" i="34" s="1"/>
  <c r="G54" i="34" s="1"/>
  <c r="H54" i="34" s="1"/>
  <c r="E49" i="34"/>
  <c r="E53" i="34" s="1"/>
  <c r="F53" i="34" s="1"/>
  <c r="O63" i="40"/>
  <c r="O65" i="40" s="1"/>
  <c r="N65" i="40"/>
  <c r="G52" i="39"/>
  <c r="H52" i="39" s="1"/>
  <c r="G53" i="34"/>
  <c r="H53" i="34" s="1"/>
  <c r="E54" i="34"/>
  <c r="F54" i="34" s="1"/>
  <c r="D20" i="57"/>
  <c r="D19" i="57"/>
  <c r="D104" i="57" l="1"/>
  <c r="G20" i="57"/>
  <c r="D103" i="57"/>
  <c r="D22" i="57"/>
  <c r="G19" i="57"/>
  <c r="R48" i="39"/>
  <c r="E47" i="39"/>
  <c r="R27" i="31"/>
  <c r="F6" i="64" s="1"/>
  <c r="I53" i="34"/>
  <c r="J53" i="34" s="1"/>
  <c r="I54" i="34"/>
  <c r="J54" i="34" s="1"/>
  <c r="C50" i="34"/>
  <c r="B2" i="34" s="1"/>
  <c r="B3" i="34" s="1"/>
  <c r="C49" i="34"/>
  <c r="H7" i="40"/>
  <c r="J7" i="40"/>
  <c r="F7" i="40"/>
  <c r="C106" i="57" l="1"/>
  <c r="C105" i="57"/>
  <c r="I52" i="39"/>
  <c r="J52" i="39" s="1"/>
  <c r="E52" i="39"/>
  <c r="F52" i="39" s="1"/>
  <c r="E51" i="39"/>
  <c r="F51" i="39" s="1"/>
  <c r="C48" i="39"/>
  <c r="C47" i="39"/>
  <c r="S27" i="31"/>
  <c r="G6" i="64" s="1"/>
  <c r="C33" i="57"/>
  <c r="T27" i="31"/>
  <c r="R28" i="31"/>
  <c r="F7" i="64" s="1"/>
  <c r="AC7" i="40"/>
  <c r="V42" i="40" s="1"/>
  <c r="I42" i="40" s="1"/>
  <c r="I46" i="40" s="1"/>
  <c r="J46" i="40" s="1"/>
  <c r="W7" i="40"/>
  <c r="S7" i="40"/>
  <c r="AA7" i="40"/>
  <c r="R42" i="40" s="1"/>
  <c r="R43" i="40" s="1"/>
  <c r="AB7" i="40"/>
  <c r="T42" i="40" s="1"/>
  <c r="G42" i="40" s="1"/>
  <c r="G46" i="40" s="1"/>
  <c r="H46" i="40" s="1"/>
  <c r="U7" i="40"/>
  <c r="B57" i="39" l="1"/>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S28" i="31"/>
  <c r="T28" i="31"/>
  <c r="G47" i="40"/>
  <c r="H47" i="40" s="1"/>
  <c r="E42" i="40"/>
  <c r="S25" i="31" l="1"/>
  <c r="G7" i="64"/>
  <c r="T25" i="31"/>
  <c r="R25" i="31" s="1"/>
  <c r="I47" i="40"/>
  <c r="J47" i="40" s="1"/>
  <c r="E47" i="40"/>
  <c r="F47" i="40" s="1"/>
  <c r="E46" i="40"/>
  <c r="F46" i="40" s="1"/>
  <c r="C43" i="40"/>
  <c r="C42" i="40"/>
  <c r="B23" i="31" l="1"/>
  <c r="B24" i="31" s="1"/>
  <c r="B3" i="31" s="1"/>
  <c r="C35" i="57" s="1"/>
  <c r="I125" i="57" s="1"/>
  <c r="I4" i="52"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N49" i="9"/>
  <c r="M65" i="9" s="1"/>
  <c r="N65" i="9" s="1"/>
  <c r="B2" i="31" l="1"/>
  <c r="C34" i="57" s="1"/>
  <c r="H125" i="57" s="1"/>
  <c r="H4" i="52" s="1"/>
  <c r="C108" i="57"/>
  <c r="D111" i="57"/>
  <c r="I105" i="57"/>
  <c r="M63" i="9"/>
  <c r="N63" i="9" s="1"/>
  <c r="N69" i="9" s="1"/>
  <c r="O69" i="9" s="1"/>
  <c r="M64" i="9"/>
  <c r="N64" i="9" s="1"/>
  <c r="M66" i="9"/>
  <c r="N66" i="9" s="1"/>
  <c r="M68" i="9"/>
  <c r="N68" i="9" s="1"/>
  <c r="M67" i="9"/>
  <c r="N67" i="9" s="1"/>
  <c r="I104" i="57" l="1"/>
  <c r="I112" i="57" s="1"/>
  <c r="D14" i="62"/>
  <c r="E14" i="62" s="1"/>
  <c r="H126" i="57"/>
  <c r="H5" i="52" s="1"/>
  <c r="C107" i="57"/>
  <c r="D110" i="57"/>
  <c r="D121" i="57" s="1"/>
  <c r="D9" i="50"/>
  <c r="B21" i="60" s="1"/>
  <c r="D30" i="50"/>
  <c r="F14" i="62"/>
  <c r="D28" i="50" l="1"/>
  <c r="D29" i="50" s="1"/>
  <c r="N50" i="57"/>
  <c r="D116" i="57"/>
  <c r="D117" i="57" s="1"/>
  <c r="I113" i="57" s="1"/>
  <c r="D7" i="50"/>
  <c r="D8" i="50" s="1"/>
  <c r="B22" i="60" s="1"/>
  <c r="D47" i="57"/>
  <c r="C80" i="57" s="1"/>
  <c r="C75" i="57" s="1"/>
  <c r="I117" i="57"/>
  <c r="D23" i="50" s="1"/>
  <c r="B34" i="60" s="1"/>
  <c r="D44" i="50"/>
  <c r="D129" i="57"/>
  <c r="D36" i="50"/>
  <c r="D37" i="50" s="1"/>
  <c r="D15" i="50"/>
  <c r="D61" i="57" l="1"/>
  <c r="N57" i="57" s="1"/>
  <c r="C87" i="57"/>
  <c r="D55" i="57"/>
  <c r="D50" i="57" s="1"/>
  <c r="N54" i="57" s="1"/>
  <c r="C95" i="57"/>
  <c r="C88" i="57" s="1"/>
  <c r="C97" i="57" s="1"/>
  <c r="C98" i="57" s="1"/>
  <c r="E98" i="57" s="1"/>
  <c r="E99" i="57" s="1"/>
  <c r="C66" i="57"/>
  <c r="C65" i="57" s="1"/>
  <c r="C69" i="57" s="1"/>
  <c r="C70" i="57" s="1"/>
  <c r="D56" i="57" s="1"/>
  <c r="D38" i="50"/>
  <c r="B62" i="60" s="1"/>
  <c r="B19" i="60"/>
  <c r="D54" i="57"/>
  <c r="D57" i="57"/>
  <c r="N55" i="57" s="1"/>
  <c r="C74" i="57"/>
  <c r="C81" i="57" s="1"/>
  <c r="C82" i="57" s="1"/>
  <c r="E82" i="57" s="1"/>
  <c r="E83" i="57" s="1"/>
  <c r="B29" i="60"/>
  <c r="D16" i="50"/>
  <c r="B30" i="60" s="1"/>
  <c r="G14" i="62"/>
  <c r="D8" i="52"/>
  <c r="D130" i="57"/>
  <c r="D17" i="50"/>
  <c r="D10" i="52" l="1"/>
  <c r="D9" i="52"/>
  <c r="C99" i="57"/>
  <c r="D60" i="57" s="1"/>
  <c r="D58" i="57" s="1"/>
  <c r="N56" i="57" s="1"/>
  <c r="O59" i="57" s="1"/>
  <c r="C83" i="57"/>
  <c r="O60" i="57" l="1"/>
  <c r="O61" i="57"/>
  <c r="Q59" i="57"/>
  <c r="O62" i="57" l="1"/>
  <c r="O63" i="57"/>
  <c r="I121" i="9" l="1"/>
  <c r="H121" i="9" s="1"/>
  <c r="H122" i="9" s="1"/>
  <c r="G121" i="9"/>
  <c r="F121" i="9" s="1"/>
  <c r="F122" i="9" s="1"/>
  <c r="D106" i="9" l="1"/>
  <c r="D112" i="9" s="1"/>
  <c r="D113" i="9" s="1"/>
  <c r="I111" i="9" s="1"/>
  <c r="D126" i="9" s="1"/>
  <c r="C103" i="9"/>
  <c r="I102" i="9"/>
  <c r="N48" i="9" s="1"/>
  <c r="C104" i="9"/>
  <c r="I103" i="9"/>
  <c r="D107" i="9"/>
  <c r="I110" i="9"/>
  <c r="D125" i="9" s="1"/>
  <c r="D45" i="9" l="1"/>
  <c r="C93" i="9" s="1"/>
  <c r="C86" i="9" s="1"/>
  <c r="D117" i="9"/>
  <c r="I115" i="9" s="1"/>
  <c r="D53" i="9" l="1"/>
  <c r="D48" i="9" s="1"/>
  <c r="N52" i="9" s="1"/>
  <c r="O57" i="9" s="1"/>
  <c r="Q57" i="9" s="1"/>
  <c r="C85" i="9"/>
  <c r="C95" i="9" s="1"/>
  <c r="C97" i="9" s="1"/>
  <c r="D58" i="9" s="1"/>
  <c r="C64" i="9"/>
  <c r="C63" i="9" s="1"/>
  <c r="C67" i="9" s="1"/>
  <c r="C68" i="9" s="1"/>
  <c r="D54" i="9" s="1"/>
  <c r="D52" i="9"/>
  <c r="C72" i="9"/>
  <c r="C78" i="9"/>
  <c r="C73" i="9" s="1"/>
  <c r="O59" i="9" l="1"/>
  <c r="O61" i="9" s="1"/>
  <c r="C79" i="9"/>
  <c r="C80" i="9" s="1"/>
  <c r="E80" i="9" s="1"/>
  <c r="E81" i="9" s="1"/>
  <c r="C81" i="9"/>
  <c r="O58" i="9"/>
  <c r="C96" i="9"/>
  <c r="E96" i="9" s="1"/>
  <c r="E97" i="9" s="1"/>
  <c r="O60" i="9" l="1"/>
  <c r="E121" i="9" l="1"/>
  <c r="D121" i="9" s="1"/>
  <c r="D122" i="9" s="1"/>
  <c r="F10" i="64" l="1"/>
  <c r="G8" i="64"/>
  <c r="F8" i="64"/>
  <c r="G10" i="64"/>
  <c r="G9" i="64"/>
  <c r="F9" i="64" l="1"/>
  <c r="D15" i="62" l="1"/>
  <c r="G15" i="62" l="1"/>
  <c r="B6" i="62" s="1"/>
  <c r="F15" i="62"/>
  <c r="B5" i="62"/>
  <c r="E15" i="62"/>
  <c r="C5" i="62" l="1"/>
  <c r="D5" i="62"/>
  <c r="C6" i="62"/>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<sst xmlns="http://schemas.openxmlformats.org/spreadsheetml/2006/main" count="6849" uniqueCount="2965">
  <si>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</si>
  <si>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</si>
  <si>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</si>
  <si>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</si>
  <si>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</si>
  <si>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</si>
  <si>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</si>
  <si>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</si>
  <si>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</si>
  <si>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</si>
  <si>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</si>
  <si>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</si>
  <si>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</si>
  <si>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</si>
  <si>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</si>
  <si>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</si>
  <si>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</si>
  <si>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</si>
  <si>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</si>
  <si>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</si>
  <si>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</si>
  <si>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</si>
  <si>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</si>
  <si>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</si>
  <si>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</si>
  <si>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</si>
  <si>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</si>
  <si>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</si>
  <si>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</si>
  <si>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</si>
  <si>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</si>
  <si>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</si>
  <si>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</si>
  <si>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</si>
  <si>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</si>
  <si>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</si>
  <si>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</si>
  <si>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</si>
  <si>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</si>
  <si>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</si>
  <si>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</si>
  <si>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</si>
  <si>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</si>
  <si>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</si>
  <si>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</si>
  <si>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</si>
  <si>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</si>
  <si>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</si>
  <si>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</si>
  <si>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</si>
  <si>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</si>
  <si>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</si>
  <si>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</si>
  <si>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</si>
  <si>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</si>
  <si>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</si>
  <si>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</si>
  <si>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</si>
  <si>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</si>
  <si>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</si>
  <si>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</si>
  <si>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</si>
  <si>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</si>
  <si>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</si>
  <si>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</si>
  <si>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</si>
  <si>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</si>
  <si>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</si>
  <si>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</si>
  <si>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</si>
  <si>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</si>
  <si>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</si>
  <si>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</si>
  <si>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</si>
  <si>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</si>
  <si>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</si>
  <si>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</si>
  <si>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</si>
  <si>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</si>
  <si>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</si>
  <si>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</si>
  <si>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</si>
  <si>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</si>
  <si>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</si>
  <si>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</si>
  <si>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</si>
  <si>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</si>
  <si>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</si>
  <si>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</si>
  <si>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</si>
  <si>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</si>
  <si>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</si>
  <si>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</si>
  <si>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</si>
  <si>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</si>
  <si>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</si>
  <si>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</si>
  <si>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</si>
  <si>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</si>
  <si>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</si>
  <si>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</si>
  <si>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</si>
  <si>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</si>
  <si>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</si>
  <si>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</si>
  <si>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</si>
  <si>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</si>
  <si>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</si>
  <si>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</si>
  <si>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</si>
  <si>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</si>
  <si>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</si>
  <si>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</si>
  <si>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</si>
  <si>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</si>
  <si>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</si>
  <si>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</si>
  <si>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</si>
  <si>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</si>
  <si>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</si>
  <si>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</si>
  <si>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</si>
  <si>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</si>
  <si>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</si>
  <si>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</si>
  <si>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</si>
  <si>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</si>
  <si>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</si>
  <si>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</si>
  <si>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</si>
  <si>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</si>
  <si>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</si>
  <si>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</si>
  <si>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</si>
  <si>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</si>
  <si>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</si>
  <si>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</si>
  <si>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</si>
  <si>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</si>
  <si>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</si>
  <si>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</si>
  <si>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</si>
  <si>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</si>
  <si>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</si>
  <si>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</si>
  <si>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</si>
  <si>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</si>
  <si>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</si>
  <si>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</si>
  <si>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</si>
  <si>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</si>
  <si>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</si>
  <si>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</si>
  <si>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</si>
  <si>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</si>
  <si>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</si>
  <si>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</si>
  <si>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</si>
  <si>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</si>
  <si>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</si>
  <si>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</si>
  <si>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</si>
  <si>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</si>
  <si>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</si>
  <si>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</si>
  <si>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</si>
  <si>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</si>
  <si>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</si>
  <si>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</si>
  <si>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</si>
  <si>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</si>
  <si>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</si>
  <si>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</si>
  <si>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</si>
  <si>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</si>
  <si>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</si>
  <si>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</si>
  <si>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</si>
  <si>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</si>
  <si>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</si>
  <si>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</si>
  <si>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</si>
  <si>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</si>
  <si>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</si>
  <si>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</si>
  <si>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</si>
  <si>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</si>
  <si>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</si>
  <si>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</si>
  <si>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</si>
  <si>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</si>
  <si>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</si>
  <si>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</si>
  <si>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</si>
  <si>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</si>
  <si>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</si>
  <si>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</si>
  <si>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</si>
  <si>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</si>
  <si>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</si>
  <si>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</si>
  <si>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</si>
  <si>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</si>
  <si>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</si>
  <si>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</si>
  <si>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</si>
  <si>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</si>
  <si>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</si>
  <si>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</si>
  <si>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</si>
  <si>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</si>
  <si>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</si>
  <si>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</si>
  <si>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</si>
  <si>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</si>
  <si>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</si>
  <si>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</si>
  <si>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</si>
  <si>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</si>
  <si>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</si>
  <si>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</si>
  <si>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</si>
  <si>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</si>
  <si>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</si>
  <si>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</si>
  <si>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</si>
  <si>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</si>
  <si>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</si>
  <si>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</si>
  <si>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</si>
  <si>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</si>
  <si>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</si>
  <si>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</si>
  <si>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</si>
  <si>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</si>
  <si>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</si>
  <si>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</si>
  <si>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</si>
  <si>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</si>
  <si>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</si>
  <si>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</si>
  <si>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</si>
  <si>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</si>
  <si>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</si>
  <si>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</si>
  <si>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</si>
  <si>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</si>
  <si>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</si>
  <si>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</si>
  <si>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</si>
  <si>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</si>
  <si>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</si>
  <si>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</si>
  <si>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</si>
  <si>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</si>
  <si>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</si>
  <si>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</si>
  <si>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</si>
  <si>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</si>
  <si>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</si>
  <si>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</si>
  <si>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</si>
  <si>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</si>
  <si>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</si>
  <si>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</si>
  <si>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</si>
  <si>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</si>
  <si>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</si>
  <si>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</si>
  <si>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</si>
  <si>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</si>
  <si>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</si>
  <si>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</si>
  <si>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</si>
  <si>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</si>
  <si>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</si>
  <si>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</si>
  <si>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</si>
  <si>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</si>
  <si>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</si>
  <si>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</si>
  <si>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</si>
  <si>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</si>
  <si>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</si>
  <si>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</si>
  <si>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</si>
  <si>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</si>
  <si>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</si>
  <si>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</si>
  <si>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</si>
  <si>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</si>
  <si>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</si>
  <si>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</si>
  <si>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</si>
  <si>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</si>
  <si>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</si>
  <si>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</si>
  <si>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</si>
  <si>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</si>
  <si>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</si>
  <si>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</si>
  <si>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</si>
  <si>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</si>
  <si>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</si>
  <si>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</si>
  <si>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</si>
  <si>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</si>
  <si>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</si>
  <si>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</si>
  <si>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</si>
  <si>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</si>
  <si>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</si>
  <si>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</si>
  <si>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</si>
  <si>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</si>
  <si>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</si>
  <si>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</si>
  <si>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</si>
  <si>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</si>
  <si>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</si>
  <si>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</si>
  <si>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</si>
  <si>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</si>
  <si>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</si>
  <si>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</si>
  <si>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</si>
  <si>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</si>
  <si>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</si>
  <si>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</si>
  <si>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</si>
  <si>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</si>
  <si>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</si>
  <si>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</si>
  <si>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</si>
  <si>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</si>
  <si>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</si>
  <si>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</si>
  <si>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</si>
  <si>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</si>
  <si>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</si>
  <si>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</si>
  <si>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</si>
  <si>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</si>
  <si>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</si>
  <si>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</si>
  <si>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</si>
  <si>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</si>
  <si>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</si>
  <si>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</si>
  <si>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</si>
  <si>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</si>
  <si>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</si>
  <si>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</si>
  <si>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</si>
  <si>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</si>
  <si>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</si>
  <si>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</si>
  <si>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</si>
  <si>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</si>
  <si>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</si>
  <si>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</si>
  <si>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</si>
  <si>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</si>
  <si>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</si>
  <si>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</si>
  <si>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</si>
  <si>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</si>
  <si>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</si>
  <si>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</si>
  <si>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</si>
  <si>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</si>
  <si>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</si>
  <si>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</si>
  <si>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</si>
  <si>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</si>
  <si>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</si>
  <si>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</si>
  <si>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</si>
  <si>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</si>
  <si>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</si>
  <si>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</si>
  <si>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</si>
  <si>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</si>
  <si>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</si>
  <si>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</si>
  <si>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</si>
  <si>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</si>
  <si>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</si>
  <si>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</si>
  <si>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</si>
  <si>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</si>
  <si>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</si>
  <si>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</si>
  <si>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</si>
  <si>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</si>
  <si>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</si>
  <si>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</si>
  <si>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</si>
  <si>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</si>
  <si>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</si>
  <si>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</si>
  <si>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</si>
  <si>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</si>
  <si>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</si>
  <si>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</si>
  <si>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</si>
  <si>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</si>
  <si>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</si>
  <si>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</si>
  <si>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</si>
  <si>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</si>
  <si>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</si>
  <si>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</si>
  <si>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</si>
  <si>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</si>
  <si>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</si>
  <si>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</si>
  <si>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</si>
  <si>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</si>
  <si>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</si>
  <si>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</si>
  <si>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</si>
  <si>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</si>
  <si>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</si>
  <si>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</si>
  <si>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</si>
  <si>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</si>
  <si>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</si>
  <si>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</si>
  <si>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</si>
  <si>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</si>
  <si>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</si>
  <si>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</si>
  <si>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</si>
  <si>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</si>
  <si>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</si>
  <si>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</si>
  <si>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</si>
  <si>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</si>
  <si>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</si>
  <si>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</si>
  <si>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</si>
  <si>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</si>
  <si>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</si>
  <si>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</si>
  <si>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</si>
  <si>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</si>
  <si>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</si>
  <si>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</si>
  <si>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</si>
  <si>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</si>
  <si>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</si>
  <si>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</si>
  <si>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</si>
  <si>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</si>
  <si>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</si>
  <si>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</si>
  <si>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</si>
  <si>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</si>
  <si>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</si>
  <si>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</si>
  <si>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</si>
  <si>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</si>
  <si>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</si>
  <si>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</si>
  <si>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</si>
  <si>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</si>
  <si>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</si>
  <si>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</si>
  <si>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</si>
  <si>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</si>
  <si>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</si>
  <si>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</si>
  <si>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</si>
  <si>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</si>
  <si>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</si>
  <si>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</si>
  <si>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</si>
  <si>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</si>
  <si>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</si>
  <si>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</si>
  <si>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</si>
  <si>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</si>
  <si>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</si>
  <si>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</si>
  <si>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</si>
  <si>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</si>
  <si>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</si>
  <si>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</si>
  <si>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</si>
  <si>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</si>
  <si>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</si>
  <si>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</si>
  <si>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</si>
  <si>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</si>
  <si>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</si>
  <si>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</si>
  <si>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</si>
  <si>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</si>
  <si>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</si>
  <si>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</si>
  <si>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</si>
  <si>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</si>
  <si>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</si>
  <si>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</si>
  <si>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</si>
  <si>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</si>
  <si>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</si>
  <si>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</si>
  <si>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</si>
  <si>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</si>
  <si>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</si>
  <si>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</si>
  <si>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</si>
  <si>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</si>
  <si>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</si>
  <si>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</si>
  <si>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</si>
  <si>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</si>
  <si>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</si>
  <si>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</si>
  <si>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</si>
  <si>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</si>
  <si>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</si>
  <si>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</si>
  <si>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</si>
  <si>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</si>
  <si>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</si>
  <si>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</si>
  <si>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</si>
  <si>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</si>
  <si>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</si>
  <si>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</si>
  <si>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</si>
  <si>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</si>
  <si>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</si>
  <si>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</si>
  <si>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</si>
  <si>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</si>
  <si>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</si>
  <si>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</si>
  <si>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</si>
  <si>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</si>
  <si>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</si>
  <si>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</si>
  <si>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</si>
  <si>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</si>
  <si>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</si>
  <si>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</si>
  <si>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</si>
  <si>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</si>
  <si>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</si>
  <si>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</si>
  <si>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</si>
  <si>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</si>
  <si>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</si>
  <si>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</si>
  <si>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</si>
  <si>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</si>
  <si>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</si>
  <si>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</si>
  <si>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</si>
  <si>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</si>
  <si>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</si>
  <si>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</si>
  <si>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</si>
  <si>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</si>
  <si>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</si>
  <si>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</si>
  <si>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</si>
  <si>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</si>
  <si>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</si>
  <si>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</si>
  <si>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</si>
  <si>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</si>
  <si>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</si>
  <si>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</si>
  <si>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</si>
  <si>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</si>
  <si>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</si>
  <si>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</si>
  <si>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</si>
  <si>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</si>
  <si>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</si>
  <si>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</si>
  <si>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</si>
  <si>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</si>
  <si>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</si>
  <si>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</si>
  <si>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</si>
  <si>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</si>
  <si>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</si>
  <si>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</si>
  <si>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</si>
  <si>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</si>
  <si>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</si>
  <si>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</si>
  <si>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</si>
  <si>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</si>
  <si>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</si>
  <si>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</si>
  <si>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</si>
  <si>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</si>
  <si>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</si>
  <si>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</si>
  <si>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</si>
  <si>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</si>
  <si>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</si>
  <si>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</si>
  <si>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</si>
  <si>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</si>
  <si>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</si>
  <si>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</si>
  <si>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</si>
  <si>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</si>
  <si>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</si>
  <si>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</si>
  <si>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</si>
  <si>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</si>
  <si>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</si>
  <si>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</si>
  <si>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</si>
  <si>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</si>
  <si>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</si>
  <si>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</si>
  <si>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</si>
  <si>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</si>
  <si>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</si>
  <si>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</si>
  <si>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</si>
  <si>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</si>
  <si>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</si>
  <si>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</si>
  <si>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</si>
  <si>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</si>
  <si>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</si>
  <si>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</si>
  <si>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</si>
  <si>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</si>
  <si>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</si>
  <si>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</si>
  <si>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</si>
  <si>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</si>
  <si>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</si>
  <si>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</si>
  <si>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</si>
  <si>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</si>
  <si>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</si>
  <si>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</si>
  <si>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</si>
  <si>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</si>
  <si>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</si>
  <si>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</si>
  <si>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</si>
  <si>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</si>
  <si>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</si>
  <si>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</si>
  <si>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</si>
  <si>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</si>
  <si>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</si>
  <si>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</si>
  <si>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</si>
  <si>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</si>
  <si>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</si>
  <si>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</si>
  <si>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</si>
  <si>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</si>
  <si>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</si>
  <si>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</si>
  <si>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</si>
  <si>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</si>
  <si>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</si>
  <si>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</si>
  <si>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</si>
  <si>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</si>
  <si>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</si>
  <si>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</si>
  <si>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</si>
  <si>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</si>
  <si>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</si>
  <si>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</si>
  <si>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</si>
  <si>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</si>
  <si>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</si>
  <si>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</si>
  <si>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</si>
  <si>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</si>
  <si>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</si>
  <si>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</si>
  <si>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</si>
  <si>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</si>
  <si>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</si>
  <si>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</si>
  <si>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</si>
  <si>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</si>
  <si>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</si>
  <si>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</si>
  <si>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</si>
  <si>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</si>
  <si>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</si>
  <si>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</si>
  <si>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</si>
  <si>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</si>
  <si>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</si>
  <si>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</si>
  <si>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</si>
  <si>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</si>
  <si>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</si>
  <si>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</si>
  <si>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</si>
  <si>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</si>
  <si>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</si>
  <si>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</si>
  <si>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</si>
  <si>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</si>
  <si>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</si>
  <si>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</si>
  <si>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</si>
  <si>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</si>
  <si>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</si>
  <si>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</si>
  <si>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</si>
  <si>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</si>
  <si>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</si>
  <si>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</si>
  <si>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</si>
  <si>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</si>
  <si>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</si>
  <si>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</si>
  <si>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</si>
  <si>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</si>
  <si>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</si>
  <si>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</si>
  <si>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</si>
  <si>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</si>
  <si>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</si>
  <si>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</si>
  <si>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</si>
  <si>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</si>
  <si>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</si>
  <si>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</si>
  <si>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</si>
  <si>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</si>
  <si>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</si>
  <si>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</si>
  <si>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</si>
  <si>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</si>
  <si>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</si>
  <si>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</si>
  <si>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</si>
  <si>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</si>
  <si>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</si>
  <si>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</si>
  <si>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</si>
  <si>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</si>
  <si>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</si>
  <si>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</si>
  <si>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</si>
  <si>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</si>
  <si>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</si>
  <si>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</si>
  <si>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</si>
  <si>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</si>
  <si>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</si>
  <si>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</si>
  <si>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</si>
  <si>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</si>
  <si>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</si>
  <si>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</si>
  <si>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</si>
  <si>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</si>
  <si>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</si>
  <si>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</si>
  <si>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</si>
  <si>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</si>
  <si>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</si>
  <si>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</si>
  <si>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</si>
  <si>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</si>
  <si>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</si>
  <si>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</si>
  <si>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</si>
  <si>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</si>
  <si>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</si>
  <si>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</si>
  <si>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</si>
  <si>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</si>
  <si>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</si>
  <si>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</si>
  <si>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</si>
  <si>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</si>
  <si>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</si>
  <si>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</si>
  <si>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</si>
  <si>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</si>
  <si>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</si>
  <si>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</si>
  <si>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</si>
  <si>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</si>
  <si>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</si>
  <si>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</si>
  <si>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</si>
  <si>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</si>
  <si>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</si>
  <si>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</si>
  <si>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</si>
  <si>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</si>
  <si>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</si>
  <si>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</si>
  <si>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</si>
  <si>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</si>
  <si>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</si>
  <si>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</si>
  <si>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</si>
  <si>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</si>
  <si>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</si>
  <si>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</si>
  <si>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</si>
  <si>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</si>
  <si>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</si>
  <si>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</si>
  <si>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</si>
  <si>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</si>
  <si>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</si>
  <si>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</si>
  <si>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</si>
  <si>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</si>
  <si>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</si>
  <si>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</si>
  <si>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</si>
  <si>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</si>
  <si>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</si>
  <si>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</si>
  <si>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</si>
  <si>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</si>
  <si>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</si>
  <si>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</si>
  <si>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</si>
  <si>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</si>
  <si>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</si>
  <si>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</si>
  <si>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</si>
  <si>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</si>
  <si>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</si>
  <si>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</si>
  <si>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</si>
  <si>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</si>
  <si>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</si>
  <si>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</si>
  <si>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</si>
  <si>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</si>
  <si>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</si>
  <si>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</si>
  <si>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</si>
  <si>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</si>
  <si>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</si>
  <si>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</si>
  <si>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</si>
  <si>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</si>
  <si>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</si>
  <si>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</si>
  <si>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</si>
  <si>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</si>
  <si>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</si>
  <si>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</si>
  <si>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</si>
  <si>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</si>
  <si>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</si>
  <si>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</si>
  <si>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</si>
  <si>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</si>
  <si>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</si>
  <si>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</si>
  <si>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</si>
  <si>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</si>
  <si>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</si>
  <si>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</si>
  <si>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</si>
  <si>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</si>
  <si>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</si>
  <si>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</si>
  <si>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</si>
  <si>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</si>
  <si>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</si>
  <si>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</si>
  <si>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</si>
  <si>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</si>
  <si>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</si>
  <si>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</si>
  <si>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</si>
  <si>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</si>
  <si>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</si>
  <si>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</si>
  <si>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</si>
  <si>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</si>
  <si>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</si>
  <si>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</si>
  <si>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</si>
  <si>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</si>
  <si>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</si>
  <si>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</si>
  <si>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</si>
  <si>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</si>
  <si>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</si>
  <si>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</si>
  <si>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</si>
  <si>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</si>
  <si>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</si>
  <si>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</si>
  <si>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</si>
  <si>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</si>
  <si>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</si>
  <si>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</si>
  <si>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</si>
  <si>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</si>
  <si>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</si>
  <si>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</si>
  <si>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</si>
  <si>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</si>
  <si>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</si>
  <si>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</si>
  <si>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</si>
  <si>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</si>
  <si>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</si>
  <si>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</si>
  <si>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</si>
  <si>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</si>
  <si>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</si>
  <si>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</si>
  <si>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</si>
  <si>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</si>
  <si>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</si>
  <si>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</si>
  <si>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</si>
  <si>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</si>
  <si>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</si>
  <si>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</si>
  <si>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</si>
  <si>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</si>
  <si>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</si>
  <si>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</si>
  <si>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</si>
  <si>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</si>
  <si>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</si>
  <si>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</si>
  <si>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</si>
  <si>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</si>
  <si>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</si>
  <si>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</si>
  <si>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</si>
  <si>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</si>
  <si>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</si>
  <si>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</si>
  <si>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</si>
  <si>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</si>
  <si>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</si>
  <si>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</si>
  <si>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</si>
  <si>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</si>
  <si>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</si>
  <si>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</si>
  <si>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</si>
  <si>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</si>
  <si>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</si>
  <si>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</si>
  <si>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</si>
  <si>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</si>
  <si>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</si>
  <si>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</si>
  <si>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</si>
  <si>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</si>
  <si>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</si>
  <si>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</si>
  <si>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</si>
  <si>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</si>
  <si>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</si>
  <si>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</si>
  <si>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</si>
  <si>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</si>
  <si>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</si>
  <si>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</si>
  <si>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</si>
  <si>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</si>
  <si>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</si>
  <si>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</si>
  <si>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</si>
  <si>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</si>
  <si>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</si>
  <si>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</si>
  <si>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</si>
  <si>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</si>
  <si>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</si>
  <si>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</si>
  <si>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</si>
  <si>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</si>
  <si>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</si>
  <si>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</si>
  <si>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</si>
  <si>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</si>
  <si>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</si>
  <si>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</si>
  <si>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</si>
  <si>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</si>
  <si>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</si>
  <si>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</si>
  <si>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</si>
  <si>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</si>
  <si>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</si>
  <si>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</si>
  <si>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</si>
  <si>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</si>
  <si>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</si>
  <si>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</si>
  <si>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</si>
  <si>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</si>
  <si>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</si>
  <si>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</si>
  <si>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</si>
  <si>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</si>
  <si>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</si>
  <si>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</si>
  <si>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</si>
  <si>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</si>
  <si>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</si>
  <si>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</si>
  <si>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</si>
  <si>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</si>
  <si>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</si>
  <si>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</si>
  <si>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</si>
  <si>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</si>
  <si>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</si>
  <si>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</si>
  <si>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</si>
  <si>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</si>
  <si>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</si>
  <si>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</si>
  <si>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</si>
  <si>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</si>
  <si>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</si>
  <si>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</si>
  <si>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</si>
  <si>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</si>
  <si>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</si>
  <si>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</si>
  <si>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</si>
  <si>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</si>
  <si>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</si>
  <si>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</si>
  <si>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</si>
  <si>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</si>
  <si>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</si>
  <si>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</si>
  <si>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</si>
  <si>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</si>
  <si>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</si>
  <si>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</si>
  <si>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</si>
  <si>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</si>
  <si>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</si>
  <si>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</si>
  <si>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</si>
  <si>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</si>
  <si>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</si>
  <si>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</si>
  <si>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</si>
  <si>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</si>
  <si>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</si>
  <si>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</si>
  <si>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</si>
  <si>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</si>
  <si>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</si>
  <si>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</si>
  <si>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</si>
  <si>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</si>
  <si>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</si>
  <si>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</si>
  <si>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</si>
  <si>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</si>
  <si>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</si>
  <si>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</si>
  <si>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</si>
  <si>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</si>
  <si>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</si>
  <si>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</si>
  <si>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</si>
  <si>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</si>
  <si>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</si>
  <si>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</si>
  <si>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</si>
  <si>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</si>
  <si>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</si>
  <si>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</si>
  <si>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</si>
  <si>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</si>
  <si>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</si>
  <si>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</si>
  <si>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</si>
  <si>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</si>
  <si>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</si>
  <si>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</si>
  <si>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</si>
  <si>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</si>
  <si>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</si>
  <si>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</si>
  <si>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</si>
  <si>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</si>
  <si>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</si>
  <si>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</si>
  <si>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</si>
  <si>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</si>
  <si>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</si>
  <si>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</si>
  <si>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</si>
  <si>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</si>
  <si>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</si>
  <si>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</si>
  <si>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</si>
  <si>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</si>
  <si>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</si>
  <si>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</si>
  <si>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</si>
  <si>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</si>
  <si>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</si>
  <si>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</si>
  <si>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</si>
  <si>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</si>
  <si>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</si>
  <si>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</si>
  <si>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</si>
  <si>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</si>
  <si>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</si>
  <si>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</si>
  <si>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</si>
  <si>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</si>
  <si>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</si>
  <si>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</si>
  <si>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</si>
  <si>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</si>
  <si>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</si>
  <si>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</si>
  <si>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</si>
  <si>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</si>
  <si>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</si>
  <si>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</si>
  <si>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</si>
  <si>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</si>
  <si>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</si>
  <si>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</si>
  <si>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</si>
  <si>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</si>
  <si>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</si>
  <si>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</si>
  <si>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</si>
  <si>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</si>
  <si>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</si>
  <si>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</si>
  <si>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</si>
  <si>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</si>
  <si>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</si>
  <si>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</si>
  <si>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</si>
  <si>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</si>
  <si>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</si>
  <si>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</si>
  <si>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</si>
  <si>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</si>
  <si>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</si>
  <si>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</si>
  <si>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</si>
  <si>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</si>
  <si>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</si>
  <si>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</si>
  <si>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</si>
  <si>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</si>
  <si>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</si>
  <si>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</si>
  <si>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</si>
  <si>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</si>
  <si>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</si>
  <si>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</si>
  <si>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</si>
  <si>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</si>
  <si>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</si>
  <si>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</si>
  <si>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</si>
  <si>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</si>
  <si>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</si>
  <si>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</si>
  <si>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</si>
  <si>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</si>
  <si>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</si>
  <si>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</si>
  <si>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</si>
  <si>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</si>
  <si>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</si>
  <si>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</si>
  <si>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</si>
  <si>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</si>
  <si>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</si>
  <si>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</si>
  <si>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</si>
  <si>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</si>
  <si>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</si>
  <si>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</si>
  <si>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</si>
  <si>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</si>
  <si>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</si>
  <si>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</si>
  <si>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</si>
  <si>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</si>
  <si>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</si>
  <si>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</si>
  <si>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</si>
  <si>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</si>
  <si>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</si>
  <si>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</si>
  <si>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</si>
  <si>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</si>
  <si>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</si>
  <si>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</si>
  <si>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</si>
  <si>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</si>
  <si>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</si>
  <si>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</si>
  <si>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</si>
  <si>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</si>
  <si>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</si>
  <si>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</si>
  <si>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</si>
  <si>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</si>
  <si>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</si>
  <si>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</si>
  <si>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</si>
  <si>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</si>
  <si>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</si>
  <si>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</si>
  <si>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</si>
  <si>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</si>
  <si>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</si>
  <si>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</si>
  <si>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</si>
  <si>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</si>
  <si>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</si>
  <si>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</si>
  <si>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</si>
  <si>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</si>
  <si>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</si>
  <si>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</si>
  <si>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</si>
  <si>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</si>
  <si>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</si>
  <si>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</si>
  <si>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</si>
  <si>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</si>
  <si>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</si>
  <si>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</si>
  <si>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</si>
  <si>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</si>
  <si>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</si>
  <si>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</si>
  <si>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</si>
  <si>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</si>
  <si>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</si>
  <si>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</si>
  <si>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</si>
  <si>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</si>
  <si>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</si>
  <si>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</si>
  <si>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</si>
  <si>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</si>
  <si>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</si>
  <si>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</si>
  <si>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</si>
  <si>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</si>
  <si>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</si>
  <si>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</si>
  <si>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</si>
  <si>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</si>
  <si>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</si>
  <si>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</si>
  <si>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</si>
  <si>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</si>
  <si>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</si>
  <si>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</si>
  <si>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</si>
  <si>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</si>
  <si>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</si>
  <si>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</si>
  <si>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</si>
  <si>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</si>
  <si>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</si>
  <si>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</si>
  <si>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</si>
  <si>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</si>
  <si>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</si>
  <si>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</si>
  <si>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</si>
  <si>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</si>
  <si>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</si>
  <si>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</si>
  <si>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</si>
  <si>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</si>
  <si>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</si>
  <si>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</si>
  <si>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</si>
  <si>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</si>
  <si>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</si>
  <si>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</si>
  <si>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</si>
  <si>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</si>
  <si>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</si>
  <si>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</si>
  <si>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</si>
  <si>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</si>
  <si>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</si>
  <si>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</si>
  <si>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</si>
  <si>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</si>
  <si>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</si>
  <si>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</si>
  <si>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</si>
  <si>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</si>
  <si>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</si>
  <si>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</si>
  <si>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</si>
  <si>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</si>
  <si>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</si>
  <si>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</si>
  <si>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</si>
  <si>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</si>
  <si>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</si>
  <si>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</si>
  <si>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</si>
  <si>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</si>
  <si>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</si>
  <si>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</si>
  <si>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</si>
  <si>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</si>
  <si>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</si>
  <si>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</si>
  <si>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</si>
  <si>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</si>
  <si>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</si>
  <si>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</si>
  <si>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</si>
  <si>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</si>
  <si>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</si>
  <si>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</si>
  <si>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</si>
  <si>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</si>
  <si>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</si>
  <si>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</si>
  <si>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</si>
  <si>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</si>
  <si>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</si>
  <si>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</si>
  <si>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</si>
  <si>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</si>
  <si>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</si>
  <si>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</si>
  <si>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</si>
  <si>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</si>
  <si>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</si>
  <si>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</si>
  <si>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</si>
  <si>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</si>
  <si>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</si>
  <si>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</si>
  <si>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</si>
  <si>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</si>
  <si>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</si>
  <si>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</si>
  <si>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</si>
  <si>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</si>
  <si>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</si>
  <si>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</si>
  <si>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</si>
  <si>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</si>
  <si>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</si>
  <si>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</si>
  <si>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</si>
  <si>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</si>
  <si>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</si>
  <si>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</si>
  <si>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</si>
  <si>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</si>
  <si>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</si>
  <si>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</si>
  <si>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</si>
  <si>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</si>
  <si>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</si>
  <si>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</si>
  <si>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</si>
  <si>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</si>
  <si>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</si>
  <si>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</si>
  <si>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</si>
  <si>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</si>
  <si>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</si>
  <si>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</si>
  <si>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</si>
  <si>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</si>
  <si>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</si>
  <si>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</si>
  <si>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</si>
  <si>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</si>
  <si>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</si>
  <si>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</si>
  <si>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</si>
  <si>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</si>
  <si>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</si>
  <si>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</si>
  <si>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</si>
  <si>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</si>
  <si>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</si>
  <si>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</si>
  <si>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</si>
  <si>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</si>
  <si>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</si>
  <si>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</si>
  <si>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</si>
  <si>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</si>
  <si>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</si>
  <si>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</si>
  <si>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</si>
  <si>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</si>
  <si>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</si>
  <si>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</si>
  <si>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</si>
  <si>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</si>
  <si>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</si>
  <si>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</si>
  <si>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</si>
  <si>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</si>
  <si>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</si>
  <si>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</si>
  <si>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</si>
  <si>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</si>
  <si>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</si>
  <si>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</si>
  <si>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</si>
  <si>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</si>
  <si>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</si>
  <si>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</si>
  <si>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</si>
  <si>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</si>
  <si>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</si>
  <si>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</si>
  <si>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</si>
  <si>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</si>
  <si>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</si>
  <si>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</si>
  <si>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</si>
  <si>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</si>
  <si>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</si>
  <si>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</si>
  <si>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</si>
  <si>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</si>
  <si>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</si>
  <si>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</si>
  <si>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</si>
  <si>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</si>
  <si>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</si>
  <si>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</si>
  <si>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</si>
  <si>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</si>
  <si>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</si>
  <si>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</si>
  <si>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</si>
  <si>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</si>
  <si>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</si>
  <si>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</si>
  <si>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</si>
  <si>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</si>
  <si>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</si>
  <si>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</si>
  <si>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</si>
  <si>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</si>
  <si>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</si>
  <si>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</si>
  <si>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</si>
  <si>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</si>
  <si>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</si>
  <si>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</si>
  <si>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</si>
  <si>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</si>
  <si>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</si>
  <si>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</si>
  <si>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</si>
  <si>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</si>
  <si>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</si>
  <si>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</si>
  <si>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</si>
  <si>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</si>
  <si>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</si>
  <si>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</si>
  <si>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</si>
  <si>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</si>
  <si>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</si>
  <si>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</si>
  <si>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</si>
  <si>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</si>
  <si>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</si>
  <si>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</si>
  <si>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</si>
  <si>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</si>
  <si>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</si>
  <si>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</si>
  <si>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</si>
  <si>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</si>
  <si>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</si>
  <si>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</si>
  <si>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</si>
  <si>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</si>
  <si>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</si>
  <si>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</si>
  <si>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</si>
  <si>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</si>
  <si>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</si>
  <si>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</si>
  <si>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</si>
  <si>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</si>
  <si>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</si>
  <si>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</si>
  <si>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</si>
  <si>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</si>
  <si>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</si>
  <si>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</si>
  <si>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</si>
  <si>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</si>
  <si>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</si>
  <si>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</si>
  <si>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</si>
  <si>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</si>
  <si>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</si>
  <si>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</si>
  <si>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</si>
  <si>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</si>
  <si>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</si>
  <si>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</si>
  <si>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</si>
  <si>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</si>
  <si>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</si>
  <si>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</si>
  <si>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</si>
  <si>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</si>
  <si>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</si>
  <si>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</si>
  <si>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</si>
  <si>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</si>
  <si>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</si>
  <si>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</si>
  <si>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</si>
  <si>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</si>
  <si>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</si>
  <si>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</si>
  <si>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</si>
  <si>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</si>
  <si>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</si>
  <si>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</si>
  <si>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</si>
  <si>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</si>
  <si>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</si>
  <si>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</si>
  <si>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</si>
  <si>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</si>
  <si>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</si>
  <si>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</si>
  <si>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</si>
  <si>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</si>
  <si>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</si>
  <si>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</si>
  <si>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</si>
  <si>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</si>
  <si>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</si>
  <si>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</si>
  <si>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</si>
  <si>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</si>
  <si>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</si>
  <si>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</si>
  <si>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</si>
  <si>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</si>
  <si>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</si>
  <si>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</si>
  <si>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</si>
  <si>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</si>
  <si>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</si>
  <si>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</si>
  <si>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</si>
  <si>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</si>
  <si>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</si>
  <si>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</si>
  <si>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</si>
  <si>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</si>
  <si>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</si>
  <si>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</si>
  <si>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</si>
  <si>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</si>
  <si>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</si>
  <si>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</si>
  <si>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</si>
  <si>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</si>
  <si>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</si>
  <si>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</si>
  <si>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</si>
  <si>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</si>
  <si>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</si>
  <si>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</si>
  <si>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</si>
  <si>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</si>
  <si>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</si>
  <si>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</si>
  <si>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</si>
  <si>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</si>
  <si>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</si>
  <si>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</si>
  <si>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</si>
  <si>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</si>
  <si>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</si>
  <si>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</si>
  <si>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</si>
  <si>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</si>
  <si>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</si>
  <si>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</si>
  <si>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</si>
  <si>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</si>
  <si>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</si>
  <si>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</si>
  <si>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</si>
  <si>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</si>
  <si>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</si>
  <si>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</si>
  <si>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</si>
  <si>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</si>
  <si>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</si>
  <si>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</si>
  <si>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</si>
  <si>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</si>
  <si>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</si>
  <si>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</si>
  <si>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</si>
  <si>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</si>
  <si>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</si>
  <si>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</si>
  <si>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</si>
  <si>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</si>
  <si>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</si>
  <si>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</si>
  <si>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</si>
  <si>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</si>
  <si>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</si>
  <si>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</si>
  <si>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</si>
  <si>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</si>
  <si>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</si>
  <si>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</si>
  <si>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</si>
  <si>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</si>
  <si>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</si>
  <si>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</si>
  <si>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</si>
  <si>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</si>
  <si>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</si>
  <si>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</si>
  <si>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</si>
  <si>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</si>
  <si>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</si>
  <si>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</si>
  <si>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</si>
  <si>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</si>
  <si>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</si>
  <si>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</si>
  <si>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</si>
  <si>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</si>
  <si>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</si>
  <si>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</si>
  <si>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</si>
  <si>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</si>
  <si>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</si>
  <si>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</si>
  <si>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</si>
  <si>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</si>
  <si>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</si>
  <si>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</si>
  <si>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</si>
  <si>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</si>
  <si>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</si>
  <si>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</si>
  <si>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</si>
  <si>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</si>
  <si>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</si>
  <si>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</si>
  <si>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</si>
  <si>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</si>
  <si>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</si>
  <si>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</si>
  <si>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</si>
  <si>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</si>
  <si>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</si>
  <si>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</si>
  <si>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</si>
  <si>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</si>
  <si>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</si>
  <si>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</si>
  <si>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</si>
  <si>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</si>
  <si>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</si>
  <si>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</si>
  <si>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</si>
  <si>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</si>
  <si>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</si>
  <si>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</si>
  <si>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</si>
  <si>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</si>
  <si>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</si>
  <si>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</si>
  <si>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</si>
  <si>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</si>
  <si>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</si>
  <si>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</si>
  <si>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</si>
  <si>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</si>
  <si>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</si>
  <si>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</si>
  <si>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</si>
  <si>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</si>
  <si>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</si>
  <si>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</si>
  <si>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</si>
  <si>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</si>
  <si>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</si>
  <si>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</si>
  <si>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</si>
  <si>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</si>
  <si>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</si>
  <si>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</si>
  <si>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</si>
  <si>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</si>
  <si>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</si>
  <si>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</si>
  <si>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</si>
  <si>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</si>
  <si>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</si>
  <si>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</si>
  <si>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</si>
  <si>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</si>
  <si>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</si>
  <si>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</si>
  <si>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</si>
  <si>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</si>
  <si>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</si>
  <si>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</si>
  <si>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</si>
  <si>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</si>
  <si>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</si>
  <si>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</si>
  <si>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</si>
  <si>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</si>
  <si>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</si>
  <si>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</si>
  <si>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</si>
  <si>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</si>
  <si>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</si>
  <si>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</si>
  <si>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</si>
  <si>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</si>
  <si>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</si>
  <si>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</si>
  <si>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</si>
  <si>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</si>
  <si>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</si>
  <si>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</si>
  <si>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</si>
  <si>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</si>
  <si>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</si>
  <si>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</si>
  <si>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</si>
  <si>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</si>
  <si>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</si>
  <si>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</si>
  <si>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</si>
  <si>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</si>
  <si>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</si>
  <si>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</si>
  <si>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</si>
  <si>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</si>
  <si>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</si>
  <si>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</si>
  <si>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</si>
  <si>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</si>
  <si>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</si>
  <si>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</si>
  <si>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</si>
  <si>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</si>
  <si>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</si>
  <si>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</si>
  <si>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</si>
  <si>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</si>
  <si>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</si>
  <si>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</si>
  <si>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</si>
  <si>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</si>
  <si>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</si>
  <si>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</si>
  <si>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</si>
  <si>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</si>
  <si>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</si>
  <si>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</si>
  <si>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</si>
  <si>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</si>
  <si>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</si>
  <si>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</si>
  <si>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</si>
  <si>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</si>
  <si>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</si>
  <si>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</si>
  <si>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</si>
  <si>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</si>
  <si>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</si>
  <si>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</si>
  <si>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</si>
  <si>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</si>
  <si>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</si>
  <si>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</si>
  <si>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</si>
  <si>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</si>
  <si>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</si>
  <si>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</si>
  <si>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</si>
  <si>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</si>
  <si>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</si>
  <si>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</si>
  <si>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</si>
  <si>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</si>
  <si>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</si>
  <si>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</si>
  <si>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</si>
  <si>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</si>
  <si>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</si>
  <si>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</si>
  <si>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</si>
  <si>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</si>
  <si>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</si>
  <si>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</si>
  <si>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</si>
  <si>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</si>
  <si>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</si>
  <si>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</si>
  <si>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</si>
  <si>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</si>
  <si>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</si>
  <si>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</si>
  <si>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</si>
  <si>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</si>
  <si>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</si>
  <si>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</si>
  <si>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</si>
  <si>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</si>
  <si>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</si>
  <si>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</si>
  <si>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</si>
  <si>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</si>
  <si>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</si>
  <si>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</si>
  <si>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</si>
  <si>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</si>
  <si>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</si>
  <si>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</si>
  <si>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</si>
  <si>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</si>
  <si>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</si>
  <si>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</si>
  <si>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</si>
  <si>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</si>
  <si>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</si>
  <si>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</si>
  <si>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</si>
  <si>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</si>
  <si>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</si>
  <si>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</si>
  <si>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</si>
  <si>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</si>
  <si>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</si>
  <si>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</si>
  <si>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</si>
  <si>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</si>
  <si>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</si>
  <si>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</si>
  <si>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</si>
  <si>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</si>
  <si>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</si>
  <si>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</si>
  <si>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</si>
  <si>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</si>
  <si>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</si>
  <si>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</si>
  <si>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</si>
  <si>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</si>
  <si>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</si>
  <si>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</si>
  <si>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</si>
  <si>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</si>
  <si>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</si>
  <si>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</si>
  <si>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</si>
  <si>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</si>
  <si>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</si>
  <si>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</si>
  <si>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</si>
  <si>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</si>
  <si>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</si>
  <si>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</si>
  <si>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</si>
  <si>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</si>
  <si>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</si>
  <si>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</si>
  <si>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</si>
  <si>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</si>
  <si>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</si>
  <si>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</si>
  <si>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</si>
  <si>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</si>
  <si>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</si>
  <si>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</si>
  <si>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</si>
  <si>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</si>
  <si>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</si>
  <si>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</si>
  <si>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</si>
  <si>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</si>
  <si>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</si>
  <si>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</si>
  <si>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</si>
  <si>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</si>
  <si>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</si>
  <si>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</si>
  <si>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</si>
  <si>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</si>
  <si>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</si>
  <si>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</si>
  <si>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</si>
  <si>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</si>
  <si>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</si>
  <si>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</si>
  <si>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</si>
  <si>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</si>
  <si>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</si>
  <si>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</si>
  <si>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</si>
  <si>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</si>
  <si>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</si>
  <si>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</si>
  <si>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</si>
  <si>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</si>
  <si>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</si>
  <si>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</si>
  <si>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</si>
  <si>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</si>
  <si>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</si>
  <si>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</si>
  <si>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</si>
  <si>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</si>
  <si>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</si>
  <si>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</si>
  <si>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</si>
  <si>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</si>
  <si>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</si>
  <si>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</si>
  <si>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</si>
  <si>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</si>
  <si>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</si>
  <si>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</si>
  <si>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</si>
  <si>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</si>
  <si>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</si>
  <si>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</si>
  <si>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</si>
  <si>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</si>
  <si>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</si>
  <si>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</si>
  <si>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</si>
  <si>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</si>
  <si>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</si>
  <si>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</si>
  <si>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</si>
  <si>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</si>
  <si>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</si>
  <si>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</si>
  <si>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</si>
  <si>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</si>
  <si>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</si>
  <si>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</si>
  <si>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</si>
  <si>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</si>
  <si>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</si>
  <si>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</si>
  <si>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</si>
  <si>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</si>
  <si>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</si>
  <si>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</si>
  <si>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</si>
  <si>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</si>
  <si>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</si>
  <si>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</si>
  <si>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</si>
  <si>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</si>
  <si>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</si>
  <si>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</si>
  <si>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</si>
  <si>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</si>
  <si>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</si>
  <si>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</si>
  <si>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</si>
  <si>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</si>
  <si>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</si>
  <si>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</si>
  <si>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</si>
  <si>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</si>
  <si>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</si>
  <si>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</si>
  <si>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</si>
  <si>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</si>
  <si>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</si>
  <si>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</si>
  <si>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</si>
  <si>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</si>
  <si>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</si>
  <si>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</si>
  <si>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</si>
  <si>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</si>
  <si>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</si>
  <si>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</si>
  <si>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</si>
  <si>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</si>
  <si>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</si>
  <si>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</si>
  <si>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</si>
  <si>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</si>
  <si>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</si>
  <si>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</si>
  <si>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</si>
  <si>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</si>
  <si>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</si>
  <si>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</si>
  <si>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</si>
  <si>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</si>
  <si>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</si>
  <si>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</si>
  <si>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</si>
  <si>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</si>
  <si>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</si>
  <si>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</si>
  <si>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</si>
  <si>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</si>
  <si>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</si>
  <si>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</si>
  <si>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</si>
  <si>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</si>
  <si>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</si>
  <si>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</si>
  <si>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</si>
  <si>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</si>
  <si>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</si>
  <si>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</si>
  <si>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</si>
  <si>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</si>
  <si>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</si>
  <si>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</si>
  <si>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</si>
  <si>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</si>
  <si>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</si>
  <si>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</si>
  <si>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</si>
  <si>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</si>
  <si>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</si>
  <si>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</si>
  <si>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</si>
  <si>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</si>
  <si>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</si>
  <si>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</si>
  <si>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</si>
  <si>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</si>
  <si>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</si>
  <si>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</si>
  <si>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</si>
  <si>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</si>
  <si>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</si>
  <si>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</si>
  <si>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</si>
  <si>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</si>
  <si>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</si>
  <si>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</si>
  <si>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</si>
  <si>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</si>
  <si>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</si>
  <si>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</si>
  <si>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</si>
  <si>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</si>
  <si>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</si>
  <si>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</si>
  <si>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</si>
  <si>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</si>
  <si>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</si>
  <si>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</si>
  <si>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</si>
  <si>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</si>
  <si>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</si>
  <si>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</si>
  <si>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</si>
  <si>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</si>
  <si>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</si>
  <si>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</si>
  <si>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</si>
  <si>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</si>
  <si>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</si>
  <si>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</si>
  <si>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</si>
  <si>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</si>
  <si>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</si>
  <si>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</si>
  <si>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</si>
  <si>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</si>
  <si>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</si>
  <si>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</si>
  <si>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</si>
  <si>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</si>
  <si>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</si>
  <si>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</si>
  <si>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</si>
  <si>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</si>
  <si>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</si>
  <si>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</si>
  <si>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</si>
  <si>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</si>
  <si>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</si>
  <si>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</si>
  <si>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</si>
  <si>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</si>
  <si>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</si>
  <si>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</si>
  <si>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</si>
  <si>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</si>
  <si>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</si>
  <si>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</si>
  <si>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</si>
  <si>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</si>
  <si>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</si>
  <si>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</si>
  <si>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</si>
  <si>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</si>
  <si>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</si>
  <si>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</si>
  <si>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</si>
  <si>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</si>
  <si>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</si>
  <si>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</si>
  <si>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</si>
  <si>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</si>
  <si>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</si>
  <si>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</si>
  <si>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</si>
  <si>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</si>
  <si>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</si>
  <si>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</si>
  <si>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</si>
  <si>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</si>
  <si>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</si>
  <si>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</si>
  <si>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</si>
  <si>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</si>
  <si>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</si>
  <si>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</si>
  <si>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</si>
  <si>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</si>
  <si>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</si>
  <si>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</si>
  <si>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</si>
  <si>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</si>
  <si>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</si>
  <si>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</si>
  <si>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</si>
  <si>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</si>
  <si>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</si>
  <si>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</si>
  <si>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</si>
  <si>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</si>
  <si>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</si>
  <si>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</si>
  <si>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</si>
  <si>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</si>
  <si>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</si>
  <si>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</si>
  <si>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</si>
  <si>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</si>
  <si>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</si>
  <si>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</si>
  <si>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</si>
  <si>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</si>
  <si>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</si>
  <si>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</si>
  <si>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</si>
  <si>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</si>
  <si>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</si>
  <si>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</si>
  <si>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</si>
  <si>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</si>
  <si>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</si>
  <si>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</si>
  <si>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</si>
  <si>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</si>
  <si>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</si>
  <si>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</si>
  <si>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</si>
  <si>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</si>
  <si>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</si>
  <si>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</si>
  <si>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</si>
  <si>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</si>
  <si>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</si>
  <si>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</si>
  <si>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</si>
  <si>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</si>
  <si>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</si>
  <si>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</si>
  <si>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</si>
  <si>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</si>
  <si>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</si>
  <si>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</si>
  <si>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</si>
  <si>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</si>
  <si>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</si>
  <si>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</si>
  <si>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</si>
  <si>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</si>
  <si>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</si>
  <si>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</si>
  <si>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</si>
  <si>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</si>
  <si>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</si>
  <si>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</si>
  <si>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</si>
  <si>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</si>
  <si>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</si>
  <si>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</si>
  <si>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</si>
  <si>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</si>
  <si>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</si>
  <si>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</si>
  <si>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</si>
  <si>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</si>
  <si>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</si>
  <si>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</si>
  <si>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</si>
  <si>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</si>
  <si>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</si>
  <si>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</si>
  <si>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</si>
  <si>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</si>
  <si>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</si>
  <si>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</si>
  <si>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</si>
  <si>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</si>
  <si>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</si>
  <si>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</si>
  <si>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</si>
  <si>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</si>
  <si>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</si>
  <si>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</si>
  <si>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</si>
  <si>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</si>
  <si>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</si>
  <si>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</si>
  <si>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</si>
  <si>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</si>
  <si>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</si>
  <si>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</si>
  <si>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</si>
  <si>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</si>
  <si>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</si>
  <si>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</si>
  <si>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</si>
  <si>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</si>
  <si>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</si>
  <si>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</si>
  <si>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</si>
  <si>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</si>
  <si>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</si>
  <si>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</si>
  <si>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</si>
  <si>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</si>
  <si>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</si>
  <si>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</si>
  <si>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</si>
  <si>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</si>
  <si>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</si>
  <si>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</si>
  <si>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</si>
  <si>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</si>
  <si>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</si>
  <si>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</si>
  <si>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</si>
  <si>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</si>
  <si>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</si>
  <si>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</si>
  <si>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</si>
  <si>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</si>
  <si>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</si>
  <si>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</si>
  <si>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</si>
  <si>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</si>
  <si>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</si>
  <si>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</si>
  <si>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</si>
  <si>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</si>
  <si>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</si>
  <si>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</si>
  <si>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</si>
  <si>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</si>
  <si>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</si>
  <si>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</si>
  <si>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</si>
  <si>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</si>
  <si>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</si>
  <si>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</si>
  <si>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</si>
  <si>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</si>
  <si>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</si>
  <si>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</si>
  <si>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</si>
  <si>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</si>
  <si>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</si>
  <si>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</si>
  <si>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</si>
  <si>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</si>
  <si>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</si>
  <si>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</si>
  <si>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</si>
  <si>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</si>
  <si>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</si>
  <si>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</si>
  <si>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</si>
  <si>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</si>
  <si>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</si>
  <si>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</si>
  <si>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</si>
  <si>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</si>
  <si>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</si>
  <si>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</si>
  <si>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</si>
  <si>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</si>
  <si>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</si>
  <si>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</si>
  <si>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</si>
  <si>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</si>
  <si>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</si>
  <si>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</si>
  <si>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</si>
  <si>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</si>
  <si>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</si>
  <si>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</si>
  <si>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</si>
  <si>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</si>
  <si>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</si>
  <si>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</si>
  <si>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</si>
  <si>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</si>
  <si>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</si>
  <si>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</si>
  <si>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</si>
  <si>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</si>
  <si>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</si>
  <si>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</si>
  <si>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</si>
  <si>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</si>
  <si>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</si>
  <si>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</si>
  <si>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</si>
  <si>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</si>
  <si>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</si>
  <si>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</si>
  <si>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</si>
  <si>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</si>
  <si>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</si>
  <si>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</si>
  <si>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</si>
  <si>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</si>
  <si>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</si>
  <si>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</si>
  <si>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</si>
  <si>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</si>
  <si>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</si>
  <si>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</si>
  <si>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</si>
  <si>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</si>
  <si>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</si>
  <si>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</si>
  <si>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</si>
  <si>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</si>
  <si>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</si>
  <si>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</si>
  <si>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</si>
  <si>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</si>
  <si>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</si>
  <si>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</si>
  <si>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</si>
  <si>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</si>
  <si>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</si>
  <si>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</si>
  <si>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</si>
  <si>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</si>
  <si>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</si>
  <si>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</si>
  <si>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</si>
  <si>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</si>
  <si>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</si>
  <si>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</si>
  <si>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</si>
  <si>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</si>
  <si>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</si>
  <si>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</si>
  <si>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</si>
  <si>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</si>
  <si>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</si>
  <si>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</si>
  <si>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</si>
  <si>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</si>
  <si>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</si>
  <si>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</si>
  <si>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</si>
  <si>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</si>
  <si>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</si>
  <si>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</si>
  <si>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</si>
  <si>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</si>
  <si>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</si>
  <si>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</si>
  <si>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</si>
  <si>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</si>
  <si>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</si>
  <si>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</si>
  <si>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</si>
  <si>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</si>
  <si>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</si>
  <si>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</si>
  <si>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</si>
  <si>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</si>
  <si>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</si>
  <si>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</si>
  <si>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</si>
  <si>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</si>
  <si>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</si>
  <si>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</si>
  <si>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</si>
  <si>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</si>
  <si>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</si>
  <si>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</si>
  <si>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</si>
  <si>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</si>
  <si>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</si>
  <si>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</si>
  <si>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</si>
  <si>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</si>
  <si>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</si>
  <si>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</si>
  <si>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</si>
  <si>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</si>
  <si>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</si>
  <si>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</si>
  <si>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</si>
  <si>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</si>
  <si>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</si>
  <si>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</si>
  <si>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</si>
  <si>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</si>
  <si>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</si>
  <si>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</si>
  <si>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</si>
  <si>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</si>
  <si>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</si>
  <si>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</si>
  <si>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</si>
  <si>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</si>
  <si>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</si>
  <si>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</si>
  <si>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</si>
  <si>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</si>
  <si>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</si>
  <si>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</si>
  <si>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</si>
  <si>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</si>
  <si>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</si>
  <si>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</si>
  <si>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</si>
  <si>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</si>
  <si>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</si>
  <si>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</si>
  <si>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</si>
  <si>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</si>
  <si>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</si>
  <si>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</si>
  <si>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</si>
  <si>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</si>
  <si>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</si>
  <si>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</si>
  <si>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</si>
  <si>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</si>
  <si>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</si>
  <si>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</si>
  <si>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</si>
  <si>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</si>
  <si>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</si>
  <si>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</si>
  <si>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</si>
  <si>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</si>
  <si>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</si>
  <si>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</si>
  <si>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</si>
  <si>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</si>
  <si>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</si>
  <si>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</si>
  <si>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</si>
  <si>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</si>
  <si>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</si>
  <si>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</si>
  <si>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</si>
  <si>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</si>
  <si>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</si>
  <si>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</si>
  <si>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</si>
  <si>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</si>
  <si>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</si>
  <si>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</si>
  <si>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</si>
  <si>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</si>
  <si>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</si>
  <si>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</si>
  <si>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</si>
  <si>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</si>
  <si>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</si>
  <si>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</si>
  <si>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</si>
  <si>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</si>
  <si>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</si>
  <si>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</si>
  <si>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</si>
  <si>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</si>
  <si>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</si>
  <si>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</si>
  <si>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</si>
  <si>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</si>
  <si>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</si>
  <si>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</si>
  <si>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</si>
  <si>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</si>
  <si>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</si>
  <si>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</si>
  <si>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</si>
  <si>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</si>
  <si>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</si>
  <si>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</si>
  <si>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</si>
  <si>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</si>
  <si>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</si>
  <si>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</si>
  <si>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</si>
  <si>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</si>
  <si>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</si>
  <si>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</si>
  <si>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</si>
  <si>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</si>
  <si>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</si>
  <si>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</si>
  <si>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</si>
  <si>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</si>
  <si>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</si>
  <si>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</si>
  <si>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</si>
  <si>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</si>
  <si>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</si>
  <si>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</si>
  <si>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</si>
  <si>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</si>
  <si>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</si>
  <si>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</si>
  <si>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</si>
  <si>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</si>
  <si>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</si>
  <si>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</si>
  <si>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</si>
  <si>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</si>
  <si>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</si>
  <si>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</si>
  <si>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</si>
  <si>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</si>
  <si>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</si>
  <si>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</si>
  <si>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</si>
  <si>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</si>
  <si>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</si>
  <si>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</si>
  <si>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</si>
  <si>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</si>
  <si>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</si>
  <si>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</si>
  <si>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</si>
  <si>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</si>
  <si>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</si>
  <si>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</si>
  <si>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</si>
  <si>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</si>
  <si>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</si>
  <si>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</si>
  <si>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</si>
  <si>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</si>
  <si>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</si>
  <si>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</si>
  <si>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</si>
  <si>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</si>
  <si>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</si>
  <si>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</si>
  <si>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</si>
  <si>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</si>
  <si>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</si>
  <si>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</si>
  <si>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</si>
  <si>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</si>
  <si>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</si>
  <si>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</si>
  <si>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</si>
  <si>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</si>
  <si>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</si>
  <si>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</si>
  <si>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</si>
  <si>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</si>
  <si>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</si>
  <si>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</si>
  <si>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</si>
  <si>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</si>
  <si>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</si>
  <si>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</si>
  <si>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</si>
  <si>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</si>
  <si>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</si>
  <si>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</si>
  <si>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</si>
  <si>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</si>
  <si>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</si>
  <si>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</si>
  <si>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</si>
  <si>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</si>
  <si>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</si>
  <si>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</si>
  <si>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</si>
  <si>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</si>
  <si>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</si>
  <si>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</si>
  <si>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</si>
  <si>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</si>
  <si>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</si>
  <si>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</si>
  <si>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</si>
  <si>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</si>
  <si>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</si>
  <si>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</si>
  <si>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</si>
  <si>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</si>
  <si>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</si>
  <si>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</si>
  <si>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</si>
  <si>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</si>
  <si>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</si>
  <si>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</si>
  <si>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</si>
  <si>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</si>
  <si>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</si>
  <si>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</si>
  <si>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</si>
  <si>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</si>
  <si>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</si>
  <si>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</si>
  <si>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</si>
  <si>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</si>
  <si>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</si>
  <si>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</si>
  <si>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</si>
  <si>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</si>
  <si>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</si>
  <si>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</si>
  <si>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</si>
  <si>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</si>
  <si>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</si>
  <si>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</si>
  <si>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</si>
  <si>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</si>
  <si>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</si>
  <si>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</si>
  <si>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</si>
  <si>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</si>
  <si>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</si>
  <si>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</si>
  <si>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</si>
  <si>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</si>
  <si>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</si>
  <si>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</si>
  <si>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</si>
  <si>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</si>
  <si>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</si>
  <si>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</si>
  <si>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</si>
  <si>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</si>
  <si>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</si>
  <si>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</si>
  <si>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</si>
  <si>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</si>
  <si>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</si>
  <si>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</si>
  <si>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</si>
  <si>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</si>
  <si>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</si>
  <si>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</si>
  <si>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</si>
  <si>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</si>
  <si>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</si>
  <si>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</si>
  <si>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</si>
  <si>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</si>
  <si>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</si>
  <si>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</si>
  <si>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</si>
  <si>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</si>
  <si>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</si>
  <si>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</si>
  <si>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</si>
  <si>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</si>
  <si>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</si>
  <si>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</si>
  <si>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</si>
  <si>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</si>
  <si>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</si>
  <si>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</si>
  <si>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</si>
  <si>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</si>
  <si>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</si>
  <si>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</si>
  <si>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</si>
  <si>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</si>
  <si>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</si>
  <si>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</si>
  <si>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</si>
  <si>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</si>
  <si>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</si>
  <si>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</si>
  <si>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</si>
  <si>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</si>
  <si>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</si>
  <si>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</si>
  <si>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</si>
  <si>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</si>
  <si>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</si>
  <si>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</si>
  <si>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</si>
  <si>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</si>
  <si>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</si>
  <si>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</si>
  <si>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</si>
  <si>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</si>
  <si>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</si>
  <si>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</si>
  <si>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</si>
  <si>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</si>
  <si>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</si>
  <si>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</si>
  <si>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</si>
  <si>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</si>
  <si>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</si>
  <si>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</si>
  <si>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</si>
  <si>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</si>
  <si>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</si>
  <si>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</si>
  <si>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</si>
  <si>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</si>
  <si>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</si>
  <si>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</si>
  <si>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</si>
  <si>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</si>
  <si>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</si>
  <si>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</si>
  <si>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</si>
  <si>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</si>
  <si>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</si>
  <si>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</si>
  <si>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</si>
  <si>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</si>
  <si>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</si>
  <si>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</si>
  <si>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</si>
  <si>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</si>
  <si>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</si>
  <si>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</si>
  <si>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</si>
  <si>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</si>
  <si>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</si>
  <si>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</si>
  <si>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</si>
  <si>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</si>
  <si>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</si>
  <si>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</si>
  <si>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</si>
  <si>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</si>
  <si>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</si>
  <si>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</si>
  <si>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</si>
  <si>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</si>
  <si>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</si>
  <si>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</si>
  <si>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</si>
  <si>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</si>
  <si>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</si>
  <si>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</si>
  <si>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</si>
  <si>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</si>
  <si>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</si>
  <si>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</si>
  <si>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</si>
  <si>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</si>
  <si>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</si>
  <si>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</si>
  <si>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</si>
  <si>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</si>
  <si>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</si>
  <si>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</si>
  <si>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</si>
  <si>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</si>
  <si>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</si>
  <si>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</si>
  <si>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</si>
  <si>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</si>
  <si>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</si>
  <si>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</si>
  <si>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</si>
  <si>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</si>
  <si>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</si>
  <si>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</si>
  <si>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</si>
  <si>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</si>
  <si>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</si>
  <si>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</si>
  <si>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</si>
  <si>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</si>
  <si>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</si>
  <si>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</si>
  <si>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</si>
  <si>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</si>
  <si>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</si>
  <si>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</si>
  <si>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</si>
  <si>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</si>
  <si>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</si>
  <si>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</si>
  <si>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</si>
  <si>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</si>
  <si>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</si>
  <si>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</si>
  <si>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</si>
  <si>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</si>
  <si>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</si>
  <si>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</si>
  <si>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</si>
  <si>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</si>
  <si>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</si>
  <si>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</si>
  <si>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</si>
  <si>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</si>
  <si>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</si>
  <si>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</si>
  <si>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</si>
  <si>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</si>
  <si>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</si>
  <si>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</si>
  <si>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</si>
  <si>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</si>
  <si>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</si>
  <si>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</si>
  <si>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</si>
  <si>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</si>
  <si>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</si>
  <si>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</si>
  <si>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</si>
  <si>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</si>
  <si>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核定资产</t>
  </si>
  <si>
    <t>房地产市场价值</t>
  </si>
  <si>
    <t>北京市</t>
  </si>
  <si>
    <t>企业</t>
  </si>
  <si>
    <t>与房产证证载一致</t>
  </si>
  <si>
    <t>韩亚银行（中国）有限公司北京分行</t>
    <phoneticPr fontId="7" type="noConversion"/>
  </si>
  <si>
    <t>韩亚银行（中国）有限公司北京分行</t>
    <phoneticPr fontId="7" type="noConversion"/>
  </si>
  <si>
    <t>住宅</t>
    <phoneticPr fontId="7" type="noConversion"/>
  </si>
  <si>
    <t>无租约</t>
  </si>
  <si>
    <t>是</t>
  </si>
  <si>
    <t>不临58条商业街</t>
  </si>
  <si>
    <t>通路</t>
  </si>
  <si>
    <t>通电</t>
  </si>
  <si>
    <t>通讯</t>
  </si>
  <si>
    <t>通上水</t>
  </si>
  <si>
    <t>通下水</t>
  </si>
  <si>
    <t>通热</t>
  </si>
  <si>
    <t>燃气</t>
  </si>
  <si>
    <t>平整</t>
  </si>
  <si>
    <t>较好</t>
    <phoneticPr fontId="4" type="noConversion"/>
  </si>
  <si>
    <t>好</t>
    <phoneticPr fontId="4" type="noConversion"/>
  </si>
  <si>
    <t>好</t>
    <phoneticPr fontId="4" type="noConversion"/>
  </si>
  <si>
    <t>仅计算典型户型</t>
  </si>
  <si>
    <t>未包含在土地购买价格中</t>
  </si>
  <si>
    <t>已包含在土地取得成本中</t>
  </si>
  <si>
    <t>比较法-住宅</t>
  </si>
  <si>
    <t>成本法</t>
  </si>
  <si>
    <t>正常</t>
    <phoneticPr fontId="20" type="noConversion"/>
  </si>
  <si>
    <t>正常</t>
    <phoneticPr fontId="20" type="noConversion"/>
  </si>
  <si>
    <t>利息：取LPR加浮动点数</t>
  </si>
  <si>
    <t>裘马都</t>
    <phoneticPr fontId="4" type="noConversion"/>
  </si>
  <si>
    <t>裘马都</t>
    <phoneticPr fontId="4" type="noConversion"/>
  </si>
  <si>
    <t>低区</t>
    <phoneticPr fontId="20" type="noConversion"/>
  </si>
  <si>
    <t>中区</t>
    <phoneticPr fontId="20" type="noConversion"/>
  </si>
  <si>
    <t>高区</t>
    <phoneticPr fontId="20" type="noConversion"/>
  </si>
  <si>
    <t>楼层</t>
    <phoneticPr fontId="20" type="noConversion"/>
  </si>
  <si>
    <t>南北西</t>
  </si>
  <si>
    <t>南北西</t>
    <phoneticPr fontId="20" type="noConversion"/>
  </si>
  <si>
    <t>南北</t>
    <phoneticPr fontId="20" type="noConversion"/>
  </si>
  <si>
    <t>南北</t>
    <phoneticPr fontId="20" type="noConversion"/>
  </si>
  <si>
    <t>南北东</t>
  </si>
  <si>
    <t>南北东</t>
    <phoneticPr fontId="20" type="noConversion"/>
  </si>
  <si>
    <t>普装</t>
  </si>
  <si>
    <t>普装</t>
    <phoneticPr fontId="20" type="noConversion"/>
  </si>
  <si>
    <t>精装</t>
    <phoneticPr fontId="20" type="noConversion"/>
  </si>
  <si>
    <t>精装</t>
    <phoneticPr fontId="20" type="noConversion"/>
  </si>
  <si>
    <t>简装</t>
    <phoneticPr fontId="20" type="noConversion"/>
  </si>
  <si>
    <t>毛坯</t>
  </si>
  <si>
    <t>毛坯</t>
    <phoneticPr fontId="20" type="noConversion"/>
  </si>
  <si>
    <t>朝向</t>
    <phoneticPr fontId="20" type="noConversion"/>
  </si>
  <si>
    <t>装修</t>
    <phoneticPr fontId="20" type="noConversion"/>
  </si>
  <si>
    <t>裘马都项目</t>
    <phoneticPr fontId="146" type="noConversion"/>
  </si>
  <si>
    <t>住宅901</t>
    <phoneticPr fontId="146" type="noConversion"/>
  </si>
  <si>
    <r>
      <t>住宅9</t>
    </r>
    <r>
      <rPr>
        <sz val="11"/>
        <color theme="1"/>
        <rFont val="宋体"/>
        <family val="3"/>
        <charset val="134"/>
        <scheme val="minor"/>
      </rPr>
      <t>02</t>
    </r>
    <phoneticPr fontId="146" type="noConversion"/>
  </si>
  <si>
    <t>车位206</t>
    <phoneticPr fontId="146" type="noConversion"/>
  </si>
  <si>
    <t>车位207</t>
    <phoneticPr fontId="146" type="noConversion"/>
  </si>
  <si>
    <t>车位208</t>
    <phoneticPr fontId="146" type="noConversion"/>
  </si>
  <si>
    <t>建筑面积（㎡）</t>
    <phoneticPr fontId="146" type="noConversion"/>
  </si>
  <si>
    <t>楼面单价（元/㎡）</t>
    <phoneticPr fontId="146" type="noConversion"/>
  </si>
  <si>
    <t>上次评估</t>
    <phoneticPr fontId="146" type="noConversion"/>
  </si>
  <si>
    <t>本次评估</t>
    <phoneticPr fontId="146" type="noConversion"/>
  </si>
  <si>
    <t>住宅</t>
    <phoneticPr fontId="146" type="noConversion"/>
  </si>
  <si>
    <t>车位</t>
    <phoneticPr fontId="146" type="noConversion"/>
  </si>
  <si>
    <t>楼层</t>
    <phoneticPr fontId="20" type="noConversion"/>
  </si>
  <si>
    <t>低区</t>
    <phoneticPr fontId="20" type="noConversion"/>
  </si>
  <si>
    <t>中区</t>
    <phoneticPr fontId="20" type="noConversion"/>
  </si>
  <si>
    <t>高区</t>
    <phoneticPr fontId="20" type="noConversion"/>
  </si>
  <si>
    <t>高区</t>
    <phoneticPr fontId="20" type="noConversion"/>
  </si>
  <si>
    <t>中区</t>
    <phoneticPr fontId="20" type="noConversion"/>
  </si>
  <si>
    <t>低区</t>
    <phoneticPr fontId="20" type="noConversion"/>
  </si>
  <si>
    <t>元</t>
  </si>
  <si>
    <t>楼面单价</t>
  </si>
  <si>
    <t>总价（元）</t>
    <phoneticPr fontId="146" type="noConversion"/>
  </si>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</sst>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138" fillId="6" borderId="1" xfId="0" applyFont="1" applyFill="1" applyBorder="1" applyAlignment="1" applyProtection="1">
      <alignment horizontal="left" vertical="center" wrapText="1"/>
      <protection locked="0"/>
    </xf>
    <xf numFmtId="49" fontId="135" fillId="2" borderId="67" xfId="0" applyNumberFormat="1" applyFont="1" applyFill="1" applyBorder="1" applyAlignment="1" applyProtection="1">
      <alignment horizontal="left" vertical="center" wrapText="1"/>
      <protection locked="0"/>
    </xf>
    <xf numFmtId="49" fontId="135" fillId="2" borderId="9" xfId="0" applyNumberFormat="1" applyFont="1" applyFill="1" applyBorder="1" applyAlignment="1" applyProtection="1">
      <alignment horizontal="left" vertical="center" wrapText="1"/>
      <protection locked="0"/>
    </xf>
    <xf numFmtId="49" fontId="92" fillId="2" borderId="3"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75" fillId="10" borderId="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0" fillId="0" borderId="1" xfId="0" applyBorder="1">
      <alignment vertical="center"/>
    </xf>
    <xf numFmtId="0" fontId="92" fillId="0" borderId="19"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236982</xdr:colOff>
      <xdr:row>40</xdr:row>
      <xdr:rowOff>122953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52382" cy="6980953"/>
        </a:xfrm>
        <a:prstGeom prst="rect">
          <a:avLst/>
        </a:prstGeom>
      </xdr:spPr>
    </xdr:pic>
    <xdr:clientData/>
  </xdr:twoCellAnchor>
  <xdr:twoCellAnchor editAs="oneCell">
    <xdr:from>
      <xdr:col>0</xdr:col>
      <xdr:colOff>0</xdr:colOff>
      <xdr:row>41</xdr:row>
      <xdr:rowOff>0</xdr:rowOff>
    </xdr:from>
    <xdr:to>
      <xdr:col>13</xdr:col>
      <xdr:colOff>217934</xdr:colOff>
      <xdr:row>66</xdr:row>
      <xdr:rowOff>56607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029450"/>
          <a:ext cx="9133334" cy="4342857"/>
        </a:xfrm>
        <a:prstGeom prst="rect">
          <a:avLst/>
        </a:prstGeom>
      </xdr:spPr>
    </xdr:pic>
    <xdr:clientData/>
  </xdr:twoCellAnchor>
  <xdr:twoCellAnchor editAs="oneCell">
    <xdr:from>
      <xdr:col>0</xdr:col>
      <xdr:colOff>0</xdr:colOff>
      <xdr:row>67</xdr:row>
      <xdr:rowOff>0</xdr:rowOff>
    </xdr:from>
    <xdr:to>
      <xdr:col>13</xdr:col>
      <xdr:colOff>151267</xdr:colOff>
      <xdr:row>90</xdr:row>
      <xdr:rowOff>18555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487150"/>
          <a:ext cx="9066667" cy="3961905"/>
        </a:xfrm>
        <a:prstGeom prst="rect">
          <a:avLst/>
        </a:prstGeom>
      </xdr:spPr>
    </xdr:pic>
    <xdr:clientData/>
  </xdr:twoCellAnchor>
  <xdr:twoCellAnchor editAs="oneCell">
    <xdr:from>
      <xdr:col>0</xdr:col>
      <xdr:colOff>0</xdr:colOff>
      <xdr:row>90</xdr:row>
      <xdr:rowOff>95250</xdr:rowOff>
    </xdr:from>
    <xdr:to>
      <xdr:col>13</xdr:col>
      <xdr:colOff>103648</xdr:colOff>
      <xdr:row>115</xdr:row>
      <xdr:rowOff>161381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525750"/>
          <a:ext cx="9019048" cy="4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35032;&#39532;&#37117;&#36710;&#24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Sheet1"/>
      <sheetName val="比较法-车位"/>
      <sheetName val="Sheet2"/>
      <sheetName val="成本法"/>
      <sheetName val="假设开发法"/>
      <sheetName val="收益法"/>
      <sheetName val="酒店收入计算"/>
      <sheetName val="基准地价修正"/>
      <sheetName val="典型户型修正"/>
      <sheetName val="比较法-商业"/>
      <sheetName val="比较法-办公"/>
      <sheetName val="比较法-工业"/>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B14">
            <v>98.91</v>
          </cell>
          <cell r="D14">
            <v>126.1596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7">
          <cell r="B27">
            <v>32.97</v>
          </cell>
          <cell r="R27">
            <v>12755</v>
          </cell>
          <cell r="S27">
            <v>420532</v>
          </cell>
        </row>
        <row r="28">
          <cell r="B28">
            <v>32.97</v>
          </cell>
          <cell r="R28">
            <v>12755</v>
          </cell>
          <cell r="S28">
            <v>420532</v>
          </cell>
        </row>
        <row r="29">
          <cell r="B29">
            <v>32.97</v>
          </cell>
          <cell r="R29">
            <v>12755</v>
          </cell>
          <cell r="S29">
            <v>420532</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4" customWidth="1"/>
    <col min="2" max="2" width="94.875" style="1200" customWidth="1"/>
    <col min="3" max="16384" width="9" style="1210"/>
  </cols>
  <sheetData>
    <row r="1" spans="1:2" s="1205" customFormat="1" ht="16.5" thickBot="1">
      <c r="A1" s="1203" t="s">
        <v>1094</v>
      </c>
      <c r="B1" s="1204" t="s">
        <v>1156</v>
      </c>
    </row>
    <row r="2" spans="1:2" s="1207" customFormat="1" ht="15.75" thickTop="1">
      <c r="A2" s="1206" t="s">
        <v>1095</v>
      </c>
      <c r="B2" s="1192" t="str">
        <f>'预评函-封皮'!B9</f>
        <v>北京市房地产市场价值预评估</v>
      </c>
    </row>
    <row r="3" spans="1:2" s="1207" customFormat="1">
      <c r="A3" s="1208" t="s">
        <v>1096</v>
      </c>
      <c r="B3" s="1193" t="str">
        <f>'预评函-封皮'!B12</f>
        <v>韩亚银行（中国）有限公司北京分行</v>
      </c>
    </row>
    <row r="4" spans="1:2" s="1207" customFormat="1">
      <c r="A4" s="1208" t="s">
        <v>1097</v>
      </c>
      <c r="B4" s="1193" t="str">
        <f ca="1">'预评函-封皮'!B18</f>
        <v>（注册号:0）、郑燚（注册号:1120070131)</v>
      </c>
    </row>
    <row r="5" spans="1:2" s="1205" customFormat="1" ht="15.75" thickBot="1">
      <c r="A5" s="1209" t="s">
        <v>1098</v>
      </c>
      <c r="B5" s="1194" t="str">
        <f>'预评函-封皮'!B21</f>
        <v>康正预评字号</v>
      </c>
    </row>
    <row r="6" spans="1:2" s="1207" customFormat="1" ht="15.75" thickTop="1">
      <c r="A6" s="1208" t="s">
        <v>1099</v>
      </c>
      <c r="B6" s="1192" t="str">
        <f>'预评函-1'!A4</f>
        <v>受贵公司委托，我公司对北京市房地产进行了预评估。</v>
      </c>
    </row>
    <row r="7" spans="1:2">
      <c r="A7" s="1208" t="s">
        <v>1100</v>
      </c>
      <c r="B7" s="1195" t="str">
        <f>'预评函-1'!A6</f>
        <v>估价对象为北京市房地产，为韩亚银行（中国）有限公司北京分行所有。根据《》[]，估价对象建筑面积为732.34平方米。根据《》[]，估价对象（分摊）出让国有建设用地使用权面积为平方米。估价对象用途为住宅。</v>
      </c>
    </row>
    <row r="8" spans="1:2">
      <c r="A8" s="1208" t="s">
        <v>1101</v>
      </c>
      <c r="B8" s="1195" t="str">
        <f>'预评函-1'!A8</f>
        <v>为估价委托人了解估价对象房地产市场价值提供参考依据。</v>
      </c>
    </row>
    <row r="9" spans="1:2">
      <c r="A9" s="1208" t="s">
        <v>1102</v>
      </c>
      <c r="B9" s="1195" t="str">
        <f>'预评函-1'!A10</f>
        <v>2021年5月17日</v>
      </c>
    </row>
    <row r="10" spans="1:2">
      <c r="A10" s="1208" t="s">
        <v>1103</v>
      </c>
      <c r="B10" s="1195" t="str">
        <f>'预评函-1'!A13</f>
        <v>本次估价的“房地产价值”是指在正常市场情况下，在价值时点2021年5月17日，估价对象规划用途为住宅，假定未设立法定优先受偿款下的房地产市场价值。</v>
      </c>
    </row>
    <row r="11" spans="1:2">
      <c r="A11" s="1208" t="s">
        <v>1104</v>
      </c>
      <c r="B11" s="1195"/>
    </row>
    <row r="12" spans="1:2">
      <c r="A12" s="1208" t="s">
        <v>1105</v>
      </c>
      <c r="B12" s="1195" t="str">
        <f>'预评函-1'!A14</f>
        <v>——</v>
      </c>
    </row>
    <row r="13" spans="1:2">
      <c r="A13" s="1208" t="s">
        <v>1106</v>
      </c>
      <c r="B13" s="11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8" t="s">
        <v>1107</v>
      </c>
      <c r="B14" s="1195" t="str">
        <f>'预评函-1'!A16</f>
        <v>——</v>
      </c>
    </row>
    <row r="15" spans="1:2" s="1205" customFormat="1" ht="15.75" thickBot="1">
      <c r="A15" s="1209" t="s">
        <v>1108</v>
      </c>
      <c r="B15" s="1196" t="str">
        <f>'预评函-1'!A18</f>
        <v>本次评估采用的主估价方法为比较法和成本法。</v>
      </c>
    </row>
    <row r="16" spans="1:2" ht="15.75" thickTop="1">
      <c r="A16" s="1206" t="s">
        <v>1109</v>
      </c>
      <c r="B16" s="119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08" t="s">
        <v>1110</v>
      </c>
      <c r="B17" s="1195" t="str">
        <f>'预评函-2（1）'!B6</f>
        <v>北京市房地产</v>
      </c>
    </row>
    <row r="18" spans="1:2">
      <c r="A18" s="1208" t="s">
        <v>1111</v>
      </c>
      <c r="B18" s="1195">
        <f>'预评函-2（1）'!C6</f>
        <v>732.34</v>
      </c>
    </row>
    <row r="19" spans="1:2">
      <c r="A19" s="1208" t="s">
        <v>1112</v>
      </c>
      <c r="B19" s="1195">
        <f ca="1">'预评函-2（1）'!D7</f>
        <v>63992968</v>
      </c>
    </row>
    <row r="20" spans="1:2">
      <c r="A20" s="1208" t="s">
        <v>1150</v>
      </c>
      <c r="B20" s="1195" t="str">
        <f>'预评函-2（1）'!C7</f>
        <v>总价（元）</v>
      </c>
    </row>
    <row r="21" spans="1:2">
      <c r="A21" s="1208" t="s">
        <v>1113</v>
      </c>
      <c r="B21" s="1195">
        <f ca="1">'预评函-2（1）'!D9</f>
        <v>873815004</v>
      </c>
    </row>
    <row r="22" spans="1:2">
      <c r="A22" s="1208" t="s">
        <v>1114</v>
      </c>
      <c r="B22" s="1195" t="str">
        <f ca="1">'预评函-2（1）'!D8</f>
        <v>陆仟叁佰玖拾玖万贰仟玖佰陆拾捌元整</v>
      </c>
    </row>
    <row r="23" spans="1:2">
      <c r="A23" s="1208" t="s">
        <v>1151</v>
      </c>
      <c r="B23" s="1195">
        <f>'预评函-2（1）'!D10</f>
        <v>0</v>
      </c>
    </row>
    <row r="24" spans="1:2">
      <c r="A24" s="1208" t="s">
        <v>1152</v>
      </c>
      <c r="B24" s="1195" t="str">
        <f>'预评函-2（1）'!C10</f>
        <v>总额（元）</v>
      </c>
    </row>
    <row r="25" spans="1:2">
      <c r="A25" s="1208" t="s">
        <v>1115</v>
      </c>
      <c r="B25" s="1195" t="str">
        <f>'预评函-2（1）'!D11</f>
        <v>零元整</v>
      </c>
    </row>
    <row r="26" spans="1:2">
      <c r="A26" s="1208" t="s">
        <v>1116</v>
      </c>
      <c r="B26" s="1195">
        <f>'预评函-2（1）'!D12</f>
        <v>0</v>
      </c>
    </row>
    <row r="27" spans="1:2">
      <c r="A27" s="1208" t="s">
        <v>1117</v>
      </c>
      <c r="B27" s="1195">
        <f>'预评函-2（1）'!D13</f>
        <v>0</v>
      </c>
    </row>
    <row r="28" spans="1:2">
      <c r="A28" s="1208" t="s">
        <v>1118</v>
      </c>
      <c r="B28" s="1195">
        <f>'预评函-2（1）'!D14</f>
        <v>0</v>
      </c>
    </row>
    <row r="29" spans="1:2">
      <c r="A29" s="1208" t="s">
        <v>1119</v>
      </c>
      <c r="B29" s="1195">
        <f ca="1">'预评函-2（1）'!D15</f>
        <v>63992968</v>
      </c>
    </row>
    <row r="30" spans="1:2">
      <c r="A30" s="1208" t="s">
        <v>1120</v>
      </c>
      <c r="B30" s="1195" t="str">
        <f ca="1">'预评函-2（1）'!D16</f>
        <v>陆仟叁佰玖拾玖万贰仟玖佰陆拾捌元整</v>
      </c>
    </row>
    <row r="31" spans="1:2">
      <c r="A31" s="1208" t="s">
        <v>1121</v>
      </c>
      <c r="B31" s="1195" t="str">
        <f>'预评函-2（1）'!D18</f>
        <v>——</v>
      </c>
    </row>
    <row r="32" spans="1:2">
      <c r="A32" s="1208" t="s">
        <v>1122</v>
      </c>
      <c r="B32" s="1195" t="e">
        <f>'预评函-2（1）'!D19</f>
        <v>#VALUE!</v>
      </c>
    </row>
    <row r="33" spans="1:2">
      <c r="A33" s="1208" t="s">
        <v>1123</v>
      </c>
      <c r="B33" s="1195" t="str">
        <f>'预评函-2（1）'!D21</f>
        <v>——</v>
      </c>
    </row>
    <row r="34" spans="1:2">
      <c r="A34" s="1208" t="s">
        <v>1124</v>
      </c>
      <c r="B34" s="1195" t="str">
        <f ca="1">'预评函-2（1）'!D23</f>
        <v>——</v>
      </c>
    </row>
    <row r="35" spans="1:2">
      <c r="A35" s="1208" t="s">
        <v>1125</v>
      </c>
      <c r="B35" s="1195" t="e">
        <f>'预评函-2（1）'!D22</f>
        <v>#VALUE!</v>
      </c>
    </row>
    <row r="36" spans="1:2">
      <c r="A36" s="1208" t="s">
        <v>1126</v>
      </c>
      <c r="B36" s="1195">
        <f>'预评函-2（2）'!C4</f>
        <v>0</v>
      </c>
    </row>
    <row r="37" spans="1:2">
      <c r="A37" s="1208" t="s">
        <v>1127</v>
      </c>
      <c r="B37" s="1195">
        <f>'预评函-2（2）'!D4</f>
        <v>0</v>
      </c>
    </row>
    <row r="38" spans="1:2">
      <c r="A38" s="1208" t="s">
        <v>1128</v>
      </c>
      <c r="B38" s="1195">
        <f>'预评函-2（2）'!E4</f>
        <v>0</v>
      </c>
    </row>
    <row r="39" spans="1:2">
      <c r="A39" s="1208" t="s">
        <v>1129</v>
      </c>
      <c r="B39" s="1195" t="str">
        <f>'预评函-2（2）'!D5</f>
        <v>零元整</v>
      </c>
    </row>
    <row r="40" spans="1:2">
      <c r="A40" s="1208" t="s">
        <v>1130</v>
      </c>
      <c r="B40" s="1195">
        <f>'预评函-2（2）'!F4</f>
        <v>0</v>
      </c>
    </row>
    <row r="41" spans="1:2">
      <c r="A41" s="1208" t="s">
        <v>1131</v>
      </c>
      <c r="B41" s="1195">
        <f>'预评函-2（2）'!G4</f>
        <v>0</v>
      </c>
    </row>
    <row r="42" spans="1:2" s="1205" customFormat="1" ht="15.75" thickBot="1">
      <c r="A42" s="1209" t="s">
        <v>1132</v>
      </c>
      <c r="B42" s="1197" t="str">
        <f>'预评函-2（2）'!F5</f>
        <v>零元整</v>
      </c>
    </row>
    <row r="43" spans="1:2" ht="15.75" thickTop="1">
      <c r="A43" s="1206" t="s">
        <v>1133</v>
      </c>
      <c r="B43" s="1198" t="str">
        <f>'预评函-3'!A13</f>
        <v>2.本次评估设定估价对象房地产权属无争议，未被查封或者以其他形式限制其房地产权利，未设定抵押权等他项权利，不涉及第三方权利义务。</v>
      </c>
    </row>
    <row r="44" spans="1:2">
      <c r="A44" s="1208" t="s">
        <v>1134</v>
      </c>
      <c r="B44" s="1195" t="str">
        <f>'预评函-3'!A14</f>
        <v>——</v>
      </c>
    </row>
    <row r="45" spans="1:2">
      <c r="A45" s="1208" t="s">
        <v>1135</v>
      </c>
      <c r="B45" s="1195" t="str">
        <f>'预评函-3'!A15</f>
        <v>——</v>
      </c>
    </row>
    <row r="46" spans="1:2">
      <c r="A46" s="1208" t="s">
        <v>1136</v>
      </c>
      <c r="B46" s="1195" t="str">
        <f>'预评函-3'!A16</f>
        <v>——</v>
      </c>
    </row>
    <row r="47" spans="1:2">
      <c r="A47" s="1208" t="s">
        <v>1137</v>
      </c>
      <c r="B47" s="11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8" t="s">
        <v>1148</v>
      </c>
      <c r="B48" s="1195" t="str">
        <f>'预评函-3'!A18</f>
        <v>——</v>
      </c>
    </row>
    <row r="49" spans="1:2">
      <c r="A49" s="1208" t="s">
        <v>1138</v>
      </c>
      <c r="B49" s="11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8" t="s">
        <v>1139</v>
      </c>
      <c r="B50" s="1195" t="str">
        <f>'预评函-3'!A20</f>
        <v>6.其他需特殊说明事项：（没有时删除此项；注意修改序号）</v>
      </c>
    </row>
    <row r="51" spans="1:2" s="1205" customFormat="1" thickBot="1">
      <c r="A51" s="1209" t="s">
        <v>1140</v>
      </c>
      <c r="B51" s="1202">
        <f>'预评函-3'!D29</f>
        <v>42551</v>
      </c>
    </row>
    <row r="52" spans="1:2" ht="15.75" thickTop="1">
      <c r="A52" s="1206" t="s">
        <v>1141</v>
      </c>
      <c r="B52" s="1201">
        <f>'预评函-3'!A4</f>
        <v>0</v>
      </c>
    </row>
    <row r="53" spans="1:2">
      <c r="A53" s="1208" t="s">
        <v>1142</v>
      </c>
      <c r="B53" s="1195">
        <f>'预评函-3'!B4</f>
        <v>0</v>
      </c>
    </row>
    <row r="54" spans="1:2">
      <c r="A54" s="1208" t="s">
        <v>1143</v>
      </c>
      <c r="B54" s="1199" t="str">
        <f>'预评函-3'!A5</f>
        <v>郑燚</v>
      </c>
    </row>
    <row r="55" spans="1:2" s="1205" customFormat="1" ht="15.75" thickBot="1">
      <c r="A55" s="1209" t="s">
        <v>1144</v>
      </c>
      <c r="B55" s="1197">
        <f ca="1">'预评函-3'!B5</f>
        <v>1120070131</v>
      </c>
    </row>
    <row r="56" spans="1:2" ht="15.75" thickTop="1">
      <c r="A56" s="1211" t="s">
        <v>1153</v>
      </c>
      <c r="B56" s="1195" t="str">
        <f>'预评函-2（1）'!B15</f>
        <v>3.房地产抵押价值</v>
      </c>
    </row>
    <row r="57" spans="1:2">
      <c r="A57" s="1211" t="s">
        <v>1154</v>
      </c>
      <c r="B57" s="1195" t="str">
        <f>'预评函-2（1）'!B18</f>
        <v>——</v>
      </c>
    </row>
    <row r="58" spans="1:2" s="1205" customFormat="1" ht="15.75" thickBot="1">
      <c r="A58" s="1212" t="s">
        <v>1155</v>
      </c>
      <c r="B58" s="1196" t="str">
        <f>'预评函-2（1）'!B21</f>
        <v>——</v>
      </c>
    </row>
    <row r="59" spans="1:2" ht="15.75" thickTop="1">
      <c r="A59" s="1213" t="s">
        <v>1157</v>
      </c>
      <c r="B59" s="1193" t="str">
        <f>'预评函-2（1）'!B45</f>
        <v>单位：元、元/平方米（单位：人民币）</v>
      </c>
    </row>
    <row r="60" spans="1:2">
      <c r="A60" s="1211" t="s">
        <v>1158</v>
      </c>
      <c r="B60" s="1195" t="str">
        <f>'预评函-2（2）'!D2</f>
        <v>出让国有建设用地使用权价值</v>
      </c>
    </row>
    <row r="61" spans="1:2" s="1207" customFormat="1">
      <c r="A61" s="1211" t="s">
        <v>1159</v>
      </c>
      <c r="B61" s="1195" t="str">
        <f>'预评函-2（2）'!A14</f>
        <v>单位：平方米、元、元/平方米（币种：人民币）</v>
      </c>
    </row>
    <row r="62" spans="1:2" ht="28.5">
      <c r="A62" s="1211" t="s">
        <v>1244</v>
      </c>
      <c r="B62" s="1195">
        <f ca="1">'预评函-2（1）'!D38</f>
        <v>873815004</v>
      </c>
    </row>
    <row r="63" spans="1:2" s="1207" customFormat="1" ht="28.5">
      <c r="A63" s="1211" t="s">
        <v>1245</v>
      </c>
      <c r="B63" s="1195" t="str">
        <f>'预评函-2（1）'!D41</f>
        <v>——</v>
      </c>
    </row>
    <row r="64" spans="1:2">
      <c r="A64" s="1211" t="s">
        <v>1167</v>
      </c>
      <c r="B64" s="1195" t="str">
        <f>'预评函-2（2）'!A6</f>
        <v>——</v>
      </c>
    </row>
    <row r="65" spans="1:2">
      <c r="A65" s="1211" t="s">
        <v>1168</v>
      </c>
      <c r="B65" s="1195" t="str">
        <f>'预评函-2（2）'!A8</f>
        <v>——</v>
      </c>
    </row>
    <row r="66" spans="1:2">
      <c r="A66" s="1211" t="s">
        <v>1169</v>
      </c>
      <c r="B66" s="1195" t="str">
        <f>'预评函-2（2）'!A10</f>
        <v>——</v>
      </c>
    </row>
    <row r="67" spans="1:2" s="1205" customFormat="1" ht="15.75" thickBot="1">
      <c r="A67" s="1212" t="s">
        <v>1170</v>
      </c>
      <c r="B67" s="1196" t="str">
        <f>'预评函-2（2）'!A12</f>
        <v>——</v>
      </c>
    </row>
    <row r="68" spans="1:2" ht="15.75" thickTop="1">
      <c r="A68" s="1214" t="s">
        <v>1171</v>
      </c>
      <c r="B68" s="1200" t="str">
        <f>'预评函-3'!A9</f>
        <v>XX</v>
      </c>
    </row>
    <row r="69" spans="1:2">
      <c r="A69" s="1208" t="s">
        <v>1243</v>
      </c>
    </row>
    <row r="70" spans="1:2">
      <c r="A70" s="1208"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5" t="s">
        <v>1528</v>
      </c>
      <c r="B1" s="2586" t="str">
        <f>IF(B6="北京市","北京市",C6)&amp;IF(E12="房屋所有权证",B29,E29)&amp;D5&amp;"预评估"</f>
        <v>北京市房地产市场价值预评估</v>
      </c>
      <c r="C1" s="823"/>
      <c r="D1" s="823"/>
      <c r="E1" s="823"/>
      <c r="F1" s="1424" t="s">
        <v>1529</v>
      </c>
      <c r="G1" s="1189"/>
      <c r="I1" s="2913" t="str">
        <f>IF(B6="北京市","北京市",C6)&amp;IF(E12="房屋所有权证",B29,E29)&amp;"房地产"</f>
        <v>北京市房地产</v>
      </c>
      <c r="J1" s="800"/>
      <c r="K1" s="2915"/>
      <c r="L1" s="2915"/>
      <c r="M1" s="2915"/>
      <c r="N1" s="800"/>
      <c r="O1" s="800"/>
      <c r="P1" s="800"/>
      <c r="Q1" s="800"/>
    </row>
    <row r="2" spans="1:17" ht="13.5" thickTop="1">
      <c r="A2" s="1425" t="s">
        <v>1530</v>
      </c>
      <c r="B2" s="2587"/>
      <c r="C2" s="2885" t="s">
        <v>1531</v>
      </c>
      <c r="D2" s="2587">
        <v>44333</v>
      </c>
      <c r="E2" s="824"/>
      <c r="F2" s="824"/>
      <c r="G2" s="1190"/>
      <c r="H2" s="2897"/>
    </row>
    <row r="3" spans="1:17" ht="13.5" thickBot="1">
      <c r="A3" s="2588" t="s">
        <v>1532</v>
      </c>
      <c r="B3" s="2589"/>
      <c r="C3" s="2590">
        <f>SUMIF(注册房地产估价师,B3,估价师及机构信息!B3:B16)</f>
        <v>0</v>
      </c>
      <c r="D3" s="2589" t="s">
        <v>2964</v>
      </c>
      <c r="E3" s="2591">
        <f ca="1">SUMIF(注册房地产估价师,D3,估价师及机构信息!B3:B16)</f>
        <v>1120070131</v>
      </c>
      <c r="F3" s="825"/>
      <c r="G3" s="1191"/>
      <c r="H3" s="2897"/>
    </row>
    <row r="4" spans="1:17" ht="13.5" customHeight="1" thickTop="1">
      <c r="A4" s="1425" t="s">
        <v>1533</v>
      </c>
      <c r="B4" s="3156" t="s">
        <v>2896</v>
      </c>
      <c r="C4" s="2886" t="s">
        <v>1534</v>
      </c>
      <c r="D4" s="1426" t="s">
        <v>2891</v>
      </c>
      <c r="E4" s="824"/>
      <c r="F4" s="824"/>
      <c r="G4" s="1190"/>
    </row>
    <row r="5" spans="1:17">
      <c r="A5" s="1427" t="s">
        <v>1535</v>
      </c>
      <c r="B5" s="1428" t="s">
        <v>2718</v>
      </c>
      <c r="C5" s="2887" t="s">
        <v>1536</v>
      </c>
      <c r="D5" s="1430" t="s">
        <v>2892</v>
      </c>
      <c r="E5" s="2888" t="s">
        <v>1537</v>
      </c>
      <c r="F5" s="1430"/>
      <c r="G5" s="1431"/>
      <c r="I5" s="2913" t="str">
        <f>IF(C16="否","截至估价时点，估价对象抵押权未见登记。","截至价值时点，估价对象已设定抵押。")</f>
        <v>截至价值时点，估价对象已设定抵押。</v>
      </c>
      <c r="J5" s="800"/>
      <c r="K5" s="2915"/>
      <c r="L5" s="2915"/>
      <c r="M5" s="2915"/>
      <c r="N5" s="800"/>
      <c r="O5" s="800"/>
      <c r="P5" s="800"/>
      <c r="Q5" s="800"/>
    </row>
    <row r="6" spans="1:17">
      <c r="A6" s="2889" t="s">
        <v>1538</v>
      </c>
      <c r="B6" s="2592" t="s">
        <v>2893</v>
      </c>
      <c r="C6" s="2593" t="s">
        <v>2719</v>
      </c>
      <c r="D6" s="2594" t="s">
        <v>1539</v>
      </c>
      <c r="E6" s="811"/>
      <c r="F6" s="811"/>
      <c r="G6" s="830"/>
      <c r="I6" s="800" t="str">
        <f>IF(COUNTIF(B5,"*上海银行*"),"上海银行","")</f>
        <v/>
      </c>
      <c r="J6" s="800"/>
      <c r="K6" s="2915"/>
      <c r="L6" s="2915"/>
      <c r="M6" s="2915"/>
      <c r="N6" s="800"/>
      <c r="O6" s="800"/>
      <c r="P6" s="800"/>
      <c r="Q6" s="800"/>
    </row>
    <row r="7" spans="1:17" ht="36.75" thickBot="1">
      <c r="A7" s="2890" t="s">
        <v>1540</v>
      </c>
      <c r="B7" s="2595" t="s">
        <v>2894</v>
      </c>
      <c r="C7" s="1521" t="str">
        <f>IF(B7="自然人","姓名","名称")</f>
        <v>名称</v>
      </c>
      <c r="D7" s="3157" t="s">
        <v>2897</v>
      </c>
      <c r="E7" s="825"/>
      <c r="F7" s="825"/>
      <c r="G7" s="1191"/>
    </row>
    <row r="8" spans="1:17" ht="13.5" thickTop="1">
      <c r="A8" s="3227" t="s">
        <v>1541</v>
      </c>
      <c r="B8" s="1435" t="s">
        <v>1542</v>
      </c>
      <c r="C8" s="3240"/>
      <c r="D8" s="3241"/>
      <c r="E8" s="2596" t="s">
        <v>1543</v>
      </c>
      <c r="F8" s="2597" t="s">
        <v>1544</v>
      </c>
      <c r="G8" s="2598" t="str">
        <f>C6</f>
        <v>XX</v>
      </c>
    </row>
    <row r="9" spans="1:17" ht="25.5">
      <c r="A9" s="3227"/>
      <c r="B9" s="259" t="s">
        <v>1545</v>
      </c>
      <c r="C9" s="1428"/>
      <c r="D9" s="1436" t="s">
        <v>2895</v>
      </c>
      <c r="E9" s="2891" t="s">
        <v>1546</v>
      </c>
      <c r="F9" s="2599" t="s">
        <v>399</v>
      </c>
      <c r="G9" s="2600"/>
    </row>
    <row r="10" spans="1:17" ht="13.5" thickBot="1">
      <c r="A10" s="3227"/>
      <c r="B10" s="259" t="s">
        <v>1547</v>
      </c>
      <c r="C10" s="3242"/>
      <c r="D10" s="3243"/>
      <c r="E10" s="2892" t="s">
        <v>1548</v>
      </c>
      <c r="F10" s="2601" t="s">
        <v>321</v>
      </c>
      <c r="G10" s="2602"/>
    </row>
    <row r="11" spans="1:17" ht="13.5" thickBot="1">
      <c r="A11" s="3227"/>
      <c r="B11" s="1438" t="s">
        <v>1549</v>
      </c>
      <c r="C11" s="3244"/>
      <c r="D11" s="3245"/>
      <c r="E11" s="811"/>
      <c r="F11" s="811"/>
      <c r="G11" s="830"/>
    </row>
    <row r="12" spans="1:17" ht="13.5" thickBot="1">
      <c r="A12" s="3231" t="s">
        <v>2826</v>
      </c>
      <c r="B12" s="2893" t="s">
        <v>1550</v>
      </c>
      <c r="C12" s="808">
        <v>732.34</v>
      </c>
      <c r="D12" s="1439" t="s">
        <v>1551</v>
      </c>
      <c r="E12" s="1440"/>
      <c r="F12" s="1441"/>
      <c r="G12" s="830"/>
    </row>
    <row r="13" spans="1:17" ht="21" customHeight="1" thickBot="1">
      <c r="A13" s="3232"/>
      <c r="B13" s="2894" t="s">
        <v>1552</v>
      </c>
      <c r="C13" s="809"/>
      <c r="D13" s="1442" t="s">
        <v>1553</v>
      </c>
      <c r="E13" s="1443"/>
      <c r="F13" s="811"/>
      <c r="G13" s="830"/>
      <c r="I13" s="3250" t="s">
        <v>1554</v>
      </c>
      <c r="J13" s="2914" t="str">
        <f>"根据估价对象"&amp;IF(B19="——",B18&amp;C18,B18&amp;C18&amp;"、"&amp;B19&amp;C19)&amp;"，"&amp;IF(C16="是","截至价值时点，估价对象已设定抵押。","截至价值时点，估价对象抵押权未见登记。")</f>
        <v>根据估价对象、，截至价值时点，估价对象抵押权未见登记。</v>
      </c>
      <c r="K13" s="2915"/>
      <c r="L13" s="2915"/>
      <c r="M13" s="2915"/>
      <c r="N13" s="800"/>
      <c r="O13" s="800"/>
      <c r="P13" s="800"/>
      <c r="Q13" s="800"/>
    </row>
    <row r="14" spans="1:17" ht="13.5" thickBot="1">
      <c r="A14" s="2603"/>
      <c r="B14" s="2908" t="s">
        <v>2827</v>
      </c>
      <c r="C14" s="3158" t="s">
        <v>2898</v>
      </c>
      <c r="D14" s="811"/>
      <c r="E14" s="811"/>
      <c r="F14" s="811"/>
      <c r="G14" s="830"/>
      <c r="I14" s="3250"/>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5"/>
      <c r="L14" s="2915"/>
      <c r="M14" s="2915"/>
      <c r="N14" s="800"/>
      <c r="O14" s="800"/>
      <c r="P14" s="800"/>
      <c r="Q14" s="800"/>
    </row>
    <row r="15" spans="1:17" ht="13.5" thickBot="1">
      <c r="A15" s="2604"/>
      <c r="B15" s="2895" t="s">
        <v>1555</v>
      </c>
      <c r="C15" s="826">
        <v>3.2</v>
      </c>
      <c r="D15" s="825"/>
      <c r="E15" s="825"/>
      <c r="F15" s="825"/>
      <c r="G15" s="1191"/>
      <c r="I15" s="3250"/>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3" t="s">
        <v>1556</v>
      </c>
      <c r="B16" s="1444" t="s">
        <v>1557</v>
      </c>
      <c r="C16" s="2605"/>
      <c r="D16" s="1437" t="s">
        <v>1558</v>
      </c>
      <c r="E16" s="2606"/>
      <c r="F16" s="1445" t="str">
        <f>IF(AND(C16="是",E16="否"),"是否提供他项权证或相关说明","")</f>
        <v/>
      </c>
      <c r="G16" s="2606"/>
      <c r="J16" s="2897"/>
    </row>
    <row r="17" spans="1:66" ht="13.5" customHeight="1">
      <c r="A17" s="1451" t="s">
        <v>1559</v>
      </c>
      <c r="B17" s="3246" t="s">
        <v>1560</v>
      </c>
      <c r="C17" s="3247"/>
      <c r="D17" s="3248" t="s">
        <v>1561</v>
      </c>
      <c r="E17" s="3249"/>
      <c r="F17" s="1446" t="s">
        <v>1562</v>
      </c>
      <c r="G17" s="1447"/>
      <c r="J17" s="2897"/>
    </row>
    <row r="18" spans="1:66" ht="24">
      <c r="A18" s="1451"/>
      <c r="B18" s="2607"/>
      <c r="C18" s="1431"/>
      <c r="D18" s="1448" t="s">
        <v>1563</v>
      </c>
      <c r="E18" s="1449"/>
      <c r="F18" s="1450"/>
      <c r="G18" s="1315"/>
      <c r="H18" s="2897"/>
      <c r="J18" s="2897"/>
    </row>
    <row r="19" spans="1:66" ht="21.75" customHeight="1" thickBot="1">
      <c r="A19" s="1451"/>
      <c r="B19" s="2608"/>
      <c r="C19" s="1443"/>
      <c r="D19" s="1451"/>
      <c r="E19" s="811"/>
      <c r="F19" s="811"/>
      <c r="G19" s="1315"/>
    </row>
    <row r="20" spans="1:66">
      <c r="A20" s="1447" t="s">
        <v>1564</v>
      </c>
      <c r="B20" s="2609" t="s">
        <v>1565</v>
      </c>
      <c r="C20" s="2610"/>
      <c r="D20" s="2611" t="s">
        <v>1565</v>
      </c>
      <c r="E20" s="2610"/>
      <c r="F20" s="811"/>
      <c r="G20" s="1315"/>
    </row>
    <row r="21" spans="1:66">
      <c r="A21" s="1315"/>
      <c r="B21" s="2612" t="s">
        <v>1566</v>
      </c>
      <c r="C21" s="2880"/>
      <c r="D21" s="1451" t="s">
        <v>1566</v>
      </c>
      <c r="E21" s="2613"/>
      <c r="F21" s="811"/>
      <c r="G21" s="1315"/>
    </row>
    <row r="22" spans="1:66">
      <c r="A22" s="1315"/>
      <c r="B22" s="811" t="s">
        <v>1567</v>
      </c>
      <c r="C22" s="2614"/>
      <c r="D22" s="811" t="s">
        <v>1567</v>
      </c>
      <c r="E22" s="2613"/>
      <c r="F22" s="811"/>
      <c r="G22" s="1315"/>
    </row>
    <row r="23" spans="1:66" s="2879" customFormat="1" ht="16.5" thickBot="1">
      <c r="A23" s="1316"/>
      <c r="B23" s="829" t="s">
        <v>1568</v>
      </c>
      <c r="C23" s="809"/>
      <c r="D23" s="829" t="s">
        <v>1569</v>
      </c>
      <c r="E23" s="2615"/>
      <c r="F23" s="829"/>
      <c r="G23" s="1316"/>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259" t="s">
        <v>2825</v>
      </c>
      <c r="B24" s="3259"/>
      <c r="C24" s="3259"/>
      <c r="D24" s="3259"/>
      <c r="E24" s="3259"/>
      <c r="F24" s="3259"/>
      <c r="G24" s="3259"/>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1570</v>
      </c>
      <c r="B25" s="811"/>
      <c r="C25" s="811"/>
      <c r="D25" s="811"/>
      <c r="E25" s="811"/>
      <c r="F25" s="811"/>
      <c r="G25" s="1316"/>
      <c r="K25" s="2898"/>
    </row>
    <row r="26" spans="1:66" s="836" customFormat="1" ht="13.5" thickBot="1">
      <c r="A26" s="2616"/>
      <c r="B26" s="807" t="s">
        <v>1571</v>
      </c>
      <c r="C26" s="2616"/>
      <c r="D26" s="807"/>
      <c r="E26" s="2617" t="s">
        <v>1572</v>
      </c>
      <c r="F26" s="2616"/>
      <c r="G26" s="2618" t="s">
        <v>1573</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16"/>
      <c r="B27" s="2619"/>
      <c r="C27" s="2616"/>
      <c r="D27" s="807"/>
      <c r="E27" s="2619"/>
      <c r="F27" s="2616"/>
      <c r="G27" s="2620"/>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1574</v>
      </c>
      <c r="B28" s="801"/>
      <c r="C28" s="3234" t="s">
        <v>1574</v>
      </c>
      <c r="D28" s="3235"/>
      <c r="E28" s="801"/>
      <c r="F28" s="803" t="s">
        <v>1574</v>
      </c>
      <c r="G28" s="801"/>
      <c r="K28" s="2898"/>
    </row>
    <row r="29" spans="1:66">
      <c r="A29" s="804" t="s">
        <v>1575</v>
      </c>
      <c r="B29" s="798"/>
      <c r="C29" s="3236" t="s">
        <v>1576</v>
      </c>
      <c r="D29" s="3237"/>
      <c r="E29" s="798"/>
      <c r="F29" s="804" t="s">
        <v>1576</v>
      </c>
      <c r="G29" s="798"/>
      <c r="K29" s="2898"/>
    </row>
    <row r="30" spans="1:66">
      <c r="A30" s="804" t="s">
        <v>1577</v>
      </c>
      <c r="B30" s="798"/>
      <c r="C30" s="3236" t="s">
        <v>1577</v>
      </c>
      <c r="D30" s="3237"/>
      <c r="E30" s="798"/>
      <c r="F30" s="804" t="s">
        <v>1578</v>
      </c>
      <c r="G30" s="798"/>
      <c r="K30" s="2898"/>
    </row>
    <row r="31" spans="1:66">
      <c r="A31" s="804" t="s">
        <v>1579</v>
      </c>
      <c r="B31" s="798"/>
      <c r="C31" s="3256" t="s">
        <v>1580</v>
      </c>
      <c r="D31" s="811"/>
      <c r="E31" s="2621" t="str">
        <f>E32&amp;" "&amp;E33&amp;" "&amp;E34&amp;" "&amp;E35</f>
        <v xml:space="preserve">   </v>
      </c>
      <c r="F31" s="804" t="s">
        <v>1581</v>
      </c>
      <c r="G31" s="798"/>
    </row>
    <row r="32" spans="1:66">
      <c r="A32" s="804" t="s">
        <v>1582</v>
      </c>
      <c r="B32" s="798"/>
      <c r="C32" s="3257"/>
      <c r="D32" s="259" t="s">
        <v>1583</v>
      </c>
      <c r="E32" s="798"/>
      <c r="F32" s="804" t="s">
        <v>1584</v>
      </c>
      <c r="G32" s="798"/>
    </row>
    <row r="33" spans="1:7" ht="24.75" thickBot="1">
      <c r="A33" s="805" t="s">
        <v>1585</v>
      </c>
      <c r="B33" s="802"/>
      <c r="C33" s="3257"/>
      <c r="D33" s="259" t="s">
        <v>1586</v>
      </c>
      <c r="E33" s="798"/>
      <c r="F33" s="804" t="s">
        <v>1587</v>
      </c>
      <c r="G33" s="798"/>
    </row>
    <row r="34" spans="1:7">
      <c r="A34" s="803" t="s">
        <v>1588</v>
      </c>
      <c r="B34" s="801"/>
      <c r="C34" s="3257"/>
      <c r="D34" s="259" t="s">
        <v>1589</v>
      </c>
      <c r="E34" s="798"/>
      <c r="F34" s="804" t="s">
        <v>1590</v>
      </c>
      <c r="G34" s="798"/>
    </row>
    <row r="35" spans="1:7" ht="13.5" thickBot="1">
      <c r="A35" s="804" t="s">
        <v>1591</v>
      </c>
      <c r="B35" s="798"/>
      <c r="C35" s="3258"/>
      <c r="D35" s="259" t="s">
        <v>1592</v>
      </c>
      <c r="E35" s="798"/>
      <c r="F35" s="805" t="s">
        <v>1593</v>
      </c>
      <c r="G35" s="2622"/>
    </row>
    <row r="36" spans="1:7">
      <c r="A36" s="804" t="s">
        <v>1550</v>
      </c>
      <c r="B36" s="798"/>
      <c r="C36" s="3236" t="s">
        <v>1594</v>
      </c>
      <c r="D36" s="3237"/>
      <c r="E36" s="798"/>
      <c r="F36" s="2623" t="s">
        <v>1595</v>
      </c>
      <c r="G36" s="801"/>
    </row>
    <row r="37" spans="1:7" ht="13.5" thickBot="1">
      <c r="A37" s="804" t="s">
        <v>1596</v>
      </c>
      <c r="B37" s="798"/>
      <c r="C37" s="3238" t="s">
        <v>1597</v>
      </c>
      <c r="D37" s="3239"/>
      <c r="E37" s="802"/>
      <c r="F37" s="1459" t="s">
        <v>1598</v>
      </c>
      <c r="G37" s="798"/>
    </row>
    <row r="38" spans="1:7" ht="13.5" thickBot="1">
      <c r="A38" s="804" t="s">
        <v>1599</v>
      </c>
      <c r="B38" s="798"/>
      <c r="C38" s="3228" t="s">
        <v>1600</v>
      </c>
      <c r="D38" s="1439" t="s">
        <v>1584</v>
      </c>
      <c r="E38" s="801"/>
      <c r="F38" s="805" t="s">
        <v>1601</v>
      </c>
      <c r="G38" s="802"/>
    </row>
    <row r="39" spans="1:7">
      <c r="A39" s="804" t="s">
        <v>1602</v>
      </c>
      <c r="B39" s="798"/>
      <c r="C39" s="3229"/>
      <c r="D39" s="259" t="s">
        <v>1591</v>
      </c>
      <c r="E39" s="798"/>
      <c r="F39" s="803" t="s">
        <v>1603</v>
      </c>
      <c r="G39" s="801"/>
    </row>
    <row r="40" spans="1:7">
      <c r="A40" s="804" t="s">
        <v>1604</v>
      </c>
      <c r="B40" s="798"/>
      <c r="C40" s="3229" t="s">
        <v>1605</v>
      </c>
      <c r="D40" s="259" t="s">
        <v>1550</v>
      </c>
      <c r="E40" s="798"/>
      <c r="F40" s="804" t="s">
        <v>1606</v>
      </c>
      <c r="G40" s="798"/>
    </row>
    <row r="41" spans="1:7" ht="24.75" customHeight="1" thickBot="1">
      <c r="A41" s="805" t="s">
        <v>1607</v>
      </c>
      <c r="B41" s="802"/>
      <c r="C41" s="3230"/>
      <c r="D41" s="1442" t="s">
        <v>1552</v>
      </c>
      <c r="E41" s="802"/>
      <c r="F41" s="805" t="s">
        <v>1608</v>
      </c>
      <c r="G41" s="802"/>
    </row>
    <row r="42" spans="1:7">
      <c r="A42" s="806" t="s">
        <v>1609</v>
      </c>
      <c r="B42" s="2624"/>
      <c r="C42" s="3251" t="s">
        <v>1609</v>
      </c>
      <c r="D42" s="3252"/>
      <c r="E42" s="2624"/>
      <c r="F42" s="803" t="s">
        <v>1610</v>
      </c>
      <c r="G42" s="2624"/>
    </row>
    <row r="43" spans="1:7">
      <c r="A43" s="821" t="s">
        <v>1611</v>
      </c>
      <c r="B43" s="2625"/>
      <c r="C43" s="1451"/>
      <c r="D43" s="2612"/>
      <c r="E43" s="2625"/>
      <c r="F43" s="821"/>
      <c r="G43" s="2625"/>
    </row>
    <row r="44" spans="1:7">
      <c r="A44" s="821" t="s">
        <v>1565</v>
      </c>
      <c r="B44" s="822"/>
      <c r="C44" s="1451"/>
      <c r="D44" s="1517" t="s">
        <v>1565</v>
      </c>
      <c r="E44" s="822"/>
      <c r="F44" s="821" t="s">
        <v>1565</v>
      </c>
      <c r="G44" s="822"/>
    </row>
    <row r="45" spans="1:7">
      <c r="A45" s="821" t="s">
        <v>1566</v>
      </c>
      <c r="B45" s="822"/>
      <c r="C45" s="1451"/>
      <c r="D45" s="2612" t="s">
        <v>1566</v>
      </c>
      <c r="E45" s="822"/>
      <c r="F45" s="821" t="s">
        <v>1566</v>
      </c>
      <c r="G45" s="822"/>
    </row>
    <row r="46" spans="1:7">
      <c r="A46" s="821" t="s">
        <v>1567</v>
      </c>
      <c r="B46" s="822"/>
      <c r="C46" s="1451"/>
      <c r="D46" s="2612" t="s">
        <v>1567</v>
      </c>
      <c r="E46" s="822"/>
      <c r="F46" s="821" t="s">
        <v>1567</v>
      </c>
      <c r="G46" s="822"/>
    </row>
    <row r="47" spans="1:7">
      <c r="A47" s="821" t="s">
        <v>1568</v>
      </c>
      <c r="B47" s="822"/>
      <c r="C47" s="1451"/>
      <c r="D47" s="2612" t="s">
        <v>1568</v>
      </c>
      <c r="E47" s="822"/>
      <c r="F47" s="821" t="s">
        <v>1568</v>
      </c>
      <c r="G47" s="822"/>
    </row>
    <row r="48" spans="1:7">
      <c r="A48" s="821"/>
      <c r="B48" s="822"/>
      <c r="C48" s="1451"/>
      <c r="D48" s="2612"/>
      <c r="E48" s="822"/>
      <c r="F48" s="821"/>
      <c r="G48" s="822"/>
    </row>
    <row r="49" spans="1:66" ht="13.5" thickBot="1">
      <c r="A49" s="805" t="s">
        <v>1612</v>
      </c>
      <c r="B49" s="802"/>
      <c r="C49" s="3253" t="s">
        <v>1612</v>
      </c>
      <c r="D49" s="3254"/>
      <c r="E49" s="820"/>
      <c r="F49" s="805" t="s">
        <v>1613</v>
      </c>
      <c r="G49" s="802"/>
    </row>
    <row r="50" spans="1:66">
      <c r="A50" s="804" t="s">
        <v>1614</v>
      </c>
      <c r="B50" s="819"/>
      <c r="C50" s="3228" t="s">
        <v>1615</v>
      </c>
      <c r="D50" s="3255"/>
      <c r="E50" s="2626"/>
      <c r="F50" s="837"/>
      <c r="G50" s="838"/>
    </row>
    <row r="51" spans="1:66" ht="13.5" thickBot="1">
      <c r="A51" s="804" t="s">
        <v>1616</v>
      </c>
      <c r="B51" s="819"/>
      <c r="C51" s="3230" t="s">
        <v>1617</v>
      </c>
      <c r="D51" s="3233"/>
      <c r="E51" s="802"/>
      <c r="F51" s="811"/>
      <c r="G51" s="830"/>
    </row>
    <row r="52" spans="1:66">
      <c r="A52" s="804" t="s">
        <v>1595</v>
      </c>
      <c r="B52" s="798"/>
      <c r="C52" s="811"/>
      <c r="D52" s="811"/>
      <c r="E52" s="811"/>
      <c r="F52" s="811"/>
      <c r="G52" s="830"/>
    </row>
    <row r="53" spans="1:66" ht="24.75" thickBot="1">
      <c r="A53" s="805" t="s">
        <v>1618</v>
      </c>
      <c r="B53" s="2622"/>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0" t="s">
        <v>0</v>
      </c>
      <c r="B1" s="3260" t="s">
        <v>2</v>
      </c>
      <c r="C1" s="3260" t="s">
        <v>3</v>
      </c>
      <c r="D1" s="3261" t="s">
        <v>67</v>
      </c>
      <c r="E1" s="3261" t="s">
        <v>68</v>
      </c>
      <c r="F1" s="3261"/>
      <c r="G1" s="3261"/>
      <c r="H1" s="3261"/>
      <c r="I1" s="3261"/>
      <c r="J1" s="3261"/>
      <c r="K1" s="3261"/>
      <c r="L1" s="3261"/>
      <c r="M1" s="3261"/>
    </row>
    <row r="2" spans="1:13" ht="27" customHeight="1">
      <c r="A2" s="3260"/>
      <c r="B2" s="3260"/>
      <c r="C2" s="3260"/>
      <c r="D2" s="3261"/>
      <c r="E2" s="3261" t="s">
        <v>51</v>
      </c>
      <c r="F2" s="3261" t="s">
        <v>52</v>
      </c>
      <c r="G2" s="3261"/>
      <c r="H2" s="3261"/>
      <c r="I2" s="3261"/>
      <c r="J2" s="3261" t="s">
        <v>53</v>
      </c>
      <c r="K2" s="3261"/>
      <c r="L2" s="3261"/>
      <c r="M2" s="3261"/>
    </row>
    <row r="3" spans="1:13" ht="28.5">
      <c r="A3" s="3260"/>
      <c r="B3" s="3260"/>
      <c r="C3" s="3260"/>
      <c r="D3" s="3261"/>
      <c r="E3" s="32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1" t="s">
        <v>69</v>
      </c>
      <c r="B9" s="3261"/>
      <c r="C9" s="32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L44" sqref="L44"/>
    </sheetView>
  </sheetViews>
  <sheetFormatPr defaultColWidth="13.75" defaultRowHeight="12.75"/>
  <cols>
    <col min="1" max="1" width="20.875" style="2683" customWidth="1"/>
    <col min="2" max="2" width="16.75" style="2628" customWidth="1"/>
    <col min="3" max="3" width="18.25" style="2669" customWidth="1"/>
    <col min="4" max="4" width="34.125" style="2684" customWidth="1"/>
    <col min="5" max="5" width="17.625" style="2684" customWidth="1"/>
    <col min="6" max="6" width="15.5" style="2627"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28"/>
  </cols>
  <sheetData>
    <row r="1" spans="1:41" ht="19.5" thickBot="1">
      <c r="A1" s="2916" t="s">
        <v>1619</v>
      </c>
      <c r="B1" s="947"/>
      <c r="D1" s="2627"/>
      <c r="E1" s="2627"/>
    </row>
    <row r="2" spans="1:41" s="2631" customFormat="1" ht="15.75" thickBot="1">
      <c r="A2" s="2917" t="s">
        <v>1620</v>
      </c>
      <c r="B2" s="2918">
        <f>项目基本情况!D2</f>
        <v>44333</v>
      </c>
      <c r="C2" s="1681"/>
      <c r="D2" s="3262" t="s">
        <v>1621</v>
      </c>
      <c r="E2" s="2629"/>
      <c r="F2" s="2630"/>
      <c r="G2" s="2963"/>
      <c r="H2" s="2963"/>
      <c r="I2" s="1681"/>
      <c r="J2" s="1681"/>
      <c r="K2" s="1681"/>
      <c r="L2" s="1681"/>
      <c r="M2" s="1681"/>
      <c r="N2" s="1681"/>
      <c r="O2" s="1681"/>
      <c r="P2" s="1681"/>
      <c r="Q2" s="1681"/>
      <c r="R2" s="1681"/>
      <c r="S2" s="1681"/>
      <c r="T2" s="1681"/>
      <c r="U2" s="1681"/>
      <c r="V2" s="1681"/>
      <c r="W2" s="1681"/>
      <c r="X2" s="1681"/>
      <c r="Y2" s="1681"/>
      <c r="Z2" s="1681"/>
      <c r="AA2" s="1681"/>
      <c r="AB2" s="1681"/>
      <c r="AC2" s="1681"/>
      <c r="AD2" s="1681"/>
      <c r="AE2" s="1681"/>
      <c r="AF2" s="1681"/>
      <c r="AG2" s="1681"/>
      <c r="AH2" s="1681"/>
      <c r="AI2" s="1681"/>
      <c r="AJ2" s="1681"/>
      <c r="AK2" s="1681"/>
      <c r="AL2" s="1681"/>
      <c r="AM2" s="1681"/>
      <c r="AN2" s="1681"/>
      <c r="AO2" s="1681"/>
    </row>
    <row r="3" spans="1:41" s="2631" customFormat="1" ht="15" customHeight="1" thickBot="1">
      <c r="A3" s="2634" t="s">
        <v>1622</v>
      </c>
      <c r="B3" s="2632" t="s">
        <v>2961</v>
      </c>
      <c r="C3" s="1681"/>
      <c r="D3" s="3263"/>
      <c r="E3" s="2633" t="s">
        <v>2900</v>
      </c>
      <c r="F3" s="2630"/>
      <c r="G3" s="2963"/>
      <c r="H3" s="2963"/>
      <c r="I3" s="1681"/>
      <c r="J3" s="1681"/>
      <c r="K3" s="1681"/>
      <c r="L3" s="1681"/>
      <c r="M3" s="1681"/>
      <c r="N3" s="1681"/>
      <c r="O3" s="1681"/>
      <c r="P3" s="1681"/>
      <c r="Q3" s="1681"/>
      <c r="R3" s="1681"/>
      <c r="S3" s="1681"/>
      <c r="T3" s="1681"/>
      <c r="U3" s="1681"/>
      <c r="V3" s="1681"/>
      <c r="W3" s="1681"/>
      <c r="X3" s="1681"/>
      <c r="Y3" s="1681"/>
      <c r="Z3" s="1681"/>
      <c r="AA3" s="1681"/>
      <c r="AB3" s="1681"/>
      <c r="AC3" s="1681"/>
      <c r="AD3" s="1681"/>
      <c r="AE3" s="1681"/>
      <c r="AF3" s="1681"/>
      <c r="AG3" s="1681"/>
      <c r="AH3" s="1681"/>
      <c r="AI3" s="1681"/>
      <c r="AJ3" s="1681"/>
      <c r="AK3" s="1681"/>
      <c r="AL3" s="1681"/>
      <c r="AM3" s="1681"/>
      <c r="AN3" s="1681"/>
      <c r="AO3" s="1681"/>
    </row>
    <row r="4" spans="1:41" s="2631" customFormat="1" ht="15" thickBot="1">
      <c r="A4" s="2637" t="s">
        <v>1623</v>
      </c>
      <c r="B4" s="2632" t="s">
        <v>2962</v>
      </c>
      <c r="C4" s="1681"/>
      <c r="D4" s="3263"/>
      <c r="E4" s="2633"/>
      <c r="F4" s="2630"/>
      <c r="G4" s="2963"/>
      <c r="H4" s="2963"/>
      <c r="I4" s="1681"/>
      <c r="J4" s="1681"/>
      <c r="K4" s="1681"/>
      <c r="L4" s="1681"/>
      <c r="M4" s="1681"/>
      <c r="N4" s="1681"/>
      <c r="O4" s="1681"/>
      <c r="P4" s="1681"/>
      <c r="Q4" s="1681"/>
      <c r="R4" s="1681"/>
      <c r="S4" s="1681"/>
      <c r="T4" s="1681"/>
      <c r="U4" s="1681"/>
      <c r="V4" s="1681"/>
      <c r="W4" s="1681"/>
      <c r="X4" s="1681"/>
      <c r="Y4" s="1681"/>
      <c r="Z4" s="1681"/>
      <c r="AA4" s="1681"/>
      <c r="AB4" s="1681"/>
      <c r="AC4" s="1681"/>
      <c r="AD4" s="1681"/>
      <c r="AE4" s="1681"/>
      <c r="AF4" s="1681"/>
      <c r="AG4" s="1681"/>
      <c r="AH4" s="1681"/>
      <c r="AI4" s="1681"/>
      <c r="AJ4" s="1681"/>
      <c r="AK4" s="1681"/>
      <c r="AL4" s="1681"/>
      <c r="AM4" s="1681"/>
      <c r="AN4" s="1681"/>
      <c r="AO4" s="1681"/>
    </row>
    <row r="5" spans="1:41" s="2631" customFormat="1" ht="15.75" thickBot="1">
      <c r="A5" s="2634" t="s">
        <v>1624</v>
      </c>
      <c r="B5" s="2635">
        <f>项目基本情况!C12</f>
        <v>732.34</v>
      </c>
      <c r="C5" s="1681"/>
      <c r="D5" s="2919" t="s">
        <v>1625</v>
      </c>
      <c r="E5" s="2636">
        <v>366.17</v>
      </c>
      <c r="F5" s="2630"/>
      <c r="G5" s="2963"/>
      <c r="H5" s="2963"/>
      <c r="I5" s="1681"/>
      <c r="J5" s="1681"/>
      <c r="K5" s="1681"/>
      <c r="L5" s="1681"/>
      <c r="M5" s="1681"/>
      <c r="N5" s="1681"/>
      <c r="O5" s="1681"/>
      <c r="P5" s="1681"/>
      <c r="Q5" s="1681"/>
      <c r="R5" s="1681"/>
      <c r="S5" s="1681"/>
      <c r="T5" s="1681"/>
      <c r="U5" s="1681"/>
      <c r="V5" s="1681"/>
      <c r="W5" s="1681"/>
      <c r="X5" s="1681"/>
      <c r="Y5" s="1681"/>
      <c r="Z5" s="1681"/>
      <c r="AA5" s="1681"/>
      <c r="AB5" s="1681"/>
      <c r="AC5" s="1681"/>
      <c r="AD5" s="1681"/>
      <c r="AE5" s="1681"/>
      <c r="AF5" s="1681"/>
      <c r="AG5" s="1681"/>
      <c r="AH5" s="1681"/>
      <c r="AI5" s="1681"/>
      <c r="AJ5" s="1681"/>
      <c r="AK5" s="1681"/>
      <c r="AL5" s="1681"/>
      <c r="AM5" s="1681"/>
      <c r="AN5" s="1681"/>
      <c r="AO5" s="1681"/>
    </row>
    <row r="6" spans="1:41" s="2631" customFormat="1" ht="15.75" thickBot="1">
      <c r="A6" s="2637" t="s">
        <v>1626</v>
      </c>
      <c r="B6" s="2638">
        <f>项目基本情况!C13</f>
        <v>0</v>
      </c>
      <c r="C6" s="1681"/>
      <c r="D6" s="2919" t="s">
        <v>1627</v>
      </c>
      <c r="E6" s="2636"/>
      <c r="F6" s="2630"/>
      <c r="G6" s="2963"/>
      <c r="H6" s="2963"/>
      <c r="I6" s="1681"/>
      <c r="J6" s="1681"/>
      <c r="K6" s="1681"/>
      <c r="L6" s="1681"/>
      <c r="M6" s="1681"/>
      <c r="N6" s="1681"/>
      <c r="O6" s="1681"/>
      <c r="P6" s="1681"/>
      <c r="Q6" s="1681"/>
      <c r="R6" s="1681"/>
      <c r="S6" s="1681"/>
      <c r="T6" s="1681"/>
      <c r="U6" s="1681"/>
      <c r="V6" s="1681"/>
      <c r="W6" s="1681"/>
      <c r="X6" s="1681"/>
      <c r="Y6" s="1681"/>
      <c r="Z6" s="1681"/>
      <c r="AA6" s="1681"/>
      <c r="AB6" s="1681"/>
      <c r="AC6" s="1681"/>
      <c r="AD6" s="1681"/>
      <c r="AE6" s="1681"/>
      <c r="AF6" s="1681"/>
      <c r="AG6" s="1681"/>
      <c r="AH6" s="1681"/>
      <c r="AI6" s="1681"/>
      <c r="AJ6" s="1681"/>
      <c r="AK6" s="1681"/>
      <c r="AL6" s="1681"/>
      <c r="AM6" s="1681"/>
      <c r="AN6" s="1681"/>
      <c r="AO6" s="1681"/>
    </row>
    <row r="7" spans="1:41" s="1681" customFormat="1" ht="15.75" thickBot="1">
      <c r="A7" s="2965"/>
      <c r="D7" s="2966"/>
      <c r="E7" s="2966"/>
      <c r="F7" s="2963"/>
      <c r="G7" s="2963"/>
      <c r="H7" s="2963"/>
    </row>
    <row r="8" spans="1:41" s="1681" customFormat="1" ht="15" hidden="1">
      <c r="A8" s="2965"/>
      <c r="D8" s="2966"/>
      <c r="E8" s="2966"/>
      <c r="F8" s="2963"/>
      <c r="G8" s="2963"/>
      <c r="H8" s="2963"/>
    </row>
    <row r="9" spans="1:41" s="1681" customFormat="1" ht="15" hidden="1" thickBot="1">
      <c r="C9" s="3085"/>
      <c r="D9" s="2963"/>
      <c r="E9" s="2963"/>
      <c r="F9" s="2963"/>
      <c r="G9" s="2963"/>
      <c r="H9" s="2963"/>
    </row>
    <row r="10" spans="1:41" s="2631" customFormat="1" ht="15" thickBot="1">
      <c r="A10" s="2920" t="s">
        <v>1628</v>
      </c>
      <c r="B10" s="2640" t="s">
        <v>2885</v>
      </c>
      <c r="C10" s="1681"/>
      <c r="D10" s="2917" t="s">
        <v>1629</v>
      </c>
      <c r="E10" s="2921" t="s">
        <v>1630</v>
      </c>
      <c r="F10" s="3086" t="s">
        <v>2836</v>
      </c>
      <c r="G10" s="1681"/>
      <c r="H10" s="1681"/>
      <c r="I10" s="1681"/>
      <c r="J10" s="1681"/>
      <c r="K10" s="1681"/>
      <c r="L10" s="1681"/>
      <c r="M10" s="1681"/>
      <c r="N10" s="1681"/>
      <c r="O10" s="1681"/>
      <c r="P10" s="1681"/>
      <c r="Q10" s="1681"/>
      <c r="R10" s="1681"/>
      <c r="S10" s="1681"/>
      <c r="T10" s="1681"/>
      <c r="U10" s="1681"/>
      <c r="V10" s="1681"/>
      <c r="W10" s="1681"/>
      <c r="X10" s="1681"/>
      <c r="Y10" s="1681"/>
      <c r="Z10" s="1681"/>
      <c r="AA10" s="1681"/>
      <c r="AB10" s="1681"/>
      <c r="AC10" s="1681"/>
      <c r="AD10" s="1681"/>
      <c r="AE10" s="1681"/>
      <c r="AF10" s="1681"/>
      <c r="AG10" s="1681"/>
      <c r="AH10" s="1681"/>
      <c r="AI10" s="1681"/>
      <c r="AJ10" s="1681"/>
      <c r="AK10" s="1681"/>
      <c r="AL10" s="1681"/>
      <c r="AM10" s="1681"/>
      <c r="AN10" s="1681"/>
      <c r="AO10" s="1681"/>
    </row>
    <row r="11" spans="1:41" s="2644" customFormat="1" ht="14.25">
      <c r="A11" s="2922" t="s">
        <v>1631</v>
      </c>
      <c r="B11" s="2642">
        <v>70</v>
      </c>
      <c r="C11" s="1681"/>
      <c r="D11" s="2923" t="s">
        <v>1632</v>
      </c>
      <c r="E11" s="2643">
        <v>160</v>
      </c>
      <c r="F11" s="1310" t="s">
        <v>1633</v>
      </c>
      <c r="G11" s="1681"/>
      <c r="H11" s="1681"/>
      <c r="I11" s="1681"/>
      <c r="J11" s="1681"/>
      <c r="K11" s="1681"/>
      <c r="L11" s="2705"/>
      <c r="M11" s="2705"/>
      <c r="N11" s="2705"/>
      <c r="O11" s="2705"/>
      <c r="P11" s="2705"/>
      <c r="Q11" s="2705"/>
      <c r="R11" s="1681"/>
      <c r="S11" s="1681"/>
      <c r="T11" s="1681"/>
      <c r="U11" s="1681"/>
      <c r="V11" s="1681"/>
      <c r="W11" s="1681"/>
      <c r="X11" s="1681"/>
      <c r="Y11" s="1681"/>
      <c r="Z11" s="1681"/>
      <c r="AA11" s="1681"/>
      <c r="AB11" s="1681"/>
      <c r="AC11" s="1681"/>
      <c r="AD11" s="1681"/>
      <c r="AE11" s="1681"/>
      <c r="AF11" s="1681"/>
      <c r="AG11" s="1681"/>
      <c r="AH11" s="1681"/>
      <c r="AI11" s="1681"/>
      <c r="AJ11" s="1681"/>
      <c r="AK11" s="1681"/>
      <c r="AL11" s="1681"/>
      <c r="AM11" s="1681"/>
      <c r="AN11" s="1681"/>
      <c r="AO11" s="1681"/>
    </row>
    <row r="12" spans="1:41" s="2631" customFormat="1" ht="15">
      <c r="A12" s="2924" t="s">
        <v>1634</v>
      </c>
      <c r="B12" s="2645">
        <v>63750</v>
      </c>
      <c r="C12" s="1681"/>
      <c r="D12" s="2924" t="s">
        <v>1635</v>
      </c>
      <c r="E12" s="2646"/>
      <c r="F12" s="1309"/>
      <c r="G12" s="1681"/>
      <c r="H12" s="1681"/>
      <c r="I12" s="1681"/>
      <c r="J12" s="1681"/>
      <c r="K12" s="1681"/>
      <c r="L12" s="1681"/>
      <c r="M12" s="1681"/>
      <c r="N12" s="1681"/>
      <c r="O12" s="1681"/>
      <c r="P12" s="1681"/>
      <c r="Q12" s="1681"/>
      <c r="R12" s="1681"/>
      <c r="S12" s="1681"/>
      <c r="T12" s="1681"/>
      <c r="U12" s="1681"/>
      <c r="V12" s="1681"/>
      <c r="W12" s="1681"/>
      <c r="X12" s="1681"/>
      <c r="Y12" s="1681"/>
      <c r="Z12" s="1681"/>
      <c r="AA12" s="1681"/>
      <c r="AB12" s="1681"/>
      <c r="AC12" s="1681"/>
      <c r="AD12" s="1681"/>
      <c r="AE12" s="1681"/>
      <c r="AF12" s="1681"/>
      <c r="AG12" s="1681"/>
      <c r="AH12" s="1681"/>
      <c r="AI12" s="1681"/>
      <c r="AJ12" s="1681"/>
      <c r="AK12" s="1681"/>
      <c r="AL12" s="1681"/>
      <c r="AM12" s="1681"/>
      <c r="AN12" s="1681"/>
      <c r="AO12" s="1681"/>
    </row>
    <row r="13" spans="1:41" s="2631" customFormat="1" ht="15" thickBot="1">
      <c r="A13" s="2925" t="s">
        <v>1636</v>
      </c>
      <c r="B13" s="2926">
        <f>IF(B12="",B11-(YEAR($B$2)-B27+B24),ROUNDDOWN(MIN((B12-$B$2)/365,B11),2))</f>
        <v>53.19</v>
      </c>
      <c r="C13" s="2961"/>
      <c r="D13" s="2927" t="s">
        <v>1637</v>
      </c>
      <c r="E13" s="2647">
        <f>成本法!C9</f>
        <v>58587</v>
      </c>
      <c r="F13" s="1308" t="s">
        <v>1638</v>
      </c>
      <c r="G13" s="1681"/>
      <c r="H13" s="1681"/>
      <c r="I13" s="1681"/>
      <c r="J13" s="1681"/>
      <c r="K13" s="1681"/>
      <c r="L13" s="1681"/>
      <c r="M13" s="1681"/>
      <c r="N13" s="1681"/>
      <c r="O13" s="1681"/>
      <c r="P13" s="1681"/>
      <c r="Q13" s="1681"/>
      <c r="R13" s="1681"/>
      <c r="S13" s="1681"/>
      <c r="T13" s="1681"/>
      <c r="U13" s="1681"/>
      <c r="V13" s="1681"/>
      <c r="W13" s="1681"/>
      <c r="X13" s="1681"/>
      <c r="Y13" s="1681"/>
      <c r="Z13" s="1681"/>
      <c r="AA13" s="1681"/>
      <c r="AB13" s="1681"/>
      <c r="AC13" s="1681"/>
      <c r="AD13" s="1681"/>
      <c r="AE13" s="1681"/>
      <c r="AF13" s="1681"/>
      <c r="AG13" s="1681"/>
      <c r="AH13" s="1681"/>
      <c r="AI13" s="1681"/>
      <c r="AJ13" s="1681"/>
      <c r="AK13" s="1681"/>
      <c r="AL13" s="1681"/>
      <c r="AM13" s="1681"/>
      <c r="AN13" s="1681"/>
      <c r="AO13" s="1681"/>
    </row>
    <row r="14" spans="1:41" s="2631" customFormat="1" ht="14.25">
      <c r="A14" s="2924" t="s">
        <v>1639</v>
      </c>
      <c r="B14" s="2928">
        <f>IF(ISERROR(ROUND(POWER(1+B15,B11-B13)*(POWER(1+B15,B13)-1)/(POWER(1+B15,B11)-1),3)),0,ROUND(POWER(1+B15,B11-B13)*(POWER(1+B15,B13)-1)/(POWER(1+B15,B11)-1),3))</f>
        <v>0.95699999999999996</v>
      </c>
      <c r="C14" s="1681"/>
      <c r="D14" s="2929" t="s">
        <v>1640</v>
      </c>
      <c r="E14" s="2648">
        <v>160</v>
      </c>
      <c r="F14" s="1309"/>
      <c r="G14" s="1681"/>
      <c r="H14" s="1681"/>
      <c r="I14" s="1681"/>
      <c r="J14" s="1681"/>
      <c r="K14" s="1681"/>
      <c r="L14" s="1681"/>
      <c r="M14" s="1681"/>
      <c r="N14" s="1681"/>
      <c r="O14" s="1681"/>
      <c r="P14" s="1681"/>
      <c r="Q14" s="1681"/>
      <c r="R14" s="1681"/>
      <c r="S14" s="1681"/>
      <c r="T14" s="1681"/>
      <c r="U14" s="1681"/>
      <c r="V14" s="1681"/>
      <c r="W14" s="1681"/>
      <c r="X14" s="1681"/>
      <c r="Y14" s="1681"/>
      <c r="Z14" s="1681"/>
      <c r="AA14" s="1681"/>
      <c r="AB14" s="1681"/>
      <c r="AC14" s="1681"/>
      <c r="AD14" s="1681"/>
      <c r="AE14" s="1681"/>
      <c r="AF14" s="1681"/>
      <c r="AG14" s="1681"/>
      <c r="AH14" s="1681"/>
      <c r="AI14" s="1681"/>
      <c r="AJ14" s="1681"/>
      <c r="AK14" s="1681"/>
      <c r="AL14" s="1681"/>
      <c r="AM14" s="1681"/>
      <c r="AN14" s="1681"/>
      <c r="AO14" s="1681"/>
    </row>
    <row r="15" spans="1:41" s="2631" customFormat="1" ht="14.25">
      <c r="A15" s="2924" t="s">
        <v>1641</v>
      </c>
      <c r="B15" s="2649">
        <v>0.05</v>
      </c>
      <c r="C15" s="2558" t="s">
        <v>2837</v>
      </c>
      <c r="D15" s="2924" t="s">
        <v>1642</v>
      </c>
      <c r="E15" s="2930">
        <f>E14-E16</f>
        <v>160</v>
      </c>
      <c r="F15" s="1309"/>
      <c r="G15" s="1681"/>
      <c r="H15" s="1681"/>
      <c r="I15" s="1681"/>
      <c r="J15" s="1681"/>
      <c r="K15" s="1681"/>
      <c r="L15" s="1681"/>
      <c r="M15" s="1681"/>
      <c r="N15" s="1681"/>
      <c r="O15" s="1681"/>
      <c r="P15" s="1681"/>
      <c r="Q15" s="1681"/>
      <c r="R15" s="1681"/>
      <c r="S15" s="1681"/>
      <c r="T15" s="1681"/>
      <c r="U15" s="1681"/>
      <c r="V15" s="1681"/>
      <c r="W15" s="1681"/>
      <c r="X15" s="1681"/>
      <c r="Y15" s="1681"/>
      <c r="Z15" s="1681"/>
      <c r="AA15" s="1681"/>
      <c r="AB15" s="1681"/>
      <c r="AC15" s="1681"/>
      <c r="AD15" s="1681"/>
      <c r="AE15" s="1681"/>
      <c r="AF15" s="1681"/>
      <c r="AG15" s="1681"/>
      <c r="AH15" s="1681"/>
      <c r="AI15" s="1681"/>
      <c r="AJ15" s="1681"/>
      <c r="AK15" s="1681"/>
      <c r="AL15" s="1681"/>
      <c r="AM15" s="1681"/>
      <c r="AN15" s="1681"/>
      <c r="AO15" s="1681"/>
    </row>
    <row r="16" spans="1:41" s="2631" customFormat="1" ht="15" thickBot="1">
      <c r="A16" s="2924" t="s">
        <v>1643</v>
      </c>
      <c r="B16" s="2649">
        <v>5.5E-2</v>
      </c>
      <c r="C16" s="2558" t="s">
        <v>2838</v>
      </c>
      <c r="D16" s="2931" t="s">
        <v>1644</v>
      </c>
      <c r="E16" s="2650">
        <v>0</v>
      </c>
      <c r="F16" s="1308"/>
      <c r="G16" s="1681"/>
      <c r="H16" s="1681"/>
      <c r="I16" s="1681"/>
      <c r="J16" s="1681"/>
      <c r="K16" s="1681"/>
      <c r="L16" s="1681"/>
      <c r="M16" s="1681"/>
      <c r="N16" s="1681"/>
      <c r="O16" s="1681"/>
      <c r="P16" s="1681"/>
      <c r="Q16" s="1681"/>
      <c r="R16" s="1681"/>
      <c r="S16" s="1681"/>
      <c r="T16" s="1681"/>
      <c r="U16" s="1681"/>
      <c r="V16" s="1681"/>
      <c r="W16" s="1681"/>
      <c r="X16" s="1681"/>
      <c r="Y16" s="1681"/>
      <c r="Z16" s="1681"/>
      <c r="AA16" s="1681"/>
      <c r="AB16" s="1681"/>
      <c r="AC16" s="1681"/>
      <c r="AD16" s="1681"/>
      <c r="AE16" s="1681"/>
      <c r="AF16" s="1681"/>
      <c r="AG16" s="1681"/>
      <c r="AH16" s="1681"/>
      <c r="AI16" s="1681"/>
      <c r="AJ16" s="1681"/>
      <c r="AK16" s="1681"/>
      <c r="AL16" s="1681"/>
      <c r="AM16" s="1681"/>
      <c r="AN16" s="1681"/>
      <c r="AO16" s="1681"/>
    </row>
    <row r="17" spans="1:41" s="2631" customFormat="1" ht="15" thickBot="1">
      <c r="A17" s="2931" t="s">
        <v>2835</v>
      </c>
      <c r="B17" s="3084">
        <v>0.08</v>
      </c>
      <c r="C17" s="2558" t="s">
        <v>2839</v>
      </c>
      <c r="D17" s="2920" t="s">
        <v>1646</v>
      </c>
      <c r="E17" s="2651">
        <v>3200</v>
      </c>
      <c r="F17" s="947"/>
      <c r="G17" s="1681"/>
      <c r="H17" s="1681"/>
      <c r="I17" s="1681"/>
      <c r="J17" s="1681"/>
      <c r="K17" s="1681"/>
      <c r="L17" s="1681"/>
      <c r="M17" s="1681"/>
      <c r="N17" s="1681"/>
      <c r="O17" s="1681"/>
      <c r="P17" s="1681"/>
      <c r="Q17" s="1681"/>
      <c r="R17" s="1681"/>
      <c r="S17" s="1681"/>
      <c r="T17" s="1681"/>
      <c r="U17" s="1681"/>
      <c r="V17" s="1681"/>
      <c r="W17" s="1681"/>
      <c r="X17" s="1681"/>
      <c r="Y17" s="1681"/>
      <c r="Z17" s="1681"/>
      <c r="AA17" s="1681"/>
      <c r="AB17" s="1681"/>
      <c r="AC17" s="1681"/>
      <c r="AD17" s="1681"/>
      <c r="AE17" s="1681"/>
      <c r="AF17" s="1681"/>
      <c r="AG17" s="1681"/>
      <c r="AH17" s="1681"/>
      <c r="AI17" s="1681"/>
      <c r="AJ17" s="1681"/>
      <c r="AK17" s="1681"/>
      <c r="AL17" s="1681"/>
      <c r="AM17" s="1681"/>
      <c r="AN17" s="1681"/>
      <c r="AO17" s="1681"/>
    </row>
    <row r="18" spans="1:41" s="2631" customFormat="1" ht="15" thickBot="1">
      <c r="A18" s="2932" t="s">
        <v>1645</v>
      </c>
      <c r="B18" s="3092">
        <v>8.5000000000000006E-2</v>
      </c>
      <c r="C18" s="1681"/>
      <c r="D18" s="2933" t="str">
        <f>IF(B26=0,"建安总额","在建建安")</f>
        <v>建安总额</v>
      </c>
      <c r="E18" s="2934">
        <f>ROUND(B5*E17*IF(B26=0,1,E20),0)</f>
        <v>2343488</v>
      </c>
      <c r="F18" s="2652">
        <f>ROUND(E5*E17*IF(B26=0,1,E20),0)</f>
        <v>1171744</v>
      </c>
      <c r="G18" s="1681"/>
      <c r="H18" s="1681"/>
      <c r="I18" s="1681"/>
      <c r="J18" s="1681"/>
      <c r="K18" s="1681"/>
      <c r="L18" s="1681"/>
      <c r="M18" s="1681"/>
      <c r="N18" s="1681"/>
      <c r="O18" s="1681"/>
      <c r="P18" s="1681"/>
      <c r="Q18" s="1681"/>
      <c r="R18" s="1681"/>
      <c r="S18" s="1681"/>
      <c r="T18" s="1681"/>
      <c r="U18" s="1681"/>
      <c r="V18" s="1681"/>
      <c r="W18" s="1681"/>
      <c r="X18" s="1681"/>
      <c r="Y18" s="1681"/>
      <c r="Z18" s="1681"/>
      <c r="AA18" s="1681"/>
      <c r="AB18" s="1681"/>
      <c r="AC18" s="1681"/>
      <c r="AD18" s="1681"/>
      <c r="AE18" s="1681"/>
      <c r="AF18" s="1681"/>
      <c r="AG18" s="1681"/>
      <c r="AH18" s="1681"/>
      <c r="AI18" s="1681"/>
      <c r="AJ18" s="1681"/>
      <c r="AK18" s="1681"/>
      <c r="AL18" s="1681"/>
      <c r="AM18" s="1681"/>
      <c r="AN18" s="1681"/>
      <c r="AO18" s="1681"/>
    </row>
    <row r="19" spans="1:41" s="2631" customFormat="1" ht="15" thickBot="1">
      <c r="A19" s="1309"/>
      <c r="B19" s="1309"/>
      <c r="C19" s="1681"/>
      <c r="D19" s="2933" t="str">
        <f>IF(B26=0,"——","续建建安")</f>
        <v>——</v>
      </c>
      <c r="E19" s="2934" t="str">
        <f>IF(B26=0,"——",ROUND(B5*E17*(1-E20),0))</f>
        <v>——</v>
      </c>
      <c r="F19" s="2652" t="str">
        <f>IF(B26=0,"——",ROUND(E5*E17*(1-E20),0))</f>
        <v>——</v>
      </c>
      <c r="G19" s="1681"/>
      <c r="H19" s="1681"/>
      <c r="I19" s="1681"/>
      <c r="J19" s="1681"/>
      <c r="K19" s="1681"/>
      <c r="L19" s="1681"/>
      <c r="M19" s="1681"/>
      <c r="N19" s="1681"/>
      <c r="O19" s="1681"/>
      <c r="P19" s="1681"/>
      <c r="Q19" s="1681"/>
      <c r="R19" s="1681"/>
      <c r="S19" s="1681"/>
      <c r="T19" s="1681"/>
      <c r="U19" s="1681"/>
      <c r="V19" s="1681"/>
      <c r="W19" s="1681"/>
      <c r="X19" s="1681"/>
      <c r="Y19" s="1681"/>
      <c r="Z19" s="1681"/>
      <c r="AA19" s="1681"/>
      <c r="AB19" s="1681"/>
      <c r="AC19" s="1681"/>
      <c r="AD19" s="1681"/>
      <c r="AE19" s="1681"/>
      <c r="AF19" s="1681"/>
      <c r="AG19" s="1681"/>
      <c r="AH19" s="1681"/>
      <c r="AI19" s="1681"/>
      <c r="AJ19" s="1681"/>
      <c r="AK19" s="1681"/>
      <c r="AL19" s="1681"/>
      <c r="AM19" s="1681"/>
      <c r="AN19" s="1681"/>
      <c r="AO19" s="1681"/>
    </row>
    <row r="20" spans="1:41" s="2631" customFormat="1" ht="15" thickBot="1">
      <c r="A20" s="2935" t="s">
        <v>1647</v>
      </c>
      <c r="B20" s="1309"/>
      <c r="C20" s="1681"/>
      <c r="D20" s="2937" t="str">
        <f>IF(B26=0,"成新率","工程进度")</f>
        <v>成新率</v>
      </c>
      <c r="E20" s="2654">
        <f>G22</f>
        <v>0.82</v>
      </c>
      <c r="F20" s="947"/>
      <c r="G20" s="1681">
        <f>ROUND(1-(2021-2008)/60,2)</f>
        <v>0.78</v>
      </c>
      <c r="H20" s="1681"/>
      <c r="I20" s="1681"/>
      <c r="J20" s="1681"/>
      <c r="K20" s="1681"/>
      <c r="L20" s="1681"/>
      <c r="M20" s="1681"/>
      <c r="N20" s="1681"/>
      <c r="O20" s="1681"/>
      <c r="P20" s="1681"/>
      <c r="Q20" s="1681"/>
      <c r="R20" s="1681"/>
      <c r="S20" s="1681"/>
      <c r="T20" s="1681"/>
      <c r="U20" s="1681"/>
      <c r="V20" s="1681"/>
      <c r="W20" s="1681"/>
      <c r="X20" s="1681"/>
      <c r="Y20" s="1681"/>
      <c r="Z20" s="1681"/>
      <c r="AA20" s="1681"/>
      <c r="AB20" s="1681"/>
      <c r="AC20" s="1681"/>
      <c r="AD20" s="1681"/>
      <c r="AE20" s="1681"/>
      <c r="AF20" s="1681"/>
      <c r="AG20" s="1681"/>
      <c r="AH20" s="1681"/>
      <c r="AI20" s="1681"/>
      <c r="AJ20" s="1681"/>
      <c r="AK20" s="1681"/>
      <c r="AL20" s="1681"/>
      <c r="AM20" s="1681"/>
      <c r="AN20" s="1681"/>
      <c r="AO20" s="1681"/>
    </row>
    <row r="21" spans="1:41" s="2631" customFormat="1" ht="14.25">
      <c r="A21" s="2936" t="s">
        <v>1648</v>
      </c>
      <c r="B21" s="2653">
        <v>0</v>
      </c>
      <c r="C21" s="1681"/>
      <c r="D21" s="2924" t="s">
        <v>1650</v>
      </c>
      <c r="E21" s="2656">
        <v>0.04</v>
      </c>
      <c r="F21" s="2667" t="s">
        <v>2845</v>
      </c>
      <c r="G21" s="1681">
        <v>0.85</v>
      </c>
      <c r="H21" s="1681"/>
      <c r="I21" s="1681"/>
      <c r="J21" s="1681"/>
      <c r="K21" s="1681"/>
      <c r="L21" s="1681"/>
      <c r="M21" s="1681"/>
      <c r="N21" s="1681"/>
      <c r="O21" s="1681"/>
      <c r="P21" s="1681"/>
      <c r="Q21" s="1681"/>
      <c r="R21" s="1681"/>
      <c r="S21" s="1681"/>
      <c r="T21" s="1681"/>
      <c r="U21" s="1681"/>
      <c r="V21" s="1681"/>
      <c r="W21" s="1681"/>
      <c r="X21" s="1681"/>
      <c r="Y21" s="1681"/>
      <c r="Z21" s="1681"/>
      <c r="AA21" s="1681"/>
      <c r="AB21" s="1681"/>
      <c r="AC21" s="1681"/>
      <c r="AD21" s="1681"/>
      <c r="AE21" s="1681"/>
      <c r="AF21" s="1681"/>
      <c r="AG21" s="1681"/>
      <c r="AH21" s="1681"/>
      <c r="AI21" s="1681"/>
      <c r="AJ21" s="1681"/>
      <c r="AK21" s="1681"/>
      <c r="AL21" s="1681"/>
      <c r="AM21" s="1681"/>
      <c r="AN21" s="1681"/>
      <c r="AO21" s="1681"/>
    </row>
    <row r="22" spans="1:41" s="2631" customFormat="1" ht="14.25">
      <c r="A22" s="2938" t="s">
        <v>1649</v>
      </c>
      <c r="B22" s="2655">
        <v>2</v>
      </c>
      <c r="C22" s="1681"/>
      <c r="D22" s="2924" t="s">
        <v>1652</v>
      </c>
      <c r="E22" s="2659">
        <v>0.05</v>
      </c>
      <c r="F22" s="2667" t="s">
        <v>2843</v>
      </c>
      <c r="G22" s="1681">
        <f>ROUND((G20+G21)/2,2)</f>
        <v>0.82</v>
      </c>
      <c r="H22" s="1681"/>
      <c r="I22" s="1681"/>
      <c r="J22" s="1681"/>
      <c r="K22" s="1681"/>
      <c r="L22" s="1681"/>
      <c r="M22" s="1681"/>
      <c r="N22" s="1681"/>
      <c r="O22" s="1681"/>
      <c r="P22" s="1681"/>
      <c r="Q22" s="1681"/>
      <c r="R22" s="1681"/>
      <c r="S22" s="1681"/>
      <c r="T22" s="1681"/>
      <c r="U22" s="1681"/>
      <c r="V22" s="1681"/>
      <c r="W22" s="1681"/>
      <c r="X22" s="1681"/>
      <c r="Y22" s="1681"/>
      <c r="Z22" s="1681"/>
      <c r="AA22" s="1681"/>
      <c r="AB22" s="1681"/>
      <c r="AC22" s="1681"/>
      <c r="AD22" s="1681"/>
      <c r="AE22" s="1681"/>
      <c r="AF22" s="1681"/>
      <c r="AG22" s="1681"/>
      <c r="AH22" s="1681"/>
      <c r="AI22" s="1681"/>
      <c r="AJ22" s="1681"/>
      <c r="AK22" s="1681"/>
      <c r="AL22" s="1681"/>
      <c r="AM22" s="1681"/>
      <c r="AN22" s="1681"/>
      <c r="AO22" s="1681"/>
    </row>
    <row r="23" spans="1:41" s="2631" customFormat="1" ht="14.25">
      <c r="A23" s="2939" t="s">
        <v>1651</v>
      </c>
      <c r="B23" s="2658">
        <v>2</v>
      </c>
      <c r="C23" s="1681"/>
      <c r="D23" s="2924" t="s">
        <v>1654</v>
      </c>
      <c r="E23" s="2646">
        <v>200</v>
      </c>
      <c r="F23" s="2667"/>
      <c r="G23" s="1681"/>
      <c r="H23" s="1681"/>
      <c r="I23" s="1681"/>
      <c r="J23" s="1681"/>
      <c r="K23" s="1681"/>
      <c r="L23" s="1681"/>
      <c r="M23" s="1681"/>
      <c r="N23" s="1681"/>
      <c r="O23" s="1681"/>
      <c r="P23" s="1681"/>
      <c r="Q23" s="1681"/>
      <c r="R23" s="1681"/>
      <c r="S23" s="1681"/>
      <c r="T23" s="1681"/>
      <c r="U23" s="1681"/>
      <c r="V23" s="1681"/>
      <c r="W23" s="1681"/>
      <c r="X23" s="1681"/>
      <c r="Y23" s="1681"/>
      <c r="Z23" s="1681"/>
      <c r="AA23" s="1681"/>
      <c r="AB23" s="1681"/>
      <c r="AC23" s="1681"/>
      <c r="AD23" s="1681"/>
      <c r="AE23" s="1681"/>
      <c r="AF23" s="1681"/>
      <c r="AG23" s="1681"/>
      <c r="AH23" s="1681"/>
      <c r="AI23" s="1681"/>
      <c r="AJ23" s="1681"/>
      <c r="AK23" s="1681"/>
      <c r="AL23" s="1681"/>
      <c r="AM23" s="1681"/>
      <c r="AN23" s="1681"/>
      <c r="AO23" s="1681"/>
    </row>
    <row r="24" spans="1:41" s="2631" customFormat="1" ht="15" thickBot="1">
      <c r="A24" s="2940" t="s">
        <v>1653</v>
      </c>
      <c r="B24" s="2941">
        <f>B21+B22</f>
        <v>2</v>
      </c>
      <c r="C24" s="1681"/>
      <c r="D24" s="2931" t="s">
        <v>1656</v>
      </c>
      <c r="E24" s="2660">
        <v>1.4999999999999999E-2</v>
      </c>
      <c r="F24" s="2667" t="s">
        <v>2846</v>
      </c>
      <c r="G24" s="1681"/>
      <c r="H24" s="1681"/>
      <c r="I24" s="1681"/>
      <c r="J24" s="1681"/>
      <c r="K24" s="1681"/>
      <c r="L24" s="1681"/>
      <c r="M24" s="1681"/>
      <c r="N24" s="1681"/>
      <c r="O24" s="1681"/>
      <c r="P24" s="1681"/>
      <c r="Q24" s="1681"/>
      <c r="R24" s="1681"/>
      <c r="S24" s="1681"/>
      <c r="T24" s="1681"/>
      <c r="U24" s="1681"/>
      <c r="V24" s="1681"/>
      <c r="W24" s="1681"/>
      <c r="X24" s="1681"/>
      <c r="Y24" s="1681"/>
      <c r="Z24" s="1681"/>
      <c r="AA24" s="1681"/>
      <c r="AB24" s="1681"/>
      <c r="AC24" s="1681"/>
      <c r="AD24" s="1681"/>
      <c r="AE24" s="1681"/>
      <c r="AF24" s="1681"/>
      <c r="AG24" s="1681"/>
      <c r="AH24" s="1681"/>
      <c r="AI24" s="1681"/>
      <c r="AJ24" s="1681"/>
      <c r="AK24" s="1681"/>
      <c r="AL24" s="1681"/>
      <c r="AM24" s="1681"/>
      <c r="AN24" s="1681"/>
      <c r="AO24" s="1681"/>
    </row>
    <row r="25" spans="1:41" ht="14.25">
      <c r="A25" s="2942" t="s">
        <v>1655</v>
      </c>
      <c r="B25" s="2943">
        <f>B21+B23</f>
        <v>2</v>
      </c>
      <c r="C25" s="1681"/>
      <c r="D25" s="2923" t="s">
        <v>1658</v>
      </c>
      <c r="E25" s="2656">
        <v>0.02</v>
      </c>
      <c r="F25" s="2667" t="s">
        <v>2844</v>
      </c>
      <c r="I25" s="2962"/>
    </row>
    <row r="26" spans="1:41" ht="15" thickBot="1">
      <c r="A26" s="2940" t="s">
        <v>1657</v>
      </c>
      <c r="B26" s="2944">
        <f>B22-B23</f>
        <v>0</v>
      </c>
      <c r="D26" s="2924" t="s">
        <v>1660</v>
      </c>
      <c r="E26" s="2659">
        <v>0.02</v>
      </c>
      <c r="F26" s="2667" t="s">
        <v>2844</v>
      </c>
      <c r="G26" s="2963"/>
      <c r="H26" s="2963"/>
      <c r="I26" s="1681"/>
      <c r="J26" s="1681"/>
      <c r="K26" s="1681"/>
      <c r="L26" s="1681"/>
      <c r="M26" s="1681"/>
      <c r="N26" s="1681"/>
    </row>
    <row r="27" spans="1:41" ht="15.75" thickBot="1">
      <c r="A27" s="2945" t="s">
        <v>1659</v>
      </c>
      <c r="B27" s="2661">
        <v>2008</v>
      </c>
      <c r="C27" s="1681"/>
      <c r="D27" s="3151" t="s">
        <v>2920</v>
      </c>
      <c r="E27" s="2946">
        <f ca="1">IF(D27="利息：取LPR",存贷款利率!G1,存贷款利率!G1+F27)</f>
        <v>4.3499999999999997E-2</v>
      </c>
      <c r="F27" s="3152">
        <v>5.0000000000000001E-3</v>
      </c>
      <c r="G27" s="2963"/>
      <c r="H27" s="2963"/>
      <c r="K27" s="1681"/>
      <c r="N27" s="1681"/>
    </row>
    <row r="28" spans="1:41" ht="15" thickBot="1">
      <c r="A28" s="947"/>
      <c r="B28" s="947"/>
      <c r="D28" s="2927" t="s">
        <v>1662</v>
      </c>
      <c r="E28" s="2663">
        <v>0.2</v>
      </c>
      <c r="G28" s="2963"/>
      <c r="H28" s="2963"/>
      <c r="K28" s="1681"/>
      <c r="N28" s="1681"/>
    </row>
    <row r="29" spans="1:41" ht="14.25">
      <c r="A29" s="2947" t="s">
        <v>1661</v>
      </c>
      <c r="B29" s="2662" t="s">
        <v>2899</v>
      </c>
      <c r="D29" s="2929" t="s">
        <v>1663</v>
      </c>
      <c r="E29" s="2948">
        <f>E30+E31</f>
        <v>5.6000000000000001E-2</v>
      </c>
      <c r="F29" s="1308"/>
      <c r="G29" s="2963"/>
      <c r="H29" s="2963"/>
      <c r="K29" s="1681"/>
      <c r="N29" s="1681"/>
    </row>
    <row r="30" spans="1:41" ht="14.25">
      <c r="A30" s="2924" t="str">
        <f>IF(B29="租赁期内按合同租金","合同租金","市场租金")</f>
        <v>市场租金</v>
      </c>
      <c r="B30" s="2664"/>
      <c r="D30" s="2931" t="s">
        <v>1665</v>
      </c>
      <c r="E30" s="2665">
        <v>0.05</v>
      </c>
      <c r="F30" s="2950">
        <f>IF(B2&lt;DATE(2016,5,1),0,E30)</f>
        <v>0.05</v>
      </c>
      <c r="G30" s="2963"/>
      <c r="H30" s="2963"/>
      <c r="K30" s="1681"/>
      <c r="N30" s="1681"/>
    </row>
    <row r="31" spans="1:41" ht="14.25">
      <c r="A31" s="2924" t="s">
        <v>1664</v>
      </c>
      <c r="B31" s="2949">
        <f ca="1">存贷款利率!I1</f>
        <v>1.4999999999999999E-2</v>
      </c>
      <c r="D31" s="2931" t="s">
        <v>1667</v>
      </c>
      <c r="E31" s="2951">
        <f>E30*(E32+E33+E34)+E35</f>
        <v>6.000000000000001E-3</v>
      </c>
      <c r="F31" s="1308"/>
      <c r="G31" s="2963"/>
      <c r="H31" s="2963"/>
      <c r="K31" s="1681"/>
      <c r="N31" s="1681"/>
    </row>
    <row r="32" spans="1:41" ht="14.25">
      <c r="A32" s="2924" t="s">
        <v>1666</v>
      </c>
      <c r="B32" s="2649">
        <v>2.5000000000000001E-2</v>
      </c>
      <c r="D32" s="2931" t="s">
        <v>1669</v>
      </c>
      <c r="E32" s="2666">
        <v>7.0000000000000007E-2</v>
      </c>
      <c r="F32" s="2667" t="s">
        <v>2730</v>
      </c>
      <c r="G32" s="2963"/>
      <c r="H32" s="2963"/>
      <c r="K32" s="1681"/>
      <c r="L32" s="1681"/>
      <c r="M32" s="1681"/>
      <c r="N32" s="1681"/>
    </row>
    <row r="33" spans="1:14" ht="14.25">
      <c r="A33" s="2924" t="s">
        <v>1668</v>
      </c>
      <c r="B33" s="2649">
        <v>0.1</v>
      </c>
      <c r="D33" s="2931" t="s">
        <v>1671</v>
      </c>
      <c r="E33" s="2665">
        <v>0.03</v>
      </c>
      <c r="F33" s="1307" t="s">
        <v>1672</v>
      </c>
      <c r="G33" s="2963"/>
      <c r="H33" s="2963"/>
      <c r="K33" s="1681"/>
      <c r="L33" s="1681"/>
      <c r="M33" s="1681"/>
      <c r="N33" s="1681"/>
    </row>
    <row r="34" spans="1:14" s="2669" customFormat="1" ht="14.25">
      <c r="A34" s="2924" t="s">
        <v>1670</v>
      </c>
      <c r="B34" s="2952">
        <f>收益法!J54</f>
        <v>53.19</v>
      </c>
      <c r="D34" s="2931" t="s">
        <v>1673</v>
      </c>
      <c r="E34" s="2665">
        <v>0.02</v>
      </c>
      <c r="F34" s="1307" t="s">
        <v>1674</v>
      </c>
      <c r="G34" s="2963"/>
      <c r="H34" s="2963"/>
      <c r="I34" s="1681"/>
      <c r="J34" s="1681"/>
      <c r="K34" s="1681"/>
      <c r="L34" s="1681"/>
      <c r="M34" s="1681"/>
      <c r="N34" s="1681"/>
    </row>
    <row r="35" spans="1:14" s="2669" customFormat="1" ht="15" thickBot="1">
      <c r="A35" s="2931" t="str">
        <f>IF(B29="租赁期内按合同租金","剩余租赁期","——")</f>
        <v>——</v>
      </c>
      <c r="B35" s="2668"/>
      <c r="D35" s="2927" t="s">
        <v>1676</v>
      </c>
      <c r="E35" s="2671"/>
      <c r="F35" s="1310" t="s">
        <v>1677</v>
      </c>
      <c r="G35" s="2963"/>
      <c r="H35" s="2963"/>
      <c r="I35" s="1681"/>
      <c r="J35" s="1681"/>
      <c r="K35" s="1681"/>
      <c r="L35" s="1681"/>
      <c r="M35" s="1681"/>
      <c r="N35" s="1681"/>
    </row>
    <row r="36" spans="1:14" s="2669" customFormat="1" ht="15">
      <c r="A36" s="2953" t="s">
        <v>1675</v>
      </c>
      <c r="B36" s="2954"/>
      <c r="D36" s="2955" t="s">
        <v>1678</v>
      </c>
      <c r="E36" s="2673">
        <v>0.03</v>
      </c>
      <c r="F36" s="1309" t="s">
        <v>1679</v>
      </c>
      <c r="G36" s="2963"/>
      <c r="H36" s="2963"/>
      <c r="I36" s="1681"/>
      <c r="J36" s="1681"/>
      <c r="K36" s="1681"/>
      <c r="L36" s="1681"/>
      <c r="M36" s="1681"/>
      <c r="N36" s="1681"/>
    </row>
    <row r="37" spans="1:14" s="2669" customFormat="1" ht="15" thickBot="1">
      <c r="A37" s="2929" t="str">
        <f>IF(B29="租赁期内按合同租金","租金","——")</f>
        <v>——</v>
      </c>
      <c r="B37" s="2672"/>
      <c r="D37" s="2931" t="s">
        <v>1680</v>
      </c>
      <c r="E37" s="2665">
        <v>5.0000000000000001E-4</v>
      </c>
      <c r="F37" s="1309" t="s">
        <v>1681</v>
      </c>
      <c r="G37" s="2963"/>
      <c r="H37" s="2963"/>
      <c r="I37" s="1681"/>
      <c r="J37" s="1681"/>
      <c r="K37" s="1681"/>
      <c r="L37" s="1681"/>
      <c r="M37" s="1681"/>
      <c r="N37" s="1681"/>
    </row>
    <row r="38" spans="1:14" s="2669" customFormat="1" ht="14.25">
      <c r="A38" s="2924" t="str">
        <f>IF(B29="租赁期内按合同租金","年租金增长率","——")</f>
        <v>——</v>
      </c>
      <c r="B38" s="2649"/>
      <c r="D38" s="2956" t="s">
        <v>1682</v>
      </c>
      <c r="E38" s="2957">
        <v>1.2E-2</v>
      </c>
      <c r="F38" s="1309"/>
      <c r="G38" s="2962"/>
      <c r="H38" s="2962"/>
      <c r="I38" s="2963"/>
      <c r="J38" s="1681"/>
      <c r="K38" s="1681"/>
      <c r="L38" s="1681"/>
      <c r="M38" s="1681"/>
      <c r="N38" s="1681"/>
    </row>
    <row r="39" spans="1:14" s="2669" customFormat="1" ht="15" thickBot="1">
      <c r="A39" s="2924" t="str">
        <f>IF(B29="租赁期内按合同租金","空置率","——")</f>
        <v>——</v>
      </c>
      <c r="B39" s="2649"/>
      <c r="D39" s="2927" t="s">
        <v>1683</v>
      </c>
      <c r="E39" s="2958">
        <v>0.12</v>
      </c>
      <c r="F39" s="1309"/>
      <c r="G39" s="2963"/>
      <c r="H39" s="2963"/>
      <c r="I39" s="1681"/>
      <c r="J39" s="1681"/>
      <c r="K39" s="1681"/>
      <c r="L39" s="1681"/>
      <c r="M39" s="1681"/>
      <c r="N39" s="1681"/>
    </row>
    <row r="40" spans="1:14" ht="14.25">
      <c r="A40" s="2924" t="str">
        <f>IF(B29="租赁期内按合同租金","成新率","——")</f>
        <v>——</v>
      </c>
      <c r="B40" s="2649"/>
      <c r="D40" s="2956" t="s">
        <v>1684</v>
      </c>
      <c r="E40" s="2960">
        <f>SUMIF(D42:D51,E41,E42:E51)</f>
        <v>18</v>
      </c>
      <c r="F40" s="1309"/>
      <c r="G40" s="2963"/>
      <c r="H40" s="2963"/>
      <c r="I40" s="1681"/>
      <c r="J40" s="1681"/>
      <c r="K40" s="1681"/>
      <c r="L40" s="1681"/>
      <c r="M40" s="1681"/>
      <c r="N40" s="1681"/>
    </row>
    <row r="41" spans="1:14" ht="15" thickBot="1">
      <c r="A41" s="2931" t="str">
        <f>IF(B29="租赁期内按合同租金","租赁期外收益期","——")</f>
        <v>——</v>
      </c>
      <c r="B41" s="2959" t="str">
        <f>IF(B29="租赁期内按合同租金",B34-B35,"——")</f>
        <v>——</v>
      </c>
      <c r="D41" s="2924" t="s">
        <v>1686</v>
      </c>
      <c r="E41" s="2675" t="s">
        <v>399</v>
      </c>
      <c r="F41" s="1309" t="s">
        <v>1687</v>
      </c>
      <c r="G41" s="1767" t="s">
        <v>1688</v>
      </c>
      <c r="H41" s="2963"/>
      <c r="I41" s="1681"/>
      <c r="J41" s="1681"/>
      <c r="K41" s="1681"/>
      <c r="L41" s="1681"/>
      <c r="M41" s="1681"/>
      <c r="N41" s="1681"/>
    </row>
    <row r="42" spans="1:14" ht="14.25">
      <c r="A42" s="2923" t="s">
        <v>1685</v>
      </c>
      <c r="B42" s="2674"/>
      <c r="D42" s="2677" t="s">
        <v>1690</v>
      </c>
      <c r="E42" s="2664"/>
      <c r="F42" s="1309">
        <v>30</v>
      </c>
      <c r="G42" s="2963"/>
      <c r="H42" s="2963"/>
      <c r="I42" s="1681"/>
      <c r="J42" s="1681"/>
      <c r="K42" s="1681"/>
      <c r="L42" s="1681"/>
      <c r="M42" s="1681"/>
      <c r="N42" s="1681"/>
    </row>
    <row r="43" spans="1:14" ht="14.25">
      <c r="A43" s="2924" t="s">
        <v>1689</v>
      </c>
      <c r="B43" s="2676">
        <v>365</v>
      </c>
      <c r="D43" s="2677" t="s">
        <v>1692</v>
      </c>
      <c r="E43" s="2664"/>
      <c r="F43" s="1309">
        <v>24</v>
      </c>
      <c r="G43" s="2963"/>
      <c r="H43" s="2963"/>
      <c r="I43" s="1681"/>
      <c r="J43" s="1681"/>
      <c r="K43" s="1681"/>
      <c r="L43" s="1681"/>
      <c r="M43" s="1681"/>
      <c r="N43" s="1681"/>
    </row>
    <row r="44" spans="1:14" ht="14.25">
      <c r="A44" s="2924" t="s">
        <v>1691</v>
      </c>
      <c r="B44" s="2664"/>
      <c r="D44" s="2677" t="s">
        <v>1694</v>
      </c>
      <c r="E44" s="2664">
        <v>18</v>
      </c>
      <c r="F44" s="1309">
        <v>18</v>
      </c>
      <c r="G44" s="2669"/>
      <c r="H44" s="2669"/>
      <c r="I44" s="2963"/>
      <c r="J44" s="1681"/>
      <c r="K44" s="1681"/>
      <c r="L44" s="1681"/>
      <c r="M44" s="1681"/>
      <c r="N44" s="1681"/>
    </row>
    <row r="45" spans="1:14" ht="14.25">
      <c r="A45" s="2924" t="s">
        <v>1693</v>
      </c>
      <c r="B45" s="2678">
        <v>1.4999999999999999E-2</v>
      </c>
      <c r="C45" s="2558" t="s">
        <v>2842</v>
      </c>
      <c r="D45" s="2677" t="s">
        <v>1696</v>
      </c>
      <c r="E45" s="2664"/>
      <c r="F45" s="1309">
        <v>12</v>
      </c>
      <c r="G45" s="2669"/>
      <c r="H45" s="2669"/>
      <c r="M45" s="1681"/>
      <c r="N45" s="1681"/>
    </row>
    <row r="46" spans="1:14" ht="14.25">
      <c r="A46" s="2924" t="s">
        <v>1695</v>
      </c>
      <c r="B46" s="2679">
        <v>1.5E-3</v>
      </c>
      <c r="C46" s="2558" t="s">
        <v>2840</v>
      </c>
      <c r="D46" s="2677" t="s">
        <v>1458</v>
      </c>
      <c r="E46" s="2664"/>
      <c r="F46" s="1309">
        <v>3</v>
      </c>
      <c r="G46" s="2669"/>
      <c r="H46" s="2669"/>
      <c r="M46" s="1681"/>
      <c r="N46" s="1681"/>
    </row>
    <row r="47" spans="1:14" ht="15" thickBot="1">
      <c r="A47" s="2927" t="s">
        <v>1697</v>
      </c>
      <c r="B47" s="2680">
        <v>0.02</v>
      </c>
      <c r="C47" s="2558" t="s">
        <v>2841</v>
      </c>
      <c r="D47" s="2677" t="s">
        <v>1698</v>
      </c>
      <c r="E47" s="2664"/>
      <c r="F47" s="1309">
        <v>1.5</v>
      </c>
      <c r="G47" s="2669"/>
      <c r="H47" s="2669"/>
      <c r="M47" s="1681"/>
      <c r="N47" s="1681"/>
    </row>
    <row r="48" spans="1:14" ht="14.25">
      <c r="A48" s="2669"/>
      <c r="B48" s="2669"/>
      <c r="D48" s="2677" t="s">
        <v>1699</v>
      </c>
      <c r="E48" s="2664"/>
      <c r="F48" s="1309"/>
      <c r="G48" s="2669"/>
      <c r="H48" s="2669"/>
      <c r="M48" s="1681"/>
      <c r="N48" s="1681"/>
    </row>
    <row r="49" spans="1:41" ht="14.25">
      <c r="A49" s="2669"/>
      <c r="B49" s="2669"/>
      <c r="D49" s="2677" t="s">
        <v>1700</v>
      </c>
      <c r="E49" s="2664"/>
      <c r="F49" s="1309"/>
      <c r="G49" s="2669"/>
      <c r="H49" s="2669"/>
      <c r="M49" s="1681"/>
      <c r="N49" s="1681"/>
    </row>
    <row r="50" spans="1:41" ht="14.25">
      <c r="A50" s="2669"/>
      <c r="B50" s="2669"/>
      <c r="D50" s="2677" t="s">
        <v>1701</v>
      </c>
      <c r="E50" s="2664"/>
      <c r="F50" s="1309"/>
      <c r="G50" s="2669"/>
      <c r="H50" s="2669"/>
      <c r="M50" s="1681"/>
      <c r="N50" s="1681"/>
    </row>
    <row r="51" spans="1:41" s="947" customFormat="1" ht="15" thickBot="1">
      <c r="A51" s="2669"/>
      <c r="B51" s="2669"/>
      <c r="C51" s="2669"/>
      <c r="D51" s="2681" t="s">
        <v>1702</v>
      </c>
      <c r="E51" s="2682"/>
      <c r="F51" s="1309"/>
      <c r="G51" s="2669"/>
      <c r="H51" s="2669"/>
      <c r="I51" s="2669"/>
      <c r="J51" s="2669"/>
      <c r="K51" s="2669"/>
      <c r="L51" s="2669"/>
      <c r="M51" s="1681"/>
      <c r="N51" s="1681"/>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1"/>
      <c r="J52" s="1681"/>
      <c r="K52" s="1681"/>
      <c r="L52" s="1681"/>
      <c r="M52" s="1681"/>
      <c r="N52" s="1681"/>
    </row>
    <row r="53" spans="1:41" s="2669" customFormat="1" ht="14.25">
      <c r="D53" s="2963"/>
      <c r="E53" s="2963"/>
      <c r="F53" s="2963"/>
      <c r="G53" s="2963"/>
      <c r="H53" s="2963"/>
      <c r="I53" s="1681"/>
      <c r="J53" s="1681"/>
      <c r="K53" s="1681"/>
      <c r="L53" s="1681"/>
      <c r="M53" s="1681"/>
      <c r="N53" s="1681"/>
    </row>
    <row r="54" spans="1:41" s="2669" customFormat="1" ht="14.25">
      <c r="D54" s="2963"/>
      <c r="E54" s="2963"/>
      <c r="F54" s="2963"/>
      <c r="G54" s="2963"/>
      <c r="H54" s="2963"/>
      <c r="I54" s="1681"/>
      <c r="J54" s="1681"/>
      <c r="K54" s="1681"/>
      <c r="L54" s="1681"/>
      <c r="M54" s="1681"/>
      <c r="N54" s="1681"/>
    </row>
    <row r="55" spans="1:41" s="2669" customFormat="1" ht="14.25">
      <c r="D55" s="2963"/>
      <c r="E55" s="2963"/>
      <c r="F55" s="2963"/>
      <c r="G55" s="2963"/>
      <c r="H55" s="2963"/>
      <c r="I55" s="1681"/>
      <c r="J55" s="1681"/>
      <c r="K55" s="1681"/>
      <c r="L55" s="1681"/>
      <c r="M55" s="1681"/>
      <c r="N55" s="1681"/>
    </row>
    <row r="56" spans="1:41" s="2669" customFormat="1" ht="14.25">
      <c r="D56" s="2963"/>
      <c r="E56" s="2963"/>
      <c r="F56" s="2963"/>
      <c r="G56" s="2963"/>
      <c r="H56" s="2963"/>
      <c r="I56" s="1681"/>
      <c r="J56" s="1681"/>
      <c r="K56" s="1681"/>
      <c r="L56" s="1681"/>
      <c r="M56" s="1681"/>
      <c r="N56" s="1681"/>
    </row>
    <row r="57" spans="1:41" s="2669" customFormat="1" ht="14.25">
      <c r="D57" s="2963"/>
      <c r="E57" s="2963"/>
      <c r="F57" s="2963"/>
      <c r="G57" s="2963"/>
      <c r="H57" s="2963"/>
      <c r="I57" s="1681"/>
      <c r="J57" s="1681"/>
      <c r="K57" s="1681"/>
      <c r="L57" s="1681"/>
      <c r="M57" s="1681"/>
      <c r="N57" s="1681"/>
    </row>
    <row r="58" spans="1:41" s="2669" customFormat="1" ht="14.25">
      <c r="D58" s="2963"/>
      <c r="E58" s="2963"/>
      <c r="F58" s="2963"/>
      <c r="G58" s="2963"/>
      <c r="H58" s="2963"/>
      <c r="I58" s="1681"/>
      <c r="J58" s="1681"/>
      <c r="K58" s="1681"/>
      <c r="L58" s="1681"/>
      <c r="M58" s="1681"/>
      <c r="N58" s="1681"/>
    </row>
    <row r="59" spans="1:41" s="2669" customFormat="1" ht="14.25">
      <c r="D59" s="2963"/>
      <c r="E59" s="2963"/>
      <c r="F59" s="2963"/>
      <c r="G59" s="2963"/>
      <c r="H59" s="2963"/>
      <c r="I59" s="1681"/>
      <c r="J59" s="1681"/>
      <c r="K59" s="1681"/>
      <c r="L59" s="1681"/>
      <c r="M59" s="2964"/>
      <c r="N59" s="1681"/>
    </row>
    <row r="60" spans="1:41" s="2669" customFormat="1" ht="14.25">
      <c r="D60" s="2963"/>
      <c r="E60" s="2963"/>
      <c r="F60" s="2963"/>
      <c r="G60" s="2963"/>
      <c r="H60" s="2963"/>
      <c r="I60" s="1681"/>
      <c r="J60" s="1681"/>
      <c r="K60" s="1681"/>
      <c r="L60" s="1681"/>
      <c r="M60" s="1681"/>
      <c r="N60" s="1681"/>
    </row>
    <row r="61" spans="1:41" s="2669" customFormat="1" ht="14.25">
      <c r="D61" s="2963"/>
      <c r="E61" s="2963"/>
      <c r="F61" s="2963"/>
      <c r="G61" s="2963"/>
      <c r="H61" s="2963"/>
      <c r="I61" s="1681"/>
      <c r="J61" s="1681"/>
      <c r="K61" s="1681"/>
      <c r="L61" s="1681"/>
      <c r="M61" s="1681"/>
      <c r="N61" s="1681"/>
    </row>
    <row r="62" spans="1:41" s="2669" customFormat="1" ht="14.25">
      <c r="D62" s="2963"/>
      <c r="E62" s="2963"/>
      <c r="F62" s="2963"/>
      <c r="G62" s="2963"/>
      <c r="H62" s="2963"/>
      <c r="I62" s="1681"/>
      <c r="J62" s="1681"/>
      <c r="K62" s="1681"/>
      <c r="L62" s="1681"/>
      <c r="M62" s="1681"/>
      <c r="N62" s="1681"/>
    </row>
    <row r="63" spans="1:41" s="2669" customFormat="1" ht="14.25">
      <c r="D63" s="2963"/>
      <c r="E63" s="2963"/>
      <c r="F63" s="2963"/>
      <c r="G63" s="2963"/>
      <c r="H63" s="2963"/>
      <c r="I63" s="1681"/>
      <c r="J63" s="1681"/>
      <c r="K63" s="1681"/>
      <c r="L63" s="1681"/>
      <c r="M63" s="1681"/>
      <c r="N63" s="1681"/>
    </row>
    <row r="64" spans="1:41" s="2669" customFormat="1" ht="14.25">
      <c r="D64" s="2963"/>
      <c r="E64" s="2963"/>
      <c r="F64" s="2963"/>
      <c r="G64" s="2963"/>
      <c r="H64" s="2963"/>
      <c r="I64" s="1681"/>
      <c r="J64" s="1681"/>
      <c r="K64" s="1681"/>
      <c r="L64" s="1681"/>
      <c r="M64" s="1681"/>
      <c r="N64" s="1681"/>
    </row>
    <row r="65" spans="1:14" s="2669" customFormat="1" ht="14.25">
      <c r="D65" s="2963"/>
      <c r="E65" s="2963"/>
      <c r="F65" s="2963"/>
      <c r="G65" s="2963"/>
      <c r="H65" s="2963"/>
      <c r="I65" s="1681"/>
      <c r="J65" s="1681"/>
      <c r="K65" s="1681"/>
      <c r="L65" s="1681"/>
      <c r="M65" s="1681"/>
      <c r="N65" s="1681"/>
    </row>
    <row r="66" spans="1:14" s="2669" customFormat="1" ht="14.25">
      <c r="D66" s="2963"/>
      <c r="E66" s="2963"/>
      <c r="F66" s="2963"/>
      <c r="G66" s="2963"/>
      <c r="H66" s="2963"/>
      <c r="I66" s="1681"/>
      <c r="J66" s="1681"/>
      <c r="K66" s="1681"/>
      <c r="L66" s="1681"/>
      <c r="M66" s="1681"/>
      <c r="N66" s="1681"/>
    </row>
    <row r="67" spans="1:14" s="2669" customFormat="1" ht="14.25">
      <c r="A67" s="2967"/>
      <c r="D67" s="2963"/>
      <c r="E67" s="2963"/>
      <c r="F67" s="2963"/>
      <c r="G67" s="2963"/>
      <c r="H67" s="2963"/>
      <c r="I67" s="1681"/>
      <c r="J67" s="1681"/>
      <c r="K67" s="1681"/>
      <c r="L67" s="1681"/>
      <c r="M67" s="1681"/>
      <c r="N67" s="1681"/>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42" sqref="B42"/>
    </sheetView>
  </sheetViews>
  <sheetFormatPr defaultColWidth="9" defaultRowHeight="14.25"/>
  <cols>
    <col min="1" max="1" width="14.75" style="2631" customWidth="1"/>
    <col min="2" max="2" width="24.5" style="2644" customWidth="1"/>
    <col min="3" max="3" width="28.375" style="2705" customWidth="1"/>
    <col min="4" max="4" width="2.625" style="2705" customWidth="1"/>
    <col min="5" max="5" width="5.875" style="2705" customWidth="1"/>
    <col min="6" max="6" width="27" style="2644"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1"/>
  </cols>
  <sheetData>
    <row r="1" spans="1:29" s="2690" customFormat="1" ht="19.5" thickBot="1">
      <c r="A1" s="3264" t="s">
        <v>1703</v>
      </c>
      <c r="B1" s="3265"/>
      <c r="C1" s="3265"/>
      <c r="D1" s="3265"/>
      <c r="E1" s="3265"/>
      <c r="F1" s="3265"/>
      <c r="G1" s="3265"/>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28" customFormat="1" ht="13.5" thickBot="1">
      <c r="A2" s="3093"/>
      <c r="B2" s="3094"/>
      <c r="C2" s="3095" t="s">
        <v>2847</v>
      </c>
      <c r="D2" s="3096"/>
      <c r="E2" s="3093"/>
      <c r="F2" s="3097"/>
      <c r="G2" s="3095" t="s">
        <v>2848</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28" customFormat="1" ht="36">
      <c r="A3" s="3099" t="s">
        <v>2849</v>
      </c>
      <c r="B3" s="3100" t="s">
        <v>2850</v>
      </c>
      <c r="C3" s="3101" t="s">
        <v>2851</v>
      </c>
      <c r="D3" s="3102"/>
      <c r="E3" s="3103" t="s">
        <v>2849</v>
      </c>
      <c r="F3" s="3104" t="s">
        <v>2852</v>
      </c>
      <c r="G3" s="3105" t="s">
        <v>2853</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28" customFormat="1" ht="24.75">
      <c r="A4" s="3103"/>
      <c r="B4" s="3087" t="s">
        <v>2854</v>
      </c>
      <c r="C4" s="3106" t="s">
        <v>2855</v>
      </c>
      <c r="D4" s="3102"/>
      <c r="E4" s="3107"/>
      <c r="F4" s="3089" t="s">
        <v>2856</v>
      </c>
      <c r="G4" s="3108" t="s">
        <v>2857</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28" customFormat="1" ht="24.75">
      <c r="A5" s="3103"/>
      <c r="B5" s="3087" t="s">
        <v>2858</v>
      </c>
      <c r="C5" s="3106" t="s">
        <v>2859</v>
      </c>
      <c r="D5" s="3102"/>
      <c r="E5" s="3107"/>
      <c r="F5" s="3087" t="s">
        <v>2860</v>
      </c>
      <c r="G5" s="3108" t="s">
        <v>2861</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28" customFormat="1" ht="36">
      <c r="A6" s="3103"/>
      <c r="B6" s="3087" t="s">
        <v>2862</v>
      </c>
      <c r="C6" s="3108" t="s">
        <v>2857</v>
      </c>
      <c r="D6" s="3102"/>
      <c r="E6" s="3107"/>
      <c r="F6" s="3087" t="s">
        <v>2863</v>
      </c>
      <c r="G6" s="3108" t="s">
        <v>2864</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28" customFormat="1" ht="24.75" thickBot="1">
      <c r="A7" s="3103"/>
      <c r="B7" s="3087" t="s">
        <v>2860</v>
      </c>
      <c r="C7" s="3108" t="s">
        <v>2861</v>
      </c>
      <c r="D7" s="2976"/>
      <c r="E7" s="3109"/>
      <c r="F7" s="3110" t="s">
        <v>2865</v>
      </c>
      <c r="G7" s="3111" t="s">
        <v>2866</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28" customFormat="1" ht="12.75">
      <c r="A8" s="3103"/>
      <c r="B8" s="3087" t="s">
        <v>2863</v>
      </c>
      <c r="C8" s="3108" t="s">
        <v>2864</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28" customFormat="1" ht="24">
      <c r="A9" s="3103"/>
      <c r="B9" s="3087" t="s">
        <v>2867</v>
      </c>
      <c r="C9" s="3106" t="s">
        <v>2868</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2869</v>
      </c>
      <c r="C10" s="3113"/>
      <c r="D10" s="3102"/>
      <c r="E10" s="3102"/>
      <c r="F10" s="2971"/>
      <c r="G10" s="2971"/>
      <c r="H10" s="1494"/>
      <c r="I10" s="3114"/>
      <c r="J10" s="3115"/>
      <c r="K10" s="1494"/>
      <c r="L10" s="3114"/>
      <c r="M10" s="3115"/>
      <c r="N10" s="1494"/>
      <c r="O10" s="3114"/>
      <c r="P10" s="3115"/>
      <c r="Q10" s="1494"/>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4"/>
      <c r="I11" s="3114"/>
      <c r="J11" s="3115"/>
      <c r="K11" s="1494"/>
      <c r="L11" s="3114"/>
      <c r="M11" s="3115"/>
      <c r="N11" s="1494"/>
      <c r="O11" s="3114"/>
      <c r="P11" s="3115"/>
      <c r="Q11" s="1494"/>
      <c r="R11" s="3114"/>
      <c r="S11" s="3098"/>
      <c r="T11" s="3098"/>
      <c r="U11" s="3098"/>
      <c r="V11" s="3098"/>
      <c r="W11" s="3098"/>
      <c r="X11" s="3098"/>
      <c r="Y11" s="3098"/>
      <c r="Z11" s="3098"/>
      <c r="AA11" s="3098"/>
      <c r="AB11" s="3098"/>
      <c r="AC11" s="3098"/>
    </row>
    <row r="12" spans="1:29" s="2690" customFormat="1" ht="18">
      <c r="A12" s="2639"/>
      <c r="B12" s="2694"/>
      <c r="C12" s="2693"/>
      <c r="D12" s="2695"/>
      <c r="E12" s="2693"/>
      <c r="F12" s="2694"/>
      <c r="G12" s="1838"/>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1709</v>
      </c>
      <c r="B13" s="2695"/>
      <c r="C13" s="2695"/>
      <c r="D13" s="2691"/>
      <c r="E13" s="2695"/>
      <c r="F13" s="2695"/>
      <c r="G13" s="2695"/>
    </row>
    <row r="14" spans="1:29" s="2628" customFormat="1" ht="13.5" thickBot="1">
      <c r="A14" s="3118"/>
      <c r="B14" s="3118"/>
      <c r="C14" s="3119" t="s">
        <v>2870</v>
      </c>
      <c r="D14" s="3102"/>
      <c r="E14" s="3120"/>
      <c r="F14" s="3120"/>
      <c r="G14" s="3095" t="s">
        <v>2871</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28" customFormat="1" ht="38.25">
      <c r="A15" s="3124" t="s">
        <v>2872</v>
      </c>
      <c r="B15" s="3125" t="s">
        <v>2850</v>
      </c>
      <c r="C15" s="3126" t="str">
        <f>C3</f>
        <v>估价对象周边居住用地比例、居住小区规模和社区发展完善程度，综合评价居住社区成熟度一般</v>
      </c>
      <c r="D15" s="3102"/>
      <c r="E15" s="3127" t="s">
        <v>2873</v>
      </c>
      <c r="F15" s="3125" t="s">
        <v>2874</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28" customFormat="1" ht="25.5">
      <c r="A16" s="3129"/>
      <c r="B16" s="2569" t="s">
        <v>2854</v>
      </c>
      <c r="C16" s="3130" t="str">
        <f>C4</f>
        <v>估价对象位于XX商圈，周边商业氛围成熟，人流量大，商业繁华度好</v>
      </c>
      <c r="D16" s="3102"/>
      <c r="E16" s="3131"/>
      <c r="F16" s="3088" t="s">
        <v>2856</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28" customFormat="1" ht="25.5">
      <c r="A17" s="3129"/>
      <c r="B17" s="2569" t="s">
        <v>2858</v>
      </c>
      <c r="C17" s="3130" t="str">
        <f>C5</f>
        <v>估价对象位于XX商圈，周边办公楼项目较多，入驻率高，办公集聚程度较好</v>
      </c>
      <c r="D17" s="2976"/>
      <c r="E17" s="3131"/>
      <c r="F17" s="3088" t="s">
        <v>2875</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28" customFormat="1" ht="38.25">
      <c r="A18" s="3129"/>
      <c r="B18" s="3088" t="s">
        <v>2862</v>
      </c>
      <c r="C18" s="3132" t="str">
        <f>C6</f>
        <v>估价对象周边道路状况、公共交通通达情况、停车便捷程度，综合评价交通便捷度较好</v>
      </c>
      <c r="D18" s="2976"/>
      <c r="E18" s="3131"/>
      <c r="F18" s="3088" t="s">
        <v>2865</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28" customFormat="1" ht="12.75">
      <c r="A19" s="3129"/>
      <c r="B19" s="3088" t="s">
        <v>2876</v>
      </c>
      <c r="C19" s="3133"/>
      <c r="D19" s="3102"/>
      <c r="E19" s="3131"/>
      <c r="F19" s="3087" t="s">
        <v>2860</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28" customFormat="1" ht="25.5">
      <c r="A20" s="3129"/>
      <c r="B20" s="3088" t="s">
        <v>2877</v>
      </c>
      <c r="C20" s="3130" t="str">
        <f>C9</f>
        <v>区域自然环境：；人文环境；综合评价环境状况一般</v>
      </c>
      <c r="D20" s="2976"/>
      <c r="E20" s="3131"/>
      <c r="F20" s="3087" t="s">
        <v>2863</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28" customFormat="1" ht="25.5">
      <c r="A21" s="3129"/>
      <c r="B21" s="3087" t="s">
        <v>2860</v>
      </c>
      <c r="C21" s="3132" t="str">
        <f>C7</f>
        <v>估价对象所在区域公共配套设施齐备情况</v>
      </c>
      <c r="D21" s="3102"/>
      <c r="E21" s="3131"/>
      <c r="F21" s="3088" t="s">
        <v>2878</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28" customFormat="1" ht="12.75">
      <c r="A22" s="3129"/>
      <c r="B22" s="3087" t="s">
        <v>2863</v>
      </c>
      <c r="C22" s="3132" t="str">
        <f>C8</f>
        <v>估价对象所在区域基础设施水平</v>
      </c>
      <c r="D22" s="3102"/>
      <c r="E22" s="3131"/>
      <c r="F22" s="3088" t="s">
        <v>2869</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2878</v>
      </c>
      <c r="C23" s="3134"/>
      <c r="D23" s="3121"/>
      <c r="E23" s="3136"/>
      <c r="F23" s="3090" t="s">
        <v>2879</v>
      </c>
      <c r="G23" s="3137"/>
      <c r="H23" s="3121"/>
      <c r="I23" s="3122"/>
      <c r="J23" s="3121"/>
      <c r="K23" s="3121"/>
      <c r="L23" s="3122"/>
      <c r="M23" s="3121"/>
      <c r="N23" s="3121"/>
      <c r="O23" s="3122"/>
      <c r="P23" s="3121"/>
      <c r="Q23" s="3121"/>
      <c r="R23" s="3123"/>
    </row>
    <row r="24" spans="1:29" s="3098" customFormat="1" ht="13.5" thickBot="1">
      <c r="A24" s="3138"/>
      <c r="B24" s="3090" t="s">
        <v>2880</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view="pageBreakPreview" zoomScale="80" zoomScaleNormal="100" zoomScaleSheetLayoutView="80" workbookViewId="0">
      <selection activeCell="D29" sqref="D29"/>
    </sheetView>
  </sheetViews>
  <sheetFormatPr defaultColWidth="14.625" defaultRowHeight="13.5"/>
  <cols>
    <col min="1" max="1" width="24.375" style="2578" customWidth="1"/>
    <col min="2" max="16384" width="14.625" style="2578"/>
  </cols>
  <sheetData>
    <row r="1" spans="1:10" ht="16.5">
      <c r="A1" s="2576" t="s">
        <v>1212</v>
      </c>
      <c r="B1" s="2576">
        <f>SUM(B14:B23)</f>
        <v>831.25</v>
      </c>
      <c r="C1" s="1630"/>
      <c r="D1" s="1630"/>
      <c r="E1" s="1630"/>
      <c r="F1" s="1630"/>
      <c r="G1" s="2577"/>
    </row>
    <row r="2" spans="1:10" ht="16.5">
      <c r="A2" s="2576" t="s">
        <v>1213</v>
      </c>
      <c r="B2" s="2576">
        <f>SUM(C14:C23)</f>
        <v>0</v>
      </c>
      <c r="C2" s="1630"/>
      <c r="D2" s="1630"/>
      <c r="E2" s="1630"/>
      <c r="F2" s="1630"/>
      <c r="G2" s="2577"/>
    </row>
    <row r="3" spans="1:10" ht="16.5">
      <c r="A3" s="2576" t="s">
        <v>1214</v>
      </c>
      <c r="B3" s="2579">
        <f>项目基本情况!D2</f>
        <v>44333</v>
      </c>
      <c r="C3" s="1630"/>
      <c r="D3" s="1630"/>
      <c r="E3" s="1630"/>
      <c r="F3" s="1630"/>
      <c r="G3" s="2577"/>
    </row>
    <row r="4" spans="1:10" ht="33">
      <c r="A4" s="2576" t="s">
        <v>1215</v>
      </c>
      <c r="B4" s="2576" t="s">
        <v>1216</v>
      </c>
      <c r="C4" s="2576" t="s">
        <v>1217</v>
      </c>
      <c r="D4" s="2576" t="s">
        <v>1218</v>
      </c>
      <c r="E4" s="1630"/>
      <c r="F4" s="2577"/>
      <c r="G4" s="2577"/>
    </row>
    <row r="5" spans="1:10" ht="16.5">
      <c r="A5" s="2576" t="s">
        <v>1219</v>
      </c>
      <c r="B5" s="2576">
        <f ca="1">SUM(D14:D23)</f>
        <v>6525.4564</v>
      </c>
      <c r="C5" s="2576">
        <f ca="1">ROUND(B5*10000/$B$1,0)</f>
        <v>78502</v>
      </c>
      <c r="D5" s="2576" t="e">
        <f ca="1">ROUND(B5*10000/$B$2,0)</f>
        <v>#DIV/0!</v>
      </c>
      <c r="E5" s="1630"/>
      <c r="F5" s="2577"/>
      <c r="G5" s="2577"/>
    </row>
    <row r="6" spans="1:10" ht="16.5">
      <c r="A6" s="2576" t="s">
        <v>1220</v>
      </c>
      <c r="B6" s="2576">
        <f ca="1">SUM(G14:G23)</f>
        <v>6525.4564</v>
      </c>
      <c r="C6" s="2576">
        <f t="shared" ref="C6:C8" ca="1" si="0">ROUND(B6*10000/$B$1,0)</f>
        <v>78502</v>
      </c>
      <c r="D6" s="2576" t="e">
        <f t="shared" ref="D6:D8" ca="1" si="1">ROUND(B6*10000/$B$2,0)</f>
        <v>#DIV/0!</v>
      </c>
      <c r="E6" s="1630"/>
      <c r="F6" s="2577"/>
      <c r="G6" s="2577"/>
    </row>
    <row r="7" spans="1:10" ht="16.5">
      <c r="A7" s="2576" t="s">
        <v>1221</v>
      </c>
      <c r="B7" s="2576" t="e">
        <f>SUM(H14:H23)</f>
        <v>#VALUE!</v>
      </c>
      <c r="C7" s="2576" t="e">
        <f>ROUND(B7*10000/$B$1,0)</f>
        <v>#VALUE!</v>
      </c>
      <c r="D7" s="2576" t="e">
        <f t="shared" si="1"/>
        <v>#VALUE!</v>
      </c>
      <c r="E7" s="1630"/>
      <c r="F7" s="2577"/>
      <c r="G7" s="2577"/>
    </row>
    <row r="8" spans="1:10" ht="16.5">
      <c r="A8" s="2576" t="s">
        <v>1222</v>
      </c>
      <c r="B8" s="2576" t="e">
        <f>SUM(I14:I23)</f>
        <v>#VALUE!</v>
      </c>
      <c r="C8" s="2576" t="e">
        <f t="shared" si="0"/>
        <v>#VALUE!</v>
      </c>
      <c r="D8" s="2576" t="e">
        <f t="shared" si="1"/>
        <v>#VALUE!</v>
      </c>
      <c r="E8" s="1630"/>
      <c r="F8" s="2577"/>
      <c r="G8" s="2577"/>
    </row>
    <row r="9" spans="1:10" ht="16.5">
      <c r="A9" s="2576" t="s">
        <v>1223</v>
      </c>
      <c r="B9" s="2580"/>
      <c r="C9" s="1630"/>
      <c r="D9" s="1630"/>
      <c r="E9" s="1630"/>
      <c r="F9" s="2577"/>
      <c r="G9" s="2577"/>
    </row>
    <row r="10" spans="1:10" ht="16.5">
      <c r="A10" s="2576" t="s">
        <v>1224</v>
      </c>
      <c r="B10" s="2580"/>
      <c r="C10" s="1630"/>
      <c r="D10" s="1630"/>
      <c r="E10" s="1630"/>
      <c r="F10" s="2577"/>
      <c r="G10" s="2577"/>
    </row>
    <row r="11" spans="1:10" ht="16.5">
      <c r="A11" s="2576" t="s">
        <v>1240</v>
      </c>
      <c r="B11" s="2580"/>
      <c r="C11" s="1630"/>
      <c r="D11" s="1630"/>
      <c r="E11" s="1630"/>
      <c r="F11" s="2577"/>
      <c r="G11" s="2577"/>
    </row>
    <row r="12" spans="1:10" ht="16.5">
      <c r="A12" s="1630"/>
      <c r="B12" s="1630"/>
      <c r="C12" s="1630"/>
      <c r="D12" s="1630"/>
      <c r="E12" s="1630"/>
      <c r="F12" s="2577"/>
      <c r="G12" s="2577"/>
    </row>
    <row r="13" spans="1:10" ht="33">
      <c r="A13" s="2581" t="s">
        <v>1239</v>
      </c>
      <c r="B13" s="2582" t="s">
        <v>1212</v>
      </c>
      <c r="C13" s="2582" t="s">
        <v>1213</v>
      </c>
      <c r="D13" s="2582" t="s">
        <v>1225</v>
      </c>
      <c r="E13" s="2576" t="s">
        <v>1217</v>
      </c>
      <c r="F13" s="2576" t="s">
        <v>1218</v>
      </c>
      <c r="G13" s="2582" t="s">
        <v>1226</v>
      </c>
      <c r="H13" s="2582" t="s">
        <v>1227</v>
      </c>
      <c r="I13" s="2582" t="s">
        <v>1228</v>
      </c>
    </row>
    <row r="14" spans="1:10" ht="16.5">
      <c r="A14" s="2881" t="s">
        <v>1238</v>
      </c>
      <c r="B14" s="2911">
        <f>项目基本情况!C12</f>
        <v>732.34</v>
      </c>
      <c r="C14" s="2911">
        <f>项目基本情况!C13</f>
        <v>0</v>
      </c>
      <c r="D14" s="2911">
        <f ca="1">IF('数据-取费表'!B3="万元",IF(A14="估价对象1（结果表）",结果表!H121,'结果表 (1修多)'!H125),IF(A14="估价对象1（结果表）",结果表!H121,'结果表 (1修多)'!H125)/10000)</f>
        <v>6399.2968000000001</v>
      </c>
      <c r="E14" s="2911">
        <f ca="1">ROUND(D14*10000/B14,0)</f>
        <v>87382</v>
      </c>
      <c r="F14" s="2911" t="e">
        <f ca="1">ROUND(D14*10000/C14,0)</f>
        <v>#DIV/0!</v>
      </c>
      <c r="G14" s="2911">
        <f ca="1">IF('数据-取费表'!B3="万元",IF(A14="估价对象1（结果表）",结果表!D125,'结果表 (1修多)'!D129),IF(A14="估价对象1（结果表）",结果表!D125,'结果表 (1修多)'!D129)/10000)</f>
        <v>6399.2968000000001</v>
      </c>
      <c r="H14" s="2911" t="e">
        <f>IF('数据-取费表'!B3="万元",IF(A14="估价对象1（结果表）",结果表!D127,'结果表 (1修多)'!D131),IF(A14="估价对象1（结果表）",结果表!D127,'结果表 (1修多)'!D131)/10000)</f>
        <v>#VALUE!</v>
      </c>
      <c r="I14" s="2911" t="e">
        <f>IF('数据-取费表'!B3="万元",IF(A14="估价对象1（结果表）",结果表!D129,'结果表 (1修多)'!D133),IF(A14="估价对象1（结果表）",结果表!D129,'结果表 (1修多)'!D133)/10000)</f>
        <v>#VALUE!</v>
      </c>
      <c r="J14" s="2578">
        <v>6110</v>
      </c>
    </row>
    <row r="15" spans="1:10" ht="16.5">
      <c r="A15" s="2583" t="s">
        <v>1229</v>
      </c>
      <c r="B15" s="2584">
        <f>[1]系统读取表!$B$14</f>
        <v>98.91</v>
      </c>
      <c r="C15" s="2584"/>
      <c r="D15" s="2584">
        <f ca="1">[1]系统读取表!$D$14</f>
        <v>126.1596</v>
      </c>
      <c r="E15" s="2911">
        <f t="shared" ref="E15:E23" ca="1" si="2">ROUND(D15*10000/B15,0)</f>
        <v>12755</v>
      </c>
      <c r="F15" s="2911" t="e">
        <f t="shared" ref="F15:F23" ca="1" si="3">ROUND(D15*10000/C15,0)</f>
        <v>#DIV/0!</v>
      </c>
      <c r="G15" s="1303">
        <f ca="1">D15</f>
        <v>126.1596</v>
      </c>
      <c r="H15" s="1303"/>
      <c r="I15" s="2584"/>
      <c r="J15" s="2578">
        <v>141</v>
      </c>
    </row>
    <row r="16" spans="1:10" ht="16.5">
      <c r="A16" s="2583" t="s">
        <v>1230</v>
      </c>
      <c r="B16" s="2584"/>
      <c r="C16" s="2584"/>
      <c r="D16" s="2584"/>
      <c r="E16" s="2911" t="e">
        <f t="shared" si="2"/>
        <v>#DIV/0!</v>
      </c>
      <c r="F16" s="2911" t="e">
        <f t="shared" si="3"/>
        <v>#DIV/0!</v>
      </c>
      <c r="G16" s="1303"/>
      <c r="H16" s="1303"/>
      <c r="I16" s="2584"/>
      <c r="J16" s="2578">
        <f>J14+J15</f>
        <v>6251</v>
      </c>
    </row>
    <row r="17" spans="1:9" ht="16.5">
      <c r="A17" s="2583" t="s">
        <v>1231</v>
      </c>
      <c r="B17" s="2584"/>
      <c r="C17" s="2584"/>
      <c r="D17" s="2584"/>
      <c r="E17" s="2911" t="e">
        <f t="shared" si="2"/>
        <v>#DIV/0!</v>
      </c>
      <c r="F17" s="2911" t="e">
        <f t="shared" si="3"/>
        <v>#DIV/0!</v>
      </c>
      <c r="G17" s="1303"/>
      <c r="H17" s="1303"/>
      <c r="I17" s="2584"/>
    </row>
    <row r="18" spans="1:9" ht="16.5">
      <c r="A18" s="2583" t="s">
        <v>1232</v>
      </c>
      <c r="B18" s="2584"/>
      <c r="C18" s="2584"/>
      <c r="D18" s="2584"/>
      <c r="E18" s="2911" t="e">
        <f t="shared" si="2"/>
        <v>#DIV/0!</v>
      </c>
      <c r="F18" s="2911" t="e">
        <f t="shared" si="3"/>
        <v>#DIV/0!</v>
      </c>
      <c r="G18" s="2584"/>
      <c r="H18" s="2584"/>
      <c r="I18" s="2584"/>
    </row>
    <row r="19" spans="1:9" ht="16.5">
      <c r="A19" s="2583" t="s">
        <v>1233</v>
      </c>
      <c r="B19" s="2584"/>
      <c r="C19" s="2584"/>
      <c r="D19" s="2584"/>
      <c r="E19" s="2911" t="e">
        <f t="shared" si="2"/>
        <v>#DIV/0!</v>
      </c>
      <c r="F19" s="2911" t="e">
        <f t="shared" si="3"/>
        <v>#DIV/0!</v>
      </c>
      <c r="G19" s="2584"/>
      <c r="H19" s="2584"/>
      <c r="I19" s="2584"/>
    </row>
    <row r="20" spans="1:9" ht="16.5">
      <c r="A20" s="2583" t="s">
        <v>1234</v>
      </c>
      <c r="B20" s="2584"/>
      <c r="C20" s="2584"/>
      <c r="D20" s="2584"/>
      <c r="E20" s="2911" t="e">
        <f t="shared" si="2"/>
        <v>#DIV/0!</v>
      </c>
      <c r="F20" s="2911" t="e">
        <f t="shared" si="3"/>
        <v>#DIV/0!</v>
      </c>
      <c r="G20" s="2584"/>
      <c r="H20" s="2584"/>
      <c r="I20" s="2584"/>
    </row>
    <row r="21" spans="1:9" ht="16.5">
      <c r="A21" s="2583" t="s">
        <v>1235</v>
      </c>
      <c r="B21" s="2584"/>
      <c r="C21" s="2584"/>
      <c r="D21" s="2584"/>
      <c r="E21" s="2911" t="e">
        <f t="shared" si="2"/>
        <v>#DIV/0!</v>
      </c>
      <c r="F21" s="2911" t="e">
        <f t="shared" si="3"/>
        <v>#DIV/0!</v>
      </c>
      <c r="G21" s="2584"/>
      <c r="H21" s="2584"/>
      <c r="I21" s="2584"/>
    </row>
    <row r="22" spans="1:9" ht="16.5">
      <c r="A22" s="2583" t="s">
        <v>1236</v>
      </c>
      <c r="B22" s="2584"/>
      <c r="C22" s="2584"/>
      <c r="D22" s="2584"/>
      <c r="E22" s="2911" t="e">
        <f t="shared" si="2"/>
        <v>#DIV/0!</v>
      </c>
      <c r="F22" s="2911" t="e">
        <f t="shared" si="3"/>
        <v>#DIV/0!</v>
      </c>
      <c r="G22" s="2584"/>
      <c r="H22" s="2584"/>
      <c r="I22" s="2584"/>
    </row>
    <row r="23" spans="1:9" ht="16.5">
      <c r="A23" s="2583" t="s">
        <v>1237</v>
      </c>
      <c r="B23" s="2584"/>
      <c r="C23" s="2584"/>
      <c r="D23" s="2584"/>
      <c r="E23" s="2912" t="e">
        <f t="shared" si="2"/>
        <v>#DIV/0!</v>
      </c>
      <c r="F23" s="2912" t="e">
        <f t="shared" si="3"/>
        <v>#DIV/0!</v>
      </c>
      <c r="G23" s="2584"/>
      <c r="H23" s="2584"/>
      <c r="I23" s="258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58"/>
    <col min="3" max="4" width="12.625" style="1458" customWidth="1"/>
    <col min="5" max="9" width="12.625" style="1458"/>
    <col min="10" max="10" width="3.625" style="2837" customWidth="1"/>
    <col min="11" max="12" width="12.625" style="659" customWidth="1"/>
    <col min="13" max="13" width="12.625" style="659"/>
    <col min="14" max="14" width="14.125" style="659" bestFit="1" customWidth="1"/>
    <col min="15" max="27" width="12.625" style="659"/>
    <col min="28" max="36" width="12.625" style="1306"/>
    <col min="37" max="16384" width="12.625" style="1458"/>
  </cols>
  <sheetData>
    <row r="1" spans="1:15" ht="21.75" customHeight="1">
      <c r="A1" s="1456" t="s">
        <v>1710</v>
      </c>
      <c r="B1" s="1457"/>
      <c r="C1" s="1457"/>
      <c r="D1" s="1457"/>
      <c r="E1" s="1457"/>
      <c r="F1" s="1457"/>
      <c r="G1" s="1457"/>
      <c r="H1" s="1457"/>
      <c r="I1" s="1457"/>
    </row>
    <row r="2" spans="1:15" ht="21.75" customHeight="1">
      <c r="A2" s="3337" t="str">
        <f>项目基本情况!B1</f>
        <v>北京市房地产市场价值预评估</v>
      </c>
      <c r="B2" s="3337"/>
      <c r="C2" s="3337"/>
      <c r="D2" s="3337"/>
      <c r="E2" s="3337"/>
      <c r="F2" s="3337"/>
      <c r="G2" s="3337"/>
      <c r="H2" s="3337"/>
      <c r="I2" s="3337"/>
      <c r="J2" s="2838"/>
    </row>
    <row r="3" spans="1:15" ht="12.75">
      <c r="A3" s="3342" t="s">
        <v>1711</v>
      </c>
      <c r="B3" s="3343"/>
      <c r="C3" s="3343"/>
      <c r="D3" s="3343"/>
      <c r="E3" s="3343"/>
      <c r="F3" s="3343"/>
      <c r="G3" s="3343"/>
      <c r="H3" s="3343"/>
      <c r="I3" s="3343"/>
      <c r="J3" s="2839"/>
    </row>
    <row r="4" spans="1:15" ht="14.25">
      <c r="A4" s="2707" t="s">
        <v>1712</v>
      </c>
      <c r="B4" s="2707" t="s">
        <v>1713</v>
      </c>
      <c r="C4" s="2708"/>
      <c r="D4" s="2708"/>
      <c r="E4" s="3339" t="s">
        <v>1714</v>
      </c>
      <c r="F4" s="3327"/>
      <c r="G4" s="3327"/>
      <c r="H4" s="3327"/>
      <c r="I4" s="3328"/>
      <c r="J4" s="2840"/>
      <c r="L4" s="1457" t="str">
        <f>IF(ISNUMBER(FIND("比较法",结果表!C4)),"比较法",IF(ISNUMBER(FIND("成本法",结果表!C4)),"成本法",IF(ISNUMBER(FIND("假设开发法",结果表!C4)),"假设开发法",IF(ISNUMBER(FIND("收益法",结果表!C4)),"收益法","基准地价系数修正法"))))</f>
        <v>基准地价系数修正法</v>
      </c>
      <c r="M4" s="1457" t="str">
        <f>IF(ISNUMBER(FIND("比较法",结果表!D4)),"比较法",IF(ISNUMBER(FIND("成本法",结果表!D4)),"成本法",IF(ISNUMBER(FIND("假设开发法",结果表!D4)),"假设开发法",IF(ISNUMBER(FIND("收益法",结果表!D4)),"收益法","基准地价系数修正法"))))</f>
        <v>基准地价系数修正法</v>
      </c>
      <c r="N4" s="1457"/>
      <c r="O4" s="1457"/>
    </row>
    <row r="5" spans="1:15" ht="12.75">
      <c r="A5" s="3338" t="s">
        <v>1715</v>
      </c>
      <c r="B5" s="3338">
        <v>25</v>
      </c>
      <c r="C5" s="3344"/>
      <c r="D5" s="3341"/>
      <c r="E5" s="12" t="s">
        <v>1716</v>
      </c>
      <c r="F5" s="2084"/>
      <c r="G5" s="2084"/>
      <c r="H5" s="2084"/>
      <c r="I5" s="2079"/>
      <c r="J5" s="2840"/>
    </row>
    <row r="6" spans="1:15" ht="12.75">
      <c r="A6" s="3338"/>
      <c r="B6" s="3338"/>
      <c r="C6" s="3345"/>
      <c r="D6" s="3341"/>
      <c r="E6" s="12" t="s">
        <v>1717</v>
      </c>
      <c r="F6" s="2084"/>
      <c r="G6" s="2084"/>
      <c r="H6" s="2084"/>
      <c r="I6" s="2079"/>
      <c r="J6" s="2840"/>
    </row>
    <row r="7" spans="1:15" ht="12.75">
      <c r="A7" s="3338"/>
      <c r="B7" s="3338"/>
      <c r="C7" s="3346"/>
      <c r="D7" s="3341"/>
      <c r="E7" s="12" t="s">
        <v>1718</v>
      </c>
      <c r="F7" s="2084"/>
      <c r="G7" s="2084"/>
      <c r="H7" s="2084"/>
      <c r="I7" s="2079"/>
      <c r="J7" s="2840"/>
    </row>
    <row r="8" spans="1:15" ht="12.75">
      <c r="A8" s="3338" t="s">
        <v>1719</v>
      </c>
      <c r="B8" s="3338">
        <v>15</v>
      </c>
      <c r="C8" s="3344"/>
      <c r="D8" s="3341"/>
      <c r="E8" s="12" t="s">
        <v>1720</v>
      </c>
      <c r="F8" s="2084"/>
      <c r="G8" s="2084"/>
      <c r="H8" s="2084"/>
      <c r="I8" s="2079"/>
      <c r="J8" s="2840"/>
    </row>
    <row r="9" spans="1:15" ht="12.75">
      <c r="A9" s="3338"/>
      <c r="B9" s="3338"/>
      <c r="C9" s="3346"/>
      <c r="D9" s="3341"/>
      <c r="E9" s="12" t="s">
        <v>1721</v>
      </c>
      <c r="F9" s="2084"/>
      <c r="G9" s="2084"/>
      <c r="H9" s="2084"/>
      <c r="I9" s="2079"/>
      <c r="J9" s="2840"/>
    </row>
    <row r="10" spans="1:15" ht="12.75">
      <c r="A10" s="3338" t="s">
        <v>1722</v>
      </c>
      <c r="B10" s="3338">
        <v>15</v>
      </c>
      <c r="C10" s="3344"/>
      <c r="D10" s="3341"/>
      <c r="E10" s="12" t="s">
        <v>1723</v>
      </c>
      <c r="F10" s="2084"/>
      <c r="G10" s="2084"/>
      <c r="H10" s="2084"/>
      <c r="I10" s="2079"/>
      <c r="J10" s="2840"/>
    </row>
    <row r="11" spans="1:15" ht="12.75">
      <c r="A11" s="3338"/>
      <c r="B11" s="3338"/>
      <c r="C11" s="3346"/>
      <c r="D11" s="3341"/>
      <c r="E11" s="12" t="s">
        <v>1724</v>
      </c>
      <c r="F11" s="2084"/>
      <c r="G11" s="2084"/>
      <c r="H11" s="2084"/>
      <c r="I11" s="2079"/>
      <c r="J11" s="2840"/>
    </row>
    <row r="12" spans="1:15" ht="12.75">
      <c r="A12" s="3338" t="s">
        <v>1725</v>
      </c>
      <c r="B12" s="3338">
        <v>15</v>
      </c>
      <c r="C12" s="3344"/>
      <c r="D12" s="3341"/>
      <c r="E12" s="12" t="s">
        <v>1726</v>
      </c>
      <c r="F12" s="2084"/>
      <c r="G12" s="2084"/>
      <c r="H12" s="2084"/>
      <c r="I12" s="2079"/>
      <c r="J12" s="2840"/>
    </row>
    <row r="13" spans="1:15" ht="12.75">
      <c r="A13" s="3338"/>
      <c r="B13" s="3338"/>
      <c r="C13" s="3346"/>
      <c r="D13" s="3341"/>
      <c r="E13" s="12" t="s">
        <v>1727</v>
      </c>
      <c r="F13" s="2084"/>
      <c r="G13" s="2084"/>
      <c r="H13" s="2084"/>
      <c r="I13" s="2079"/>
      <c r="J13" s="2840"/>
    </row>
    <row r="14" spans="1:15" ht="12.75">
      <c r="A14" s="3338" t="s">
        <v>1728</v>
      </c>
      <c r="B14" s="3338">
        <v>30</v>
      </c>
      <c r="C14" s="3344"/>
      <c r="D14" s="3341"/>
      <c r="E14" s="12" t="s">
        <v>1729</v>
      </c>
      <c r="F14" s="2084"/>
      <c r="G14" s="2084"/>
      <c r="H14" s="2084"/>
      <c r="I14" s="2079"/>
      <c r="J14" s="2840"/>
    </row>
    <row r="15" spans="1:15" ht="12.75">
      <c r="A15" s="3338"/>
      <c r="B15" s="3338"/>
      <c r="C15" s="3345"/>
      <c r="D15" s="3341"/>
      <c r="E15" s="12" t="s">
        <v>1730</v>
      </c>
      <c r="F15" s="2084"/>
      <c r="G15" s="2084"/>
      <c r="H15" s="2084"/>
      <c r="I15" s="2079"/>
      <c r="J15" s="2840"/>
    </row>
    <row r="16" spans="1:15" ht="12.75">
      <c r="A16" s="3338"/>
      <c r="B16" s="3338"/>
      <c r="C16" s="3346"/>
      <c r="D16" s="3341"/>
      <c r="E16" s="12" t="s">
        <v>1731</v>
      </c>
      <c r="F16" s="2084"/>
      <c r="G16" s="2084"/>
      <c r="H16" s="2084"/>
      <c r="I16" s="2079"/>
      <c r="J16" s="2840"/>
    </row>
    <row r="17" spans="1:36" ht="15">
      <c r="A17" s="2709" t="s">
        <v>1732</v>
      </c>
      <c r="B17" s="2089"/>
      <c r="C17" s="2710">
        <f>SUM(C5:C16)</f>
        <v>0</v>
      </c>
      <c r="D17" s="2710">
        <f>SUM(D5:D16)</f>
        <v>0</v>
      </c>
      <c r="E17" s="2558"/>
      <c r="F17" s="2558"/>
      <c r="G17" s="2558"/>
      <c r="H17" s="2558"/>
      <c r="I17" s="2558"/>
      <c r="J17" s="2841"/>
    </row>
    <row r="18" spans="1:36" ht="30" customHeight="1" thickBot="1">
      <c r="A18" s="2711" t="s">
        <v>1733</v>
      </c>
      <c r="B18" s="2712"/>
      <c r="C18" s="2713" t="e">
        <f>ROUND(C17/SUM(C17:D17),2)</f>
        <v>#DIV/0!</v>
      </c>
      <c r="D18" s="2713" t="e">
        <f>1-C18</f>
        <v>#DIV/0!</v>
      </c>
      <c r="E18" s="3358" t="s">
        <v>2815</v>
      </c>
      <c r="F18" s="3359"/>
      <c r="G18" s="3359"/>
      <c r="H18" s="3359"/>
      <c r="I18" s="3359"/>
      <c r="J18" s="2841"/>
    </row>
    <row r="19" spans="1:36" ht="15">
      <c r="A19" s="2714" t="s">
        <v>1734</v>
      </c>
      <c r="B19" s="2715" t="s">
        <v>1735</v>
      </c>
      <c r="C19" s="2716" t="e">
        <f ca="1">SUMIF(INDIRECT("'"&amp;C4&amp;"'"&amp;"!A:A"),结果表!B19,INDIRECT("'"&amp;C4&amp;"'"&amp;"!B:B"))</f>
        <v>#REF!</v>
      </c>
      <c r="D19" s="2717" t="e">
        <f ca="1">SUMIF(INDIRECT("'"&amp;D4&amp;"'"&amp;"!A:A"),结果表!B19,INDIRECT("'"&amp;D4&amp;"'"&amp;"!B:B"))</f>
        <v>#REF!</v>
      </c>
      <c r="E19" s="2714" t="s">
        <v>1736</v>
      </c>
      <c r="F19" s="2715" t="s">
        <v>1735</v>
      </c>
      <c r="G19" s="2718" t="e">
        <f ca="1">ROUND(C19*$C$18+D19*$D$18,0)</f>
        <v>#REF!</v>
      </c>
      <c r="H19" s="2719" t="str">
        <f>'数据-取费表'!B3</f>
        <v>元</v>
      </c>
      <c r="I19" s="2767"/>
      <c r="J19" s="2842"/>
    </row>
    <row r="20" spans="1:36" ht="15">
      <c r="A20" s="2720"/>
      <c r="B20" s="1689" t="s">
        <v>1737</v>
      </c>
      <c r="C20" s="1914" t="e">
        <f ca="1">SUMIF(INDIRECT("'"&amp;C4&amp;"'"&amp;"!A:A"),结果表!B20,INDIRECT("'"&amp;C4&amp;"'"&amp;"!B:B"))</f>
        <v>#REF!</v>
      </c>
      <c r="D20" s="1917" t="e">
        <f ca="1">SUMIF(INDIRECT("'"&amp;D4&amp;"'"&amp;"!A:A"),结果表!B20,INDIRECT("'"&amp;D4&amp;"'"&amp;"!B:B"))</f>
        <v>#REF!</v>
      </c>
      <c r="E20" s="2720"/>
      <c r="F20" s="1689" t="s">
        <v>1737</v>
      </c>
      <c r="G20" s="2088" t="e">
        <f ca="1">ROUND(C20*$C$18+D20*$D$18,0)</f>
        <v>#REF!</v>
      </c>
      <c r="H20" s="2721" t="s">
        <v>1738</v>
      </c>
      <c r="I20" s="2558"/>
      <c r="J20" s="2841"/>
    </row>
    <row r="21" spans="1:36" ht="15" customHeight="1" thickBot="1">
      <c r="A21" s="2722"/>
      <c r="B21" s="2723"/>
      <c r="C21" s="2723"/>
      <c r="D21" s="2724"/>
      <c r="E21" s="2722"/>
      <c r="F21" s="2723"/>
      <c r="G21" s="2725"/>
      <c r="H21" s="2726"/>
      <c r="I21" s="2558"/>
      <c r="J21" s="2841"/>
    </row>
    <row r="22" spans="1:36" ht="15" thickBot="1">
      <c r="A22" s="2727" t="s">
        <v>1739</v>
      </c>
      <c r="B22" s="2728"/>
      <c r="C22" s="2641"/>
      <c r="D22" s="2729" t="e">
        <f ca="1">IF(C19&lt;D19,D19/C19-1,C19/D19-1)</f>
        <v>#REF!</v>
      </c>
      <c r="E22" s="947"/>
      <c r="F22" s="947"/>
      <c r="G22" s="947"/>
      <c r="H22" s="947"/>
      <c r="I22" s="947"/>
      <c r="J22" s="2841"/>
    </row>
    <row r="23" spans="1:36" ht="13.5" thickBot="1">
      <c r="A23" s="2558"/>
      <c r="B23" s="2558"/>
      <c r="C23" s="2558"/>
      <c r="D23" s="2558"/>
      <c r="E23" s="947"/>
      <c r="F23" s="947"/>
      <c r="G23" s="947"/>
      <c r="H23" s="947"/>
      <c r="I23" s="947"/>
      <c r="J23" s="2841"/>
    </row>
    <row r="24" spans="1:36" ht="21.75" customHeight="1">
      <c r="A24" s="3347" t="s">
        <v>1740</v>
      </c>
      <c r="B24" s="2715" t="s">
        <v>1735</v>
      </c>
      <c r="C24" s="2718">
        <f>D30</f>
        <v>0</v>
      </c>
      <c r="D24" s="2670"/>
      <c r="E24" s="947"/>
      <c r="F24" s="947"/>
      <c r="G24" s="947"/>
      <c r="H24" s="947"/>
      <c r="I24" s="947"/>
      <c r="J24" s="2841"/>
    </row>
    <row r="25" spans="1:36" ht="21.75" customHeight="1">
      <c r="A25" s="3348"/>
      <c r="B25" s="1689" t="s">
        <v>1737</v>
      </c>
      <c r="C25" s="2730">
        <f>IF(B30=0,0,C30)</f>
        <v>0</v>
      </c>
      <c r="D25" s="2731"/>
      <c r="E25" s="947"/>
      <c r="F25" s="947"/>
      <c r="G25" s="947"/>
      <c r="H25" s="947"/>
      <c r="I25" s="947"/>
      <c r="J25" s="2841"/>
    </row>
    <row r="26" spans="1:36" ht="13.5" customHeight="1">
      <c r="A26" s="2732" t="s">
        <v>1741</v>
      </c>
      <c r="B26" s="2733" t="s">
        <v>1742</v>
      </c>
      <c r="C26" s="2733" t="s">
        <v>1743</v>
      </c>
      <c r="D26" s="2734" t="s">
        <v>1744</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1745</v>
      </c>
      <c r="B30" s="2769"/>
      <c r="C30" s="2769"/>
      <c r="D30" s="2769"/>
      <c r="E30" s="2736" t="s">
        <v>2819</v>
      </c>
      <c r="F30" s="2558"/>
      <c r="G30" s="2558"/>
      <c r="H30" s="2558"/>
      <c r="I30" s="2558"/>
      <c r="J30" s="2841"/>
    </row>
    <row r="31" spans="1:36" s="2834" customFormat="1" ht="26.45" customHeight="1" thickTop="1" thickBot="1">
      <c r="A31" s="2829"/>
      <c r="B31" s="2830"/>
      <c r="C31" s="2830"/>
      <c r="D31" s="2830"/>
      <c r="E31" s="2830"/>
      <c r="F31" s="2830"/>
      <c r="G31" s="2830"/>
      <c r="H31" s="2830"/>
      <c r="I31" s="2831" t="s">
        <v>2820</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1746</v>
      </c>
      <c r="B32" s="2823" t="str">
        <f>'数据-取费表'!B4</f>
        <v>楼面单价</v>
      </c>
      <c r="C32" s="2824" t="e">
        <f ca="1">IF(B32="总价",G19-C24,G20-C25)</f>
        <v>#REF!</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1747</v>
      </c>
      <c r="B33" s="255"/>
      <c r="C33" s="2738"/>
      <c r="D33" s="2739"/>
      <c r="E33" s="2740" t="s">
        <v>1748</v>
      </c>
      <c r="F33" s="2741" t="str">
        <f>IF(B32="楼面单价","取值（单价）","取值（总价）")</f>
        <v>取值（单价）</v>
      </c>
      <c r="G33" s="947"/>
      <c r="H33" s="947"/>
      <c r="I33" s="947"/>
      <c r="J33" s="2841"/>
    </row>
    <row r="34" spans="1:17" ht="15">
      <c r="A34" s="1462"/>
      <c r="B34" s="2742" t="s">
        <v>1749</v>
      </c>
      <c r="C34" s="2743" t="e">
        <f ca="1">IF(D33="自定义",F34,C32-C35)</f>
        <v>#REF!</v>
      </c>
      <c r="D34" s="2744">
        <f ca="1">IF(D33="自定义",ROUND(C34/C32,3),1-D35)</f>
        <v>2.9319999999999999</v>
      </c>
      <c r="E34" s="1432" t="s">
        <v>1750</v>
      </c>
      <c r="F34" s="2745">
        <v>2000</v>
      </c>
      <c r="G34" s="947"/>
      <c r="H34" s="947"/>
      <c r="I34" s="947"/>
      <c r="J34" s="2841"/>
    </row>
    <row r="35" spans="1:17" ht="15.75" thickBot="1">
      <c r="A35" s="1463"/>
      <c r="B35" s="2746" t="s">
        <v>1751</v>
      </c>
      <c r="C35" s="2747" t="e">
        <f ca="1">IF(D33="自定义",F35,ROUND(C32*D35,0))</f>
        <v>#REF!</v>
      </c>
      <c r="D35" s="2748">
        <f ca="1">IF(D33="自定义",ROUND(C35/C32,3),IF(D33="成本法成本比率",成本法!C56,IF(D33="收益法收益比率",收益法!J38,收益法!J41)))</f>
        <v>-1.9319999999999999</v>
      </c>
      <c r="E35" s="2749" t="s">
        <v>1752</v>
      </c>
      <c r="F35" s="2750">
        <v>4460</v>
      </c>
      <c r="G35" s="947"/>
      <c r="H35" s="947"/>
      <c r="I35" s="947"/>
      <c r="J35" s="2841"/>
    </row>
    <row r="36" spans="1:17" ht="15.75" thickBot="1">
      <c r="A36" s="3347" t="s">
        <v>1753</v>
      </c>
      <c r="B36" s="1464" t="s">
        <v>1754</v>
      </c>
      <c r="C36" s="2751">
        <v>0</v>
      </c>
      <c r="D36" s="2752"/>
      <c r="E36" s="1676"/>
      <c r="F36" s="1676"/>
      <c r="G36" s="947"/>
      <c r="H36" s="947"/>
      <c r="I36" s="947"/>
      <c r="J36" s="2841"/>
    </row>
    <row r="37" spans="1:17" ht="15.75" thickBot="1">
      <c r="A37" s="3352"/>
      <c r="B37" s="2089" t="s">
        <v>1755</v>
      </c>
      <c r="C37" s="2753">
        <v>0</v>
      </c>
      <c r="D37" s="1309"/>
      <c r="E37" s="1309"/>
      <c r="F37" s="1676"/>
      <c r="G37" s="1309"/>
      <c r="H37" s="1309"/>
      <c r="I37" s="1309"/>
      <c r="J37" s="2845"/>
    </row>
    <row r="38" spans="1:17" ht="15.75" thickBot="1">
      <c r="A38" s="3353"/>
      <c r="B38" s="1465" t="s">
        <v>1756</v>
      </c>
      <c r="C38" s="2754">
        <v>0</v>
      </c>
      <c r="D38" s="2755" t="s">
        <v>1757</v>
      </c>
      <c r="E38" s="1309"/>
      <c r="F38" s="1676"/>
      <c r="G38" s="1309"/>
      <c r="H38" s="1309"/>
      <c r="I38" s="1309"/>
      <c r="J38" s="2845"/>
    </row>
    <row r="39" spans="1:17" ht="15">
      <c r="A39" s="2720" t="s">
        <v>1758</v>
      </c>
      <c r="B39" s="2756" t="s">
        <v>1742</v>
      </c>
      <c r="C39" s="2757" t="s">
        <v>1743</v>
      </c>
      <c r="D39" s="2757" t="s">
        <v>1759</v>
      </c>
      <c r="E39" s="2758" t="s">
        <v>1744</v>
      </c>
      <c r="F39" s="1676"/>
      <c r="G39" s="1309"/>
      <c r="H39" s="1309"/>
      <c r="I39" s="1309"/>
      <c r="J39" s="2845"/>
    </row>
    <row r="40" spans="1:17" ht="14.25">
      <c r="A40" s="2759" t="s">
        <v>1760</v>
      </c>
      <c r="B40" s="2760"/>
      <c r="C40" s="2761"/>
      <c r="D40" s="2761"/>
      <c r="E40" s="2762"/>
      <c r="F40" s="1676"/>
      <c r="G40" s="1309"/>
      <c r="H40" s="1309"/>
      <c r="I40" s="1309"/>
      <c r="J40" s="2845"/>
    </row>
    <row r="41" spans="1:17" ht="14.25">
      <c r="A41" s="2759" t="s">
        <v>1761</v>
      </c>
      <c r="B41" s="2760"/>
      <c r="C41" s="2761"/>
      <c r="D41" s="2761"/>
      <c r="E41" s="2762"/>
      <c r="F41" s="1676"/>
      <c r="G41" s="1309"/>
      <c r="H41" s="1309"/>
      <c r="I41" s="1309"/>
      <c r="J41" s="2845"/>
    </row>
    <row r="42" spans="1:17" ht="15" thickBot="1">
      <c r="A42" s="2763"/>
      <c r="B42" s="2764"/>
      <c r="C42" s="2765"/>
      <c r="D42" s="2765"/>
      <c r="E42" s="2750"/>
      <c r="F42" s="1676"/>
      <c r="G42" s="1309"/>
      <c r="H42" s="1309"/>
      <c r="I42" s="1309"/>
      <c r="J42" s="2845"/>
    </row>
    <row r="43" spans="1:17" ht="12.75">
      <c r="A43" s="2971"/>
      <c r="B43" s="2971"/>
      <c r="C43" s="2971"/>
      <c r="D43" s="2971"/>
      <c r="E43" s="2971"/>
      <c r="F43" s="2970"/>
      <c r="G43" s="2970"/>
      <c r="H43" s="2970"/>
      <c r="I43" s="2657"/>
      <c r="J43" s="2846"/>
    </row>
    <row r="44" spans="1:17" ht="18.75">
      <c r="A44" s="1467" t="s">
        <v>1762</v>
      </c>
      <c r="B44" s="1468"/>
      <c r="C44" s="1468"/>
      <c r="D44" s="1469"/>
      <c r="E44" s="1469"/>
      <c r="F44" s="1470"/>
      <c r="G44" s="1470"/>
      <c r="H44" s="1470"/>
      <c r="I44" s="2835" t="s">
        <v>2814</v>
      </c>
      <c r="J44" s="2847"/>
      <c r="K44" s="1471" t="s">
        <v>1763</v>
      </c>
      <c r="L44" s="1472"/>
      <c r="M44" s="1472"/>
      <c r="N44" s="1472"/>
      <c r="O44" s="1472"/>
      <c r="P44" s="1472"/>
      <c r="Q44" s="1306"/>
    </row>
    <row r="45" spans="1:17" ht="14.25" customHeight="1" thickBot="1">
      <c r="A45" s="3272" t="s">
        <v>1764</v>
      </c>
      <c r="B45" s="3273"/>
      <c r="C45" s="3283"/>
      <c r="D45" s="246" t="e">
        <f ca="1">ROUND(I102*F45,0)</f>
        <v>#REF!</v>
      </c>
      <c r="E45" s="1538" t="s">
        <v>1765</v>
      </c>
      <c r="F45" s="2556">
        <v>1</v>
      </c>
      <c r="G45" s="2557" t="s">
        <v>1766</v>
      </c>
      <c r="H45" s="947"/>
      <c r="I45" s="947"/>
      <c r="J45" s="2841"/>
      <c r="K45" s="3278" t="s">
        <v>2744</v>
      </c>
      <c r="L45" s="3278"/>
      <c r="M45" s="3278"/>
      <c r="N45" s="3278"/>
      <c r="O45" s="3278"/>
      <c r="P45" s="3278"/>
      <c r="Q45" s="1306"/>
    </row>
    <row r="46" spans="1:17" ht="14.25" customHeight="1">
      <c r="A46" s="3349" t="s">
        <v>1768</v>
      </c>
      <c r="B46" s="3350"/>
      <c r="C46" s="3350"/>
      <c r="D46" s="3350"/>
      <c r="E46" s="3350"/>
      <c r="F46" s="3350"/>
      <c r="G46" s="3351"/>
      <c r="H46" s="2973"/>
      <c r="I46" s="947"/>
      <c r="J46" s="2841"/>
      <c r="K46" s="2531">
        <v>1</v>
      </c>
      <c r="L46" s="3279" t="s">
        <v>2745</v>
      </c>
      <c r="M46" s="3279"/>
      <c r="N46" s="3280" t="str">
        <f>项目基本情况!B1</f>
        <v>北京市房地产市场价值预评估</v>
      </c>
      <c r="O46" s="3280"/>
      <c r="P46" s="3280"/>
      <c r="Q46" s="1306"/>
    </row>
    <row r="47" spans="1:17" ht="12" customHeight="1">
      <c r="A47" s="38" t="s">
        <v>1770</v>
      </c>
      <c r="B47" s="39"/>
      <c r="C47" s="40"/>
      <c r="D47" s="1097" t="s">
        <v>1771</v>
      </c>
      <c r="E47" s="235" t="s">
        <v>1772</v>
      </c>
      <c r="F47" s="41" t="s">
        <v>1773</v>
      </c>
      <c r="G47" s="2559" t="s">
        <v>1774</v>
      </c>
      <c r="H47" s="2973"/>
      <c r="I47" s="947"/>
      <c r="J47" s="2841"/>
      <c r="K47" s="2531">
        <v>2</v>
      </c>
      <c r="L47" s="3279" t="s">
        <v>2746</v>
      </c>
      <c r="M47" s="3279"/>
      <c r="N47" s="3281">
        <f>'数据-取费表'!B2</f>
        <v>44333</v>
      </c>
      <c r="O47" s="3281"/>
      <c r="P47" s="3281"/>
      <c r="Q47" s="1306"/>
    </row>
    <row r="48" spans="1:17" ht="25.5">
      <c r="A48" s="3354" t="s">
        <v>1776</v>
      </c>
      <c r="B48" s="3288"/>
      <c r="C48" s="3288"/>
      <c r="D48" s="12" t="e">
        <f ca="1">IF(H48="情况1",0,IF(H48="情况2",D52,IF(H48="情况3",D53,IF(H48="情况4",D54))))</f>
        <v>#REF!</v>
      </c>
      <c r="E48" s="2087" t="str">
        <f>IF(H48="情况4","(销售额-原购置价)×税（费）率","销售额×税（费）率")</f>
        <v>销售额×税（费）率</v>
      </c>
      <c r="F48" s="2560">
        <f>IF(H48="情况1","免征",'数据-取费表'!E29)</f>
        <v>5.6000000000000001E-2</v>
      </c>
      <c r="G48" s="2561" t="s">
        <v>1777</v>
      </c>
      <c r="H48" s="2562" t="s">
        <v>1778</v>
      </c>
      <c r="I48" s="2973"/>
      <c r="J48" s="2848"/>
      <c r="K48" s="2531">
        <v>3</v>
      </c>
      <c r="L48" s="3279" t="s">
        <v>2747</v>
      </c>
      <c r="M48" s="3279"/>
      <c r="N48" s="3280" t="e">
        <f ca="1">I102</f>
        <v>#REF!</v>
      </c>
      <c r="O48" s="3280"/>
      <c r="P48" s="3280"/>
      <c r="Q48" s="1306"/>
    </row>
    <row r="49" spans="1:17" ht="25.5" customHeight="1">
      <c r="A49" s="2086" t="s">
        <v>1780</v>
      </c>
      <c r="B49" s="3327" t="s">
        <v>1781</v>
      </c>
      <c r="C49" s="3327"/>
      <c r="D49" s="2563">
        <v>0</v>
      </c>
      <c r="E49" s="261" t="s">
        <v>1782</v>
      </c>
      <c r="F49" s="2564" t="s">
        <v>48</v>
      </c>
      <c r="G49" s="3269"/>
      <c r="H49" s="2565" t="s">
        <v>2821</v>
      </c>
      <c r="I49" s="2566"/>
      <c r="J49" s="2849"/>
      <c r="K49" s="2531">
        <v>4</v>
      </c>
      <c r="L49" s="3279" t="str">
        <f>IF(项目基本情况!F5="房地产抵押价值","房地产抵押价值","抵押担保权已注销时的房地产抵押价值")</f>
        <v>抵押担保权已注销时的房地产抵押价值</v>
      </c>
      <c r="M49" s="3279"/>
      <c r="N49" s="3280" t="str">
        <f>IF(项目基本情况!F5="房地产抵押价值",I110,I112)</f>
        <v>——</v>
      </c>
      <c r="O49" s="3280"/>
      <c r="P49" s="3280"/>
      <c r="Q49" s="1306"/>
    </row>
    <row r="50" spans="1:17" ht="25.5" customHeight="1">
      <c r="A50" s="2076"/>
      <c r="B50" s="3327" t="s">
        <v>1783</v>
      </c>
      <c r="C50" s="3327"/>
      <c r="D50" s="2567"/>
      <c r="E50" s="269"/>
      <c r="F50" s="2564"/>
      <c r="G50" s="3270"/>
      <c r="H50" s="2568" t="s">
        <v>2740</v>
      </c>
      <c r="I50" s="2566"/>
      <c r="J50" s="2849"/>
      <c r="K50" s="3279" t="s">
        <v>2748</v>
      </c>
      <c r="L50" s="3279"/>
      <c r="M50" s="3279"/>
      <c r="N50" s="3279"/>
      <c r="O50" s="3279"/>
      <c r="P50" s="3279"/>
      <c r="Q50" s="1306"/>
    </row>
    <row r="51" spans="1:17" ht="20.45" customHeight="1">
      <c r="A51" s="2569"/>
      <c r="B51" s="3327" t="s">
        <v>1785</v>
      </c>
      <c r="C51" s="3327"/>
      <c r="D51" s="1097"/>
      <c r="E51" s="264"/>
      <c r="F51" s="2564"/>
      <c r="G51" s="3271"/>
      <c r="H51" s="2568" t="s">
        <v>2741</v>
      </c>
      <c r="I51" s="2566"/>
      <c r="J51" s="2849"/>
      <c r="K51" s="2532" t="s">
        <v>2749</v>
      </c>
      <c r="L51" s="3279" t="s">
        <v>2750</v>
      </c>
      <c r="M51" s="3279"/>
      <c r="N51" s="2532" t="s">
        <v>2751</v>
      </c>
      <c r="O51" s="2532" t="s">
        <v>2752</v>
      </c>
      <c r="P51" s="2532" t="s">
        <v>2753</v>
      </c>
      <c r="Q51" s="1306"/>
    </row>
    <row r="52" spans="1:17" ht="24" customHeight="1">
      <c r="A52" s="2077" t="s">
        <v>1791</v>
      </c>
      <c r="B52" s="3327" t="s">
        <v>1792</v>
      </c>
      <c r="C52" s="3327"/>
      <c r="D52" s="1097" t="e">
        <f ca="1">ROUND(D45*'数据-取费表'!E29/(1+'数据-取费表'!F30),0)</f>
        <v>#REF!</v>
      </c>
      <c r="E52" s="2087" t="s">
        <v>1793</v>
      </c>
      <c r="F52" s="2570">
        <f>'数据-取费表'!E29</f>
        <v>5.6000000000000001E-2</v>
      </c>
      <c r="G52" s="2571"/>
      <c r="H52" s="947"/>
      <c r="I52" s="2974"/>
      <c r="J52" s="2849"/>
      <c r="K52" s="2531">
        <v>1</v>
      </c>
      <c r="L52" s="3268" t="s">
        <v>2754</v>
      </c>
      <c r="M52" s="3268"/>
      <c r="N52" s="2533" t="e">
        <f ca="1">D48</f>
        <v>#REF!</v>
      </c>
      <c r="O52" s="2531" t="str">
        <f>E48</f>
        <v>销售额×税（费）率</v>
      </c>
      <c r="P52" s="2534">
        <f>F48</f>
        <v>5.6000000000000001E-2</v>
      </c>
      <c r="Q52" s="1306"/>
    </row>
    <row r="53" spans="1:17" ht="12" customHeight="1">
      <c r="A53" s="2077" t="s">
        <v>1795</v>
      </c>
      <c r="B53" s="3339" t="s">
        <v>2833</v>
      </c>
      <c r="C53" s="3328"/>
      <c r="D53" s="1097" t="e">
        <f ca="1">ROUND(D45*'数据-取费表'!E29/(1+'数据-取费表'!F30),0)</f>
        <v>#REF!</v>
      </c>
      <c r="E53" s="2087" t="s">
        <v>1793</v>
      </c>
      <c r="F53" s="2570">
        <f>'数据-取费表'!E29</f>
        <v>5.6000000000000001E-2</v>
      </c>
      <c r="G53" s="2571"/>
      <c r="H53" s="947"/>
      <c r="I53" s="2974"/>
      <c r="J53" s="2849"/>
      <c r="K53" s="2531">
        <v>2</v>
      </c>
      <c r="L53" s="3268" t="s">
        <v>2755</v>
      </c>
      <c r="M53" s="3268"/>
      <c r="N53" s="2533">
        <f t="shared" ref="N53:P54" si="1">D55</f>
        <v>0</v>
      </c>
      <c r="O53" s="2531" t="str">
        <f t="shared" si="1"/>
        <v>销售额×税（费）率</v>
      </c>
      <c r="P53" s="2534" t="str">
        <f t="shared" si="1"/>
        <v>免征</v>
      </c>
      <c r="Q53" s="1306"/>
    </row>
    <row r="54" spans="1:17" ht="12" customHeight="1">
      <c r="A54" s="2077" t="s">
        <v>1797</v>
      </c>
      <c r="B54" s="3339" t="s">
        <v>2834</v>
      </c>
      <c r="C54" s="3328"/>
      <c r="D54" s="1097" t="e">
        <f ca="1">C68</f>
        <v>#REF!</v>
      </c>
      <c r="E54" s="264" t="s">
        <v>1798</v>
      </c>
      <c r="F54" s="2570">
        <f>'数据-取费表'!E29</f>
        <v>5.6000000000000001E-2</v>
      </c>
      <c r="G54" s="2571"/>
      <c r="H54" s="2975"/>
      <c r="I54" s="2974"/>
      <c r="J54" s="2849"/>
      <c r="K54" s="2531">
        <v>3</v>
      </c>
      <c r="L54" s="3268" t="s">
        <v>2756</v>
      </c>
      <c r="M54" s="3268"/>
      <c r="N54" s="2533">
        <f t="shared" si="1"/>
        <v>0</v>
      </c>
      <c r="O54" s="2531" t="str">
        <f t="shared" si="1"/>
        <v>增值额×税（费）率</v>
      </c>
      <c r="P54" s="2535" t="str">
        <f t="shared" si="1"/>
        <v>免征</v>
      </c>
      <c r="Q54" s="1306"/>
    </row>
    <row r="55" spans="1:17" ht="24" customHeight="1">
      <c r="A55" s="3292" t="s">
        <v>1800</v>
      </c>
      <c r="B55" s="3288"/>
      <c r="C55" s="3288"/>
      <c r="D55" s="12">
        <f>IF(H55="个人住宅",0,ROUND(D45*I55,0))</f>
        <v>0</v>
      </c>
      <c r="E55" s="2087" t="s">
        <v>1801</v>
      </c>
      <c r="F55" s="2570" t="str">
        <f>IF(H55="正常",I55,"免征")</f>
        <v>免征</v>
      </c>
      <c r="G55" s="2571"/>
      <c r="H55" s="2562" t="s">
        <v>2737</v>
      </c>
      <c r="I55" s="74">
        <f>'数据-取费表'!E37</f>
        <v>5.0000000000000001E-4</v>
      </c>
      <c r="J55" s="2849"/>
      <c r="K55" s="2531" t="str">
        <f>IF(H59="非个人房产","",4)</f>
        <v/>
      </c>
      <c r="L55" s="3268" t="str">
        <f>IF(H59="非个人房产","——","个人所得税")</f>
        <v>——</v>
      </c>
      <c r="M55" s="3268"/>
      <c r="N55" s="2536" t="str">
        <f>D59</f>
        <v>——</v>
      </c>
      <c r="O55" s="2537" t="str">
        <f>E59</f>
        <v>——</v>
      </c>
      <c r="P55" s="2538" t="str">
        <f>F59</f>
        <v>——</v>
      </c>
      <c r="Q55" s="1306"/>
    </row>
    <row r="56" spans="1:17" ht="24.75">
      <c r="A56" s="3292" t="s">
        <v>1803</v>
      </c>
      <c r="B56" s="3288"/>
      <c r="C56" s="3288"/>
      <c r="D56" s="12">
        <f>IF(H56="个人住宅",D57,D58)</f>
        <v>0</v>
      </c>
      <c r="E56" s="2087" t="s">
        <v>1804</v>
      </c>
      <c r="F56" s="2570" t="str">
        <f>IF(H56="正常",F58,"免征")</f>
        <v>免征</v>
      </c>
      <c r="G56" s="2572" t="s">
        <v>1805</v>
      </c>
      <c r="H56" s="2573" t="s">
        <v>2737</v>
      </c>
      <c r="I56" s="2976"/>
      <c r="J56" s="2849"/>
      <c r="K56" s="2531" t="str">
        <f>IF(项目基本情况!I6="上海银行",IF(K55="",4,K55+1),"")</f>
        <v/>
      </c>
      <c r="L56" s="3266" t="str">
        <f>IF(项目基本情况!I6="上海银行","其他处置费用","")</f>
        <v/>
      </c>
      <c r="M56" s="3286"/>
      <c r="N56" s="2533" t="str">
        <f>IF(项目基本情况!I6="上海银行",N69,"")</f>
        <v/>
      </c>
      <c r="O56" s="3266" t="str">
        <f>IF(项目基本情况!I6="上海银行","包含处置中涉及的律师、诉讼、拍卖、评估等费用","")</f>
        <v/>
      </c>
      <c r="P56" s="3267"/>
      <c r="Q56" s="1306"/>
    </row>
    <row r="57" spans="1:17" ht="12.75">
      <c r="A57" s="2077" t="s">
        <v>1780</v>
      </c>
      <c r="B57" s="3339" t="s">
        <v>1806</v>
      </c>
      <c r="C57" s="3328"/>
      <c r="D57" s="2563">
        <v>0</v>
      </c>
      <c r="E57" s="261" t="s">
        <v>1782</v>
      </c>
      <c r="F57" s="235"/>
      <c r="G57" s="2571"/>
      <c r="H57" s="2976"/>
      <c r="I57" s="2976"/>
      <c r="J57" s="2849"/>
      <c r="K57" s="3268">
        <f>IF(AND(K55="",K56=""),4,IF(项目基本情况!I6="上海银行",K56+1,K55+1))</f>
        <v>4</v>
      </c>
      <c r="L57" s="3268" t="s">
        <v>2757</v>
      </c>
      <c r="M57" s="2539" t="s">
        <v>2758</v>
      </c>
      <c r="N57" s="2540"/>
      <c r="O57" s="2541">
        <f ca="1">SUMIF(N52:N56,"&lt;9e307")</f>
        <v>0</v>
      </c>
      <c r="P57" s="2542"/>
      <c r="Q57" s="1304" t="e">
        <f ca="1">O57/N49</f>
        <v>#VALUE!</v>
      </c>
    </row>
    <row r="58" spans="1:17" ht="24.75">
      <c r="A58" s="2077" t="s">
        <v>1791</v>
      </c>
      <c r="B58" s="3339" t="s">
        <v>1809</v>
      </c>
      <c r="C58" s="3327"/>
      <c r="D58" s="12" t="e">
        <f ca="1">IF(H58="转让取得",C81,C97)</f>
        <v>#REF!</v>
      </c>
      <c r="E58" s="2087" t="s">
        <v>1804</v>
      </c>
      <c r="F58" s="235" t="s">
        <v>48</v>
      </c>
      <c r="G58" s="2571"/>
      <c r="H58" s="2573" t="s">
        <v>1810</v>
      </c>
      <c r="I58" s="2976"/>
      <c r="J58" s="2849"/>
      <c r="K58" s="3268"/>
      <c r="L58" s="3268"/>
      <c r="M58" s="2539" t="s">
        <v>2759</v>
      </c>
      <c r="N58" s="2543"/>
      <c r="O58" s="2544" t="str">
        <f ca="1">IF(H19="元",NUMBERSTRING(INT(O57),2)&amp;"元整",NUMBERSTRING(INT(O57*10000),2)&amp;"元整")</f>
        <v>零元整</v>
      </c>
      <c r="P58" s="2545"/>
      <c r="Q58" s="1306"/>
    </row>
    <row r="59" spans="1:17" ht="24.75" thickBot="1">
      <c r="A59" s="3355" t="s">
        <v>1812</v>
      </c>
      <c r="B59" s="3356"/>
      <c r="C59" s="3356"/>
      <c r="D59" s="2574"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5" t="str">
        <f>IF(OR(H59="非个人房产",H59="个人住宅（满五唯一有凭证）"),"——",IF(H59="个人其他（有凭证）",20%,1%))</f>
        <v>——</v>
      </c>
      <c r="G59" s="2819" t="s">
        <v>2812</v>
      </c>
      <c r="H59" s="2091" t="s">
        <v>2822</v>
      </c>
      <c r="I59" s="2878" t="s">
        <v>2823</v>
      </c>
      <c r="J59" s="2849"/>
      <c r="K59" s="3321">
        <f>K57+1</f>
        <v>5</v>
      </c>
      <c r="L59" s="3268" t="s">
        <v>2760</v>
      </c>
      <c r="M59" s="2531" t="s">
        <v>2758</v>
      </c>
      <c r="N59" s="2546"/>
      <c r="O59" s="2547" t="e">
        <f ca="1">N49-O57</f>
        <v>#VALUE!</v>
      </c>
      <c r="P59" s="2548"/>
      <c r="Q59" s="1306"/>
    </row>
    <row r="60" spans="1:17" ht="12" customHeight="1">
      <c r="A60" s="1453"/>
      <c r="B60" s="1457"/>
      <c r="C60" s="1457"/>
      <c r="D60" s="1457"/>
      <c r="E60" s="812"/>
      <c r="F60" s="2977"/>
      <c r="G60" s="2977"/>
      <c r="H60" s="2978"/>
      <c r="I60" s="31"/>
      <c r="K60" s="3322"/>
      <c r="L60" s="3268"/>
      <c r="M60" s="2539" t="s">
        <v>2759</v>
      </c>
      <c r="N60" s="2543"/>
      <c r="O60" s="2544" t="e">
        <f ca="1">IF(H19="元",NUMBERSTRING(INT(O59),2)&amp;"元整",NUMBERSTRING(INT(O59*10000),2)&amp;"元整")</f>
        <v>#VALUE!</v>
      </c>
      <c r="P60" s="2545"/>
      <c r="Q60" s="1306"/>
    </row>
    <row r="61" spans="1:17" ht="13.5" thickBot="1">
      <c r="A61" s="3357" t="s">
        <v>1814</v>
      </c>
      <c r="B61" s="3357"/>
      <c r="C61" s="3357"/>
      <c r="D61" s="3357"/>
      <c r="E61" s="3357"/>
      <c r="F61" s="2977"/>
      <c r="G61" s="2977"/>
      <c r="H61" s="2979"/>
      <c r="I61" s="31"/>
      <c r="K61" s="2531">
        <f>K59+1</f>
        <v>6</v>
      </c>
      <c r="L61" s="3268" t="s">
        <v>2761</v>
      </c>
      <c r="M61" s="3268"/>
      <c r="N61" s="2549"/>
      <c r="O61" s="2550" t="e">
        <f ca="1">IF(H19="元",ROUND(O59/项目基本情况!C12,0),ROUND(O59*10000/项目基本情况!C12,0))</f>
        <v>#VALUE!</v>
      </c>
      <c r="P61" s="2551"/>
      <c r="Q61" s="1306"/>
    </row>
    <row r="62" spans="1:17" ht="12.75">
      <c r="A62" s="3306" t="s">
        <v>1816</v>
      </c>
      <c r="B62" s="3307"/>
      <c r="C62" s="1603"/>
      <c r="D62" s="1603" t="s">
        <v>1817</v>
      </c>
      <c r="E62" s="45" t="s">
        <v>1818</v>
      </c>
      <c r="F62" s="2977"/>
      <c r="G62" s="2977"/>
      <c r="H62" s="2979"/>
      <c r="I62" s="31"/>
      <c r="K62" s="2552"/>
      <c r="L62" s="2552"/>
      <c r="M62" s="2552"/>
      <c r="N62" s="2552"/>
      <c r="O62" s="2552"/>
      <c r="P62" s="2552"/>
      <c r="Q62" s="1306"/>
    </row>
    <row r="63" spans="1:17" ht="12.75">
      <c r="A63" s="46">
        <v>1</v>
      </c>
      <c r="B63" s="47" t="s">
        <v>1819</v>
      </c>
      <c r="C63" s="2780" t="e">
        <f ca="1">ROUND((C64+C65)/(1+'数据-取费表'!F30),0)</f>
        <v>#REF!</v>
      </c>
      <c r="D63" s="47"/>
      <c r="E63" s="48"/>
      <c r="F63" s="2977"/>
      <c r="G63" s="2977"/>
      <c r="H63" s="2979"/>
      <c r="I63" s="31"/>
      <c r="K63" s="3287" t="s">
        <v>2762</v>
      </c>
      <c r="L63" s="2553" t="s">
        <v>2763</v>
      </c>
      <c r="M63" s="2553" t="e">
        <f>IF(N49&gt;10000,N49*0.5%,IF(AND(N49&gt;1000,N49&lt;=10000),N49*1%,IF(AND(N49&gt;100,N49&lt;=1000),N49*3%,IF(AND(N49&gt;10,N49&lt;=100),N49*5%,N49*8%))))</f>
        <v>#VALUE!</v>
      </c>
      <c r="N63" s="2554" t="e">
        <f>ROUND(M63,1)</f>
        <v>#VALUE!</v>
      </c>
      <c r="O63" s="2552"/>
      <c r="P63" s="2552"/>
      <c r="Q63" s="1306"/>
    </row>
    <row r="64" spans="1:17" ht="12.75">
      <c r="A64" s="49" t="s">
        <v>71</v>
      </c>
      <c r="B64" s="50" t="s">
        <v>1822</v>
      </c>
      <c r="C64" s="2781" t="e">
        <f ca="1">D45</f>
        <v>#REF!</v>
      </c>
      <c r="D64" s="50" t="s">
        <v>41</v>
      </c>
      <c r="E64" s="52"/>
      <c r="F64" s="2977"/>
      <c r="G64" s="2977"/>
      <c r="H64" s="2979"/>
      <c r="I64" s="31"/>
      <c r="K64" s="3287"/>
      <c r="L64" s="2553" t="s">
        <v>2764</v>
      </c>
      <c r="M64" s="2553" t="e">
        <f>IF(N49&gt;2000,N49*0.5%,IF(AND(N49&gt;1000,N49&lt;=2000),N49*0.6%,IF(AND(N49&gt;500,N49&lt;=1000),N49*0.7%,IF(AND(N49&gt;200,N49&lt;=500),N49*0.8%,IF(AND(N49&gt;100,N49&lt;=200),N49*0.9%,IF(AND(N49&gt;50,N49&lt;=100),N49*1%,IF(AND(N49&gt;20,N49&lt;=50),N49*1.5%,IF(AND(N49&gt;10,N49&lt;=20),N49*2%,IF(AND(N49&gt;1,N49&lt;=10),N49*2.5%)))))))))</f>
        <v>#VALUE!</v>
      </c>
      <c r="N64" s="2554" t="e">
        <f t="shared" ref="N64:N65" si="2">ROUND(M64,1)</f>
        <v>#VALUE!</v>
      </c>
      <c r="O64" s="2552" t="s">
        <v>2765</v>
      </c>
      <c r="P64" s="2552"/>
      <c r="Q64" s="1306"/>
    </row>
    <row r="65" spans="1:36" ht="12.75">
      <c r="A65" s="49" t="s">
        <v>72</v>
      </c>
      <c r="B65" s="50" t="s">
        <v>1825</v>
      </c>
      <c r="C65" s="2782"/>
      <c r="D65" s="50"/>
      <c r="E65" s="52"/>
      <c r="F65" s="2977"/>
      <c r="G65" s="2977"/>
      <c r="H65" s="2979"/>
      <c r="I65" s="31"/>
      <c r="K65" s="3287"/>
      <c r="L65" s="2553" t="s">
        <v>2766</v>
      </c>
      <c r="M65" s="2553" t="e">
        <f>IF(N49&gt;1000,N49*0.1%,IF(AND(N49&gt;500,N49&lt;=1000),N49*0.5%,IF(AND(N49&gt;50,N49&lt;=500),N49*1%,IF(AND(N49&gt;1,N49&lt;=50),N49*1.5%))))</f>
        <v>#VALUE!</v>
      </c>
      <c r="N65" s="2554" t="e">
        <f t="shared" si="2"/>
        <v>#VALUE!</v>
      </c>
      <c r="O65" s="2552" t="s">
        <v>2765</v>
      </c>
      <c r="P65" s="2552"/>
      <c r="Q65" s="1306"/>
    </row>
    <row r="66" spans="1:36" ht="12.75">
      <c r="A66" s="53" t="s">
        <v>47</v>
      </c>
      <c r="B66" s="54" t="s">
        <v>1827</v>
      </c>
      <c r="C66" s="2783"/>
      <c r="D66" s="54" t="s">
        <v>41</v>
      </c>
      <c r="E66" s="1314" t="s">
        <v>1828</v>
      </c>
      <c r="F66" s="2977"/>
      <c r="G66" s="2977"/>
      <c r="H66" s="2979"/>
      <c r="I66" s="31"/>
      <c r="K66" s="3287"/>
      <c r="L66" s="2553" t="s">
        <v>2767</v>
      </c>
      <c r="M66" s="2553" t="e">
        <f>N49*0.5%</f>
        <v>#VALUE!</v>
      </c>
      <c r="N66" s="2554" t="e">
        <f>IF(M66&gt;0.5,0.5,ROUND(M66,0))</f>
        <v>#VALUE!</v>
      </c>
      <c r="O66" s="2552" t="s">
        <v>2768</v>
      </c>
      <c r="P66" s="2552"/>
      <c r="Q66" s="1306"/>
    </row>
    <row r="67" spans="1:36" ht="12.75">
      <c r="A67" s="53" t="s">
        <v>42</v>
      </c>
      <c r="B67" s="54" t="s">
        <v>1831</v>
      </c>
      <c r="C67" s="2784" t="e">
        <f ca="1">C63-C66</f>
        <v>#REF!</v>
      </c>
      <c r="D67" s="50" t="s">
        <v>41</v>
      </c>
      <c r="E67" s="52"/>
      <c r="F67" s="2977"/>
      <c r="G67" s="2977"/>
      <c r="H67" s="2979"/>
      <c r="I67" s="31"/>
      <c r="K67" s="3287"/>
      <c r="L67" s="2553" t="s">
        <v>2769</v>
      </c>
      <c r="M67" s="2553" t="e">
        <f>IF(N49&gt;=10000,(8.25+(N49-10000)*0.01%),IF(AND(N49&gt;=8000,N49&lt;10000),(7.85+(N49-8000)*0.02%),IF(AND(N49&gt;=5000,N49&lt;8000),(6.65+(N49-5000)*0.04%),IF(AND(N49&gt;=2000,N49&lt;5000),(4.25+(PN49-2000)*0.08%),IF(AND(N49&gt;=1000,N49&lt;2000),(2.75+(N49-1000)*0.15%),IF(AND(N49&gt;=100,N49&lt;1000),(0.5+(N49-100)*0.25%),IF(AND(N49&gt;0,N49&lt;100),N49*0.5%)))))))</f>
        <v>#VALUE!</v>
      </c>
      <c r="N67" s="2554" t="e">
        <f>ROUND(M67*0.9,1)</f>
        <v>#VALUE!</v>
      </c>
      <c r="O67" s="2552"/>
      <c r="P67" s="2552"/>
      <c r="Q67" s="1306"/>
    </row>
    <row r="68" spans="1:36" ht="13.5" thickBot="1">
      <c r="A68" s="55" t="s">
        <v>46</v>
      </c>
      <c r="B68" s="56" t="s">
        <v>1833</v>
      </c>
      <c r="C68" s="2785" t="e">
        <f ca="1">IF(C67&lt;=0,0,ROUND(C67*D68,0))</f>
        <v>#REF!</v>
      </c>
      <c r="D68" s="2237">
        <f>'数据-取费表'!E29</f>
        <v>5.6000000000000001E-2</v>
      </c>
      <c r="E68" s="57"/>
      <c r="F68" s="2977"/>
      <c r="G68" s="2977"/>
      <c r="H68" s="2979"/>
      <c r="I68" s="31"/>
      <c r="K68" s="3287"/>
      <c r="L68" s="2553" t="s">
        <v>2770</v>
      </c>
      <c r="M68" s="2553" t="e">
        <f>IF(N49&gt;10000,N49*0.5%,IF(AND(N49&gt;5000,N49&lt;=10000),N49*1%,IF(AND(N49&gt;1000,N49&lt;=5000),N49*2%,IF(AND(N49&gt;200,N49&lt;=1000),N49*3%,N49*5%))))</f>
        <v>#VALUE!</v>
      </c>
      <c r="N68" s="2554" t="e">
        <f>ROUND(M68,1)</f>
        <v>#VALUE!</v>
      </c>
      <c r="O68" s="2552"/>
      <c r="P68" s="2552"/>
      <c r="Q68" s="1306"/>
    </row>
    <row r="69" spans="1:36" s="1461" customFormat="1" ht="7.5" customHeight="1">
      <c r="A69" s="1473"/>
      <c r="B69" s="1474"/>
      <c r="C69" s="1475"/>
      <c r="D69" s="1476"/>
      <c r="E69" s="1477"/>
      <c r="F69" s="812"/>
      <c r="G69" s="812"/>
      <c r="H69" s="1466"/>
      <c r="I69" s="1457"/>
      <c r="J69" s="2837"/>
      <c r="K69" s="3287"/>
      <c r="L69" s="2553" t="s">
        <v>54</v>
      </c>
      <c r="M69" s="2553"/>
      <c r="N69" s="2554" t="e">
        <f>ROUND(SUM(N63:N68),0)</f>
        <v>#VALUE!</v>
      </c>
      <c r="O69" s="2555" t="e">
        <f>N69/N49</f>
        <v>#VALUE!</v>
      </c>
      <c r="P69" s="2552"/>
      <c r="Q69" s="1306"/>
      <c r="R69" s="659"/>
      <c r="S69" s="659"/>
      <c r="T69" s="659"/>
      <c r="U69" s="659"/>
      <c r="V69" s="659"/>
      <c r="W69" s="659"/>
      <c r="X69" s="659"/>
      <c r="Y69" s="659"/>
      <c r="Z69" s="659"/>
      <c r="AA69" s="659"/>
      <c r="AB69" s="1306"/>
      <c r="AC69" s="1306"/>
      <c r="AD69" s="1306"/>
      <c r="AE69" s="1306"/>
      <c r="AF69" s="1306"/>
      <c r="AG69" s="1306"/>
      <c r="AH69" s="1306"/>
      <c r="AI69" s="1306"/>
      <c r="AJ69" s="1306"/>
    </row>
    <row r="70" spans="1:36" s="1479" customFormat="1" ht="15" thickBot="1">
      <c r="A70" s="3308" t="s">
        <v>1836</v>
      </c>
      <c r="B70" s="3309"/>
      <c r="C70" s="3309"/>
      <c r="D70" s="3309"/>
      <c r="E70" s="3309"/>
      <c r="F70" s="3309"/>
      <c r="G70" s="3309"/>
      <c r="H70" s="3309"/>
      <c r="I70" s="1478"/>
      <c r="J70" s="2850"/>
      <c r="P70" s="976"/>
      <c r="Q70" s="976"/>
      <c r="R70" s="976"/>
      <c r="S70" s="976"/>
      <c r="T70" s="976"/>
      <c r="U70" s="976"/>
      <c r="V70" s="976"/>
      <c r="W70" s="976"/>
      <c r="X70" s="976"/>
      <c r="Y70" s="976"/>
      <c r="Z70" s="976"/>
      <c r="AA70" s="976"/>
      <c r="AB70" s="1480"/>
      <c r="AC70" s="1480"/>
      <c r="AD70" s="1480"/>
      <c r="AE70" s="1480"/>
      <c r="AF70" s="1480"/>
      <c r="AG70" s="1480"/>
      <c r="AH70" s="1480"/>
      <c r="AI70" s="1480"/>
      <c r="AJ70" s="1480"/>
    </row>
    <row r="71" spans="1:36" s="1479" customFormat="1" ht="14.25">
      <c r="A71" s="3306" t="s">
        <v>1816</v>
      </c>
      <c r="B71" s="3307"/>
      <c r="C71" s="1603"/>
      <c r="D71" s="1603" t="s">
        <v>1817</v>
      </c>
      <c r="E71" s="58" t="s">
        <v>1818</v>
      </c>
      <c r="F71" s="59"/>
      <c r="G71" s="59"/>
      <c r="H71" s="60"/>
      <c r="I71" s="1481"/>
      <c r="J71" s="2851"/>
      <c r="P71" s="976"/>
      <c r="Q71" s="976"/>
      <c r="R71" s="976"/>
      <c r="S71" s="976"/>
      <c r="T71" s="976"/>
      <c r="U71" s="976"/>
      <c r="V71" s="976"/>
      <c r="W71" s="976"/>
      <c r="X71" s="976"/>
      <c r="Y71" s="976"/>
      <c r="Z71" s="976"/>
      <c r="AA71" s="976"/>
      <c r="AB71" s="1480"/>
      <c r="AC71" s="1480"/>
      <c r="AD71" s="1480"/>
      <c r="AE71" s="1480"/>
      <c r="AF71" s="1480"/>
      <c r="AG71" s="1480"/>
      <c r="AH71" s="1480"/>
      <c r="AI71" s="1480"/>
      <c r="AJ71" s="1480"/>
    </row>
    <row r="72" spans="1:36" s="1479" customFormat="1" ht="14.25">
      <c r="A72" s="61">
        <v>1</v>
      </c>
      <c r="B72" s="54" t="s">
        <v>1837</v>
      </c>
      <c r="C72" s="2784" t="e">
        <f ca="1">ROUND(D45/(1+'数据-取费表'!F30),0)</f>
        <v>#REF!</v>
      </c>
      <c r="D72" s="50" t="s">
        <v>41</v>
      </c>
      <c r="E72" s="12" t="s">
        <v>1838</v>
      </c>
      <c r="F72" s="2084"/>
      <c r="G72" s="2084"/>
      <c r="H72" s="62"/>
      <c r="I72" s="1481"/>
      <c r="J72" s="2851"/>
      <c r="P72" s="976"/>
      <c r="Q72" s="976"/>
      <c r="R72" s="976"/>
      <c r="S72" s="976"/>
      <c r="T72" s="976"/>
      <c r="U72" s="976"/>
      <c r="V72" s="976"/>
      <c r="W72" s="976"/>
      <c r="X72" s="976"/>
      <c r="Y72" s="976"/>
      <c r="Z72" s="976"/>
      <c r="AA72" s="976"/>
      <c r="AB72" s="1480"/>
      <c r="AC72" s="1480"/>
      <c r="AD72" s="1480"/>
      <c r="AE72" s="1480"/>
      <c r="AF72" s="1480"/>
      <c r="AG72" s="1480"/>
      <c r="AH72" s="1480"/>
      <c r="AI72" s="1480"/>
      <c r="AJ72" s="1480"/>
    </row>
    <row r="73" spans="1:36" s="1479" customFormat="1" ht="14.25">
      <c r="A73" s="63">
        <v>2</v>
      </c>
      <c r="B73" s="41" t="s">
        <v>1839</v>
      </c>
      <c r="C73" s="2784" t="e">
        <f ca="1">C74+C78</f>
        <v>#REF!</v>
      </c>
      <c r="D73" s="50" t="s">
        <v>41</v>
      </c>
      <c r="E73" s="2083"/>
      <c r="F73" s="2084"/>
      <c r="G73" s="2084"/>
      <c r="H73" s="62"/>
      <c r="I73" s="1481"/>
      <c r="J73" s="2851"/>
      <c r="P73" s="976"/>
      <c r="Q73" s="976"/>
      <c r="R73" s="976"/>
      <c r="S73" s="976"/>
      <c r="T73" s="976"/>
      <c r="U73" s="976"/>
      <c r="V73" s="976"/>
      <c r="W73" s="976"/>
      <c r="X73" s="976"/>
      <c r="Y73" s="976"/>
      <c r="Z73" s="976"/>
      <c r="AA73" s="976"/>
      <c r="AB73" s="1480"/>
      <c r="AC73" s="1480"/>
      <c r="AD73" s="1480"/>
      <c r="AE73" s="1480"/>
      <c r="AF73" s="1480"/>
      <c r="AG73" s="1480"/>
      <c r="AH73" s="1480"/>
      <c r="AI73" s="1480"/>
      <c r="AJ73" s="1480"/>
    </row>
    <row r="74" spans="1:36" s="1479" customFormat="1" ht="24">
      <c r="A74" s="49" t="s">
        <v>73</v>
      </c>
      <c r="B74" s="50" t="s">
        <v>1840</v>
      </c>
      <c r="C74" s="50">
        <f>ROUND(IF(G77="2016年5月1日后购买",C75/(1+'数据-取费表'!F30)+C76+C77,C75+C76+C77),0)</f>
        <v>0</v>
      </c>
      <c r="D74" s="50" t="s">
        <v>41</v>
      </c>
      <c r="E74" s="2083"/>
      <c r="F74" s="2084"/>
      <c r="G74" s="2084"/>
      <c r="H74" s="62"/>
      <c r="I74" s="1481"/>
      <c r="J74" s="2851"/>
      <c r="P74" s="976"/>
      <c r="Q74" s="976"/>
      <c r="R74" s="976"/>
      <c r="S74" s="976"/>
      <c r="T74" s="976"/>
      <c r="U74" s="976"/>
      <c r="V74" s="976"/>
      <c r="W74" s="976"/>
      <c r="X74" s="976"/>
      <c r="Y74" s="976"/>
      <c r="Z74" s="976"/>
      <c r="AA74" s="976"/>
      <c r="AB74" s="1480"/>
      <c r="AC74" s="1480"/>
      <c r="AD74" s="1480"/>
      <c r="AE74" s="1480"/>
      <c r="AF74" s="1480"/>
      <c r="AG74" s="1480"/>
      <c r="AH74" s="1480"/>
      <c r="AI74" s="1480"/>
      <c r="AJ74" s="1480"/>
    </row>
    <row r="75" spans="1:36" s="1479" customFormat="1" ht="14.25">
      <c r="A75" s="49" t="s">
        <v>74</v>
      </c>
      <c r="B75" s="50" t="s">
        <v>1841</v>
      </c>
      <c r="C75" s="2263"/>
      <c r="D75" s="50" t="s">
        <v>41</v>
      </c>
      <c r="E75" s="64" t="s">
        <v>1842</v>
      </c>
      <c r="F75" s="2788" t="s">
        <v>1843</v>
      </c>
      <c r="G75" s="64" t="s">
        <v>1844</v>
      </c>
      <c r="H75" s="2789"/>
      <c r="I75" s="9"/>
      <c r="J75" s="2852"/>
      <c r="P75" s="976"/>
      <c r="Q75" s="976"/>
      <c r="R75" s="976"/>
      <c r="S75" s="976"/>
      <c r="T75" s="976"/>
      <c r="U75" s="976"/>
      <c r="V75" s="976"/>
      <c r="W75" s="976"/>
      <c r="X75" s="976"/>
      <c r="Y75" s="976"/>
      <c r="Z75" s="976"/>
      <c r="AA75" s="976"/>
      <c r="AB75" s="1480"/>
      <c r="AC75" s="1480"/>
      <c r="AD75" s="1480"/>
      <c r="AE75" s="1480"/>
      <c r="AF75" s="1480"/>
      <c r="AG75" s="1480"/>
      <c r="AH75" s="1480"/>
      <c r="AI75" s="1480"/>
      <c r="AJ75" s="1480"/>
    </row>
    <row r="76" spans="1:36" s="1479" customFormat="1" ht="24.75" customHeight="1">
      <c r="A76" s="49" t="s">
        <v>75</v>
      </c>
      <c r="B76" s="65" t="s">
        <v>1845</v>
      </c>
      <c r="C76" s="50">
        <f>IF(F75="购房发票",ROUND(C75*H75*D76,0),0)</f>
        <v>0</v>
      </c>
      <c r="D76" s="2790">
        <v>0.05</v>
      </c>
      <c r="E76" s="3339" t="s">
        <v>1846</v>
      </c>
      <c r="F76" s="3327"/>
      <c r="G76" s="3327"/>
      <c r="H76" s="3340"/>
      <c r="I76" s="1481"/>
      <c r="J76" s="2851"/>
      <c r="P76" s="976"/>
      <c r="Q76" s="976"/>
      <c r="R76" s="976"/>
      <c r="S76" s="976"/>
      <c r="T76" s="976"/>
      <c r="U76" s="976"/>
      <c r="V76" s="976"/>
      <c r="W76" s="976"/>
      <c r="X76" s="976"/>
      <c r="Y76" s="976"/>
      <c r="Z76" s="976"/>
      <c r="AA76" s="976"/>
      <c r="AB76" s="1480"/>
      <c r="AC76" s="1480"/>
      <c r="AD76" s="1480"/>
      <c r="AE76" s="1480"/>
      <c r="AF76" s="1480"/>
      <c r="AG76" s="1480"/>
      <c r="AH76" s="1480"/>
      <c r="AI76" s="1480"/>
      <c r="AJ76" s="1480"/>
    </row>
    <row r="77" spans="1:36" s="1479" customFormat="1" ht="24.75" customHeight="1">
      <c r="A77" s="49" t="s">
        <v>76</v>
      </c>
      <c r="B77" s="50" t="s">
        <v>1847</v>
      </c>
      <c r="C77" s="50">
        <f>ROUND(IF(G77="个人住宅",0,IF(G77="2016年5月1日前购买",C75*D77,C75*D77/(1+'数据-取费表'!F30))),0)</f>
        <v>0</v>
      </c>
      <c r="D77" s="2791">
        <f>'数据-取费表'!E36+'数据-取费表'!E37</f>
        <v>3.0499999999999999E-2</v>
      </c>
      <c r="E77" s="12" t="s">
        <v>1848</v>
      </c>
      <c r="F77" s="2090"/>
      <c r="G77" s="1482" t="s">
        <v>1849</v>
      </c>
      <c r="H77" s="2085" t="str">
        <f>IF(G77="个人买卖住房","免征印花税"," ")</f>
        <v xml:space="preserve"> </v>
      </c>
      <c r="I77" s="1481"/>
      <c r="J77" s="2851"/>
      <c r="K77" s="976"/>
      <c r="L77" s="976"/>
      <c r="M77" s="976"/>
      <c r="N77" s="976"/>
      <c r="O77" s="976"/>
      <c r="P77" s="976"/>
      <c r="Q77" s="976"/>
      <c r="R77" s="976"/>
      <c r="S77" s="976"/>
      <c r="T77" s="976"/>
      <c r="U77" s="976"/>
      <c r="V77" s="976"/>
      <c r="W77" s="976"/>
      <c r="X77" s="976"/>
      <c r="Y77" s="976"/>
      <c r="Z77" s="976"/>
      <c r="AA77" s="976"/>
      <c r="AB77" s="1480"/>
      <c r="AC77" s="1480"/>
      <c r="AD77" s="1480"/>
      <c r="AE77" s="1480"/>
      <c r="AF77" s="1480"/>
      <c r="AG77" s="1480"/>
      <c r="AH77" s="1480"/>
      <c r="AI77" s="1480"/>
      <c r="AJ77" s="1480"/>
    </row>
    <row r="78" spans="1:36" s="1479" customFormat="1" ht="24.75" customHeight="1">
      <c r="A78" s="49" t="s">
        <v>77</v>
      </c>
      <c r="B78" s="50" t="s">
        <v>1850</v>
      </c>
      <c r="C78" s="2792" t="e">
        <f ca="1">ROUND(D45*D78/(1+'数据-取费表'!F30),0)</f>
        <v>#REF!</v>
      </c>
      <c r="D78" s="2793">
        <f>'数据-取费表'!E31</f>
        <v>6.000000000000001E-3</v>
      </c>
      <c r="E78" s="3275" t="s">
        <v>1851</v>
      </c>
      <c r="F78" s="3276"/>
      <c r="G78" s="3276"/>
      <c r="H78" s="3296"/>
      <c r="I78" s="1483"/>
      <c r="J78" s="2853"/>
      <c r="K78" s="976"/>
      <c r="L78" s="976"/>
      <c r="M78" s="976"/>
      <c r="N78" s="976"/>
      <c r="O78" s="976"/>
      <c r="P78" s="976"/>
      <c r="Q78" s="976"/>
      <c r="R78" s="976"/>
      <c r="S78" s="976"/>
      <c r="T78" s="976"/>
      <c r="U78" s="976"/>
      <c r="V78" s="976"/>
      <c r="W78" s="976"/>
      <c r="X78" s="976"/>
      <c r="Y78" s="976"/>
      <c r="Z78" s="976"/>
      <c r="AA78" s="976"/>
      <c r="AB78" s="1480"/>
      <c r="AC78" s="1480"/>
      <c r="AD78" s="1480"/>
      <c r="AE78" s="1480"/>
      <c r="AF78" s="1480"/>
      <c r="AG78" s="1480"/>
      <c r="AH78" s="1480"/>
      <c r="AI78" s="1480"/>
      <c r="AJ78" s="1480"/>
    </row>
    <row r="79" spans="1:36" s="1479" customFormat="1" ht="14.25">
      <c r="A79" s="53" t="s">
        <v>42</v>
      </c>
      <c r="B79" s="54" t="s">
        <v>1852</v>
      </c>
      <c r="C79" s="2784" t="e">
        <f ca="1">C72-C73</f>
        <v>#REF!</v>
      </c>
      <c r="D79" s="50" t="s">
        <v>41</v>
      </c>
      <c r="E79" s="2083"/>
      <c r="F79" s="2084"/>
      <c r="G79" s="2084"/>
      <c r="H79" s="62"/>
      <c r="I79" s="1481"/>
      <c r="J79" s="2851"/>
      <c r="K79" s="976"/>
      <c r="L79" s="976"/>
      <c r="M79" s="976"/>
      <c r="N79" s="976"/>
      <c r="O79" s="976"/>
      <c r="P79" s="976"/>
      <c r="Q79" s="976"/>
      <c r="R79" s="976"/>
      <c r="S79" s="976"/>
      <c r="T79" s="976"/>
      <c r="U79" s="976"/>
      <c r="V79" s="976"/>
      <c r="W79" s="976"/>
      <c r="X79" s="976"/>
      <c r="Y79" s="976"/>
      <c r="Z79" s="976"/>
      <c r="AA79" s="976"/>
      <c r="AB79" s="1480"/>
      <c r="AC79" s="1480"/>
      <c r="AD79" s="1480"/>
      <c r="AE79" s="1480"/>
      <c r="AF79" s="1480"/>
      <c r="AG79" s="1480"/>
      <c r="AH79" s="1480"/>
      <c r="AI79" s="1480"/>
      <c r="AJ79" s="1480"/>
    </row>
    <row r="80" spans="1:36" s="1479" customFormat="1" ht="24">
      <c r="A80" s="53" t="s">
        <v>43</v>
      </c>
      <c r="B80" s="54" t="s">
        <v>1853</v>
      </c>
      <c r="C80" s="2794"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4"/>
      <c r="G80" s="2084"/>
      <c r="H80" s="62"/>
      <c r="I80" s="1481"/>
      <c r="J80" s="2851"/>
      <c r="K80" s="976"/>
      <c r="L80" s="976"/>
      <c r="M80" s="976"/>
      <c r="N80" s="976"/>
      <c r="O80" s="976"/>
      <c r="P80" s="976"/>
      <c r="Q80" s="976"/>
      <c r="R80" s="976"/>
      <c r="S80" s="976"/>
      <c r="T80" s="976"/>
      <c r="U80" s="976"/>
      <c r="V80" s="976"/>
      <c r="W80" s="976"/>
      <c r="X80" s="976"/>
      <c r="Y80" s="976"/>
      <c r="Z80" s="976"/>
      <c r="AA80" s="976"/>
      <c r="AB80" s="1480"/>
      <c r="AC80" s="1480"/>
      <c r="AD80" s="1480"/>
      <c r="AE80" s="1480"/>
      <c r="AF80" s="1480"/>
      <c r="AG80" s="1480"/>
      <c r="AH80" s="1480"/>
      <c r="AI80" s="1480"/>
      <c r="AJ80" s="1480"/>
    </row>
    <row r="81" spans="1:36" s="1479" customFormat="1" ht="24.75" thickBot="1">
      <c r="A81" s="55" t="s">
        <v>44</v>
      </c>
      <c r="B81" s="56" t="s">
        <v>1854</v>
      </c>
      <c r="C81" s="2795" t="e">
        <f ca="1">ROUND(IF(C79&lt;=0,0,IF(C80&gt;=200%,C79*60%-C73*35%,IF(C80&gt;=100%,C79*50%-C73*15%,IF(C80&gt;=50%,C79*40%-C73*5%,IF(C80&lt;50%,C79*30%,0))))),0)</f>
        <v>#REF!</v>
      </c>
      <c r="D81" s="2167"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1"/>
      <c r="J81" s="2851"/>
      <c r="K81" s="976"/>
      <c r="L81" s="976"/>
      <c r="M81" s="976"/>
      <c r="N81" s="976"/>
      <c r="O81" s="976"/>
      <c r="P81" s="976"/>
      <c r="Q81" s="976"/>
      <c r="R81" s="976"/>
      <c r="S81" s="976"/>
      <c r="T81" s="976"/>
      <c r="U81" s="976"/>
      <c r="V81" s="976"/>
      <c r="W81" s="976"/>
      <c r="X81" s="976"/>
      <c r="Y81" s="976"/>
      <c r="Z81" s="976"/>
      <c r="AA81" s="976"/>
      <c r="AB81" s="1480"/>
      <c r="AC81" s="1480"/>
      <c r="AD81" s="1480"/>
      <c r="AE81" s="1480"/>
      <c r="AF81" s="1480"/>
      <c r="AG81" s="1480"/>
      <c r="AH81" s="1480"/>
      <c r="AI81" s="1480"/>
      <c r="AJ81" s="1480"/>
    </row>
    <row r="82" spans="1:36" s="1479" customFormat="1" ht="7.5" customHeight="1">
      <c r="A82" s="607"/>
      <c r="B82" s="608"/>
      <c r="C82" s="9"/>
      <c r="D82" s="9"/>
      <c r="E82" s="608"/>
      <c r="F82" s="608"/>
      <c r="G82" s="608"/>
      <c r="H82" s="609"/>
      <c r="I82" s="1483"/>
      <c r="J82" s="2853"/>
      <c r="K82" s="976"/>
      <c r="L82" s="976"/>
      <c r="M82" s="976"/>
      <c r="N82" s="976"/>
      <c r="O82" s="976"/>
      <c r="P82" s="976"/>
      <c r="Q82" s="976"/>
      <c r="R82" s="976"/>
      <c r="S82" s="976"/>
      <c r="T82" s="976"/>
      <c r="U82" s="976"/>
      <c r="V82" s="976"/>
      <c r="W82" s="976"/>
      <c r="X82" s="976"/>
      <c r="Y82" s="976"/>
      <c r="Z82" s="976"/>
      <c r="AA82" s="976"/>
      <c r="AB82" s="1480"/>
      <c r="AC82" s="1480"/>
      <c r="AD82" s="1480"/>
      <c r="AE82" s="1480"/>
      <c r="AF82" s="1480"/>
      <c r="AG82" s="1480"/>
      <c r="AH82" s="1480"/>
      <c r="AI82" s="1480"/>
      <c r="AJ82" s="1480"/>
    </row>
    <row r="83" spans="1:36" s="1479" customFormat="1" ht="15" thickBot="1">
      <c r="A83" s="3308" t="s">
        <v>1855</v>
      </c>
      <c r="B83" s="3309"/>
      <c r="C83" s="3309"/>
      <c r="D83" s="3309"/>
      <c r="E83" s="3309"/>
      <c r="F83" s="3309"/>
      <c r="G83" s="3309"/>
      <c r="H83" s="3309"/>
      <c r="I83" s="9"/>
      <c r="J83" s="2852"/>
      <c r="K83" s="976"/>
      <c r="L83" s="976"/>
      <c r="M83" s="976"/>
      <c r="N83" s="976"/>
      <c r="O83" s="976"/>
      <c r="P83" s="976"/>
      <c r="Q83" s="976"/>
      <c r="R83" s="976"/>
      <c r="S83" s="976"/>
      <c r="T83" s="976"/>
      <c r="U83" s="976"/>
      <c r="V83" s="976"/>
      <c r="W83" s="976"/>
      <c r="X83" s="976"/>
      <c r="Y83" s="976"/>
      <c r="Z83" s="976"/>
      <c r="AA83" s="976"/>
      <c r="AB83" s="1480"/>
      <c r="AC83" s="1480"/>
      <c r="AD83" s="1480"/>
      <c r="AE83" s="1480"/>
      <c r="AF83" s="1480"/>
      <c r="AG83" s="1480"/>
      <c r="AH83" s="1480"/>
      <c r="AI83" s="1480"/>
      <c r="AJ83" s="1480"/>
    </row>
    <row r="84" spans="1:36" s="1479" customFormat="1" ht="14.25">
      <c r="A84" s="3306" t="s">
        <v>1816</v>
      </c>
      <c r="B84" s="3307"/>
      <c r="C84" s="1603"/>
      <c r="D84" s="1603" t="s">
        <v>1817</v>
      </c>
      <c r="E84" s="58" t="s">
        <v>1818</v>
      </c>
      <c r="F84" s="59"/>
      <c r="G84" s="59"/>
      <c r="H84" s="72"/>
      <c r="I84" s="9"/>
      <c r="J84" s="2852"/>
      <c r="K84" s="976"/>
      <c r="L84" s="976"/>
      <c r="M84" s="976"/>
      <c r="N84" s="976"/>
      <c r="O84" s="976"/>
      <c r="P84" s="976"/>
      <c r="Q84" s="976"/>
      <c r="R84" s="976"/>
      <c r="S84" s="976"/>
      <c r="T84" s="976"/>
      <c r="U84" s="976"/>
      <c r="V84" s="976"/>
      <c r="W84" s="976"/>
      <c r="X84" s="976"/>
      <c r="Y84" s="976"/>
      <c r="Z84" s="976"/>
      <c r="AA84" s="976"/>
      <c r="AB84" s="1480"/>
      <c r="AC84" s="1480"/>
      <c r="AD84" s="1480"/>
      <c r="AE84" s="1480"/>
      <c r="AF84" s="1480"/>
      <c r="AG84" s="1480"/>
      <c r="AH84" s="1480"/>
      <c r="AI84" s="1480"/>
      <c r="AJ84" s="1480"/>
    </row>
    <row r="85" spans="1:36" s="1479" customFormat="1" ht="24">
      <c r="A85" s="61">
        <v>1</v>
      </c>
      <c r="B85" s="54" t="s">
        <v>1837</v>
      </c>
      <c r="C85" s="2784" t="e">
        <f ca="1">ROUND(D45/(1+'数据-取费表'!F30),0)</f>
        <v>#REF!</v>
      </c>
      <c r="D85" s="50" t="s">
        <v>41</v>
      </c>
      <c r="E85" s="2083" t="s">
        <v>1838</v>
      </c>
      <c r="F85" s="2084"/>
      <c r="G85" s="2084"/>
      <c r="H85" s="73"/>
      <c r="I85" s="9"/>
      <c r="J85" s="2852"/>
      <c r="K85" s="976"/>
      <c r="L85" s="976"/>
      <c r="M85" s="976"/>
      <c r="N85" s="976"/>
      <c r="O85" s="976"/>
      <c r="P85" s="976"/>
      <c r="Q85" s="976"/>
      <c r="R85" s="976"/>
      <c r="S85" s="976"/>
      <c r="T85" s="976"/>
      <c r="U85" s="976"/>
      <c r="V85" s="976"/>
      <c r="W85" s="976"/>
      <c r="X85" s="976"/>
      <c r="Y85" s="976"/>
      <c r="Z85" s="976"/>
      <c r="AA85" s="976"/>
      <c r="AB85" s="1480"/>
      <c r="AC85" s="1480"/>
      <c r="AD85" s="1480"/>
      <c r="AE85" s="1480"/>
      <c r="AF85" s="1480"/>
      <c r="AG85" s="1480"/>
      <c r="AH85" s="1480"/>
      <c r="AI85" s="1480"/>
      <c r="AJ85" s="1480"/>
    </row>
    <row r="86" spans="1:36" s="1479" customFormat="1" ht="14.25">
      <c r="A86" s="63">
        <v>2</v>
      </c>
      <c r="B86" s="41" t="s">
        <v>1839</v>
      </c>
      <c r="C86" s="2784" t="e">
        <f ca="1">IF(H88="仅含出让金",C87+C90+C91+C92+C93+C94,C87+C91+C92+C93+C94)</f>
        <v>#REF!</v>
      </c>
      <c r="D86" s="2796"/>
      <c r="E86" s="2083"/>
      <c r="F86" s="2084"/>
      <c r="G86" s="2084"/>
      <c r="H86" s="73"/>
      <c r="I86" s="9"/>
      <c r="J86" s="2852"/>
      <c r="K86" s="976"/>
      <c r="L86" s="976"/>
      <c r="M86" s="976"/>
      <c r="N86" s="976"/>
      <c r="O86" s="976"/>
      <c r="P86" s="976"/>
      <c r="Q86" s="976"/>
      <c r="R86" s="976"/>
      <c r="S86" s="976"/>
      <c r="T86" s="976"/>
      <c r="U86" s="976"/>
      <c r="V86" s="976"/>
      <c r="W86" s="976"/>
      <c r="X86" s="976"/>
      <c r="Y86" s="976"/>
      <c r="Z86" s="976"/>
      <c r="AA86" s="976"/>
      <c r="AB86" s="1480"/>
      <c r="AC86" s="1480"/>
      <c r="AD86" s="1480"/>
      <c r="AE86" s="1480"/>
      <c r="AF86" s="1480"/>
      <c r="AG86" s="1480"/>
      <c r="AH86" s="1480"/>
      <c r="AI86" s="1480"/>
      <c r="AJ86" s="1480"/>
    </row>
    <row r="87" spans="1:36" s="1479" customFormat="1" ht="14.25">
      <c r="A87" s="49" t="s">
        <v>73</v>
      </c>
      <c r="B87" s="50" t="s">
        <v>1856</v>
      </c>
      <c r="C87" s="2792">
        <f>C88+C89</f>
        <v>0</v>
      </c>
      <c r="D87" s="2793"/>
      <c r="E87" s="2080"/>
      <c r="F87" s="2081"/>
      <c r="G87" s="2081"/>
      <c r="H87" s="2082"/>
      <c r="I87" s="9"/>
      <c r="J87" s="2852"/>
      <c r="K87" s="976"/>
      <c r="L87" s="976"/>
      <c r="M87" s="976"/>
      <c r="N87" s="976"/>
      <c r="O87" s="976"/>
      <c r="P87" s="976"/>
      <c r="Q87" s="976"/>
      <c r="R87" s="976"/>
      <c r="S87" s="976"/>
      <c r="T87" s="976"/>
      <c r="U87" s="976"/>
      <c r="V87" s="976"/>
      <c r="W87" s="976"/>
      <c r="X87" s="976"/>
      <c r="Y87" s="976"/>
      <c r="Z87" s="976"/>
      <c r="AA87" s="976"/>
      <c r="AB87" s="1480"/>
      <c r="AC87" s="1480"/>
      <c r="AD87" s="1480"/>
      <c r="AE87" s="1480"/>
      <c r="AF87" s="1480"/>
      <c r="AG87" s="1480"/>
      <c r="AH87" s="1480"/>
      <c r="AI87" s="1480"/>
      <c r="AJ87" s="1480"/>
    </row>
    <row r="88" spans="1:36" s="1479" customFormat="1" ht="14.25">
      <c r="A88" s="49" t="s">
        <v>74</v>
      </c>
      <c r="B88" s="50" t="s">
        <v>1857</v>
      </c>
      <c r="C88" s="2797"/>
      <c r="D88" s="2793"/>
      <c r="E88" s="74" t="s">
        <v>1858</v>
      </c>
      <c r="F88" s="2081"/>
      <c r="G88" s="75" t="s">
        <v>1859</v>
      </c>
      <c r="H88" s="1484"/>
      <c r="I88" s="9"/>
      <c r="J88" s="2852"/>
      <c r="K88" s="2968" t="s">
        <v>2816</v>
      </c>
      <c r="L88" s="1480"/>
      <c r="M88" s="1480"/>
      <c r="N88" s="1480"/>
      <c r="O88" s="1480"/>
      <c r="P88" s="1480"/>
      <c r="Q88" s="1480"/>
      <c r="R88" s="1480"/>
      <c r="S88" s="1480"/>
      <c r="T88" s="976"/>
      <c r="U88" s="976"/>
      <c r="V88" s="976"/>
      <c r="W88" s="976"/>
      <c r="X88" s="976"/>
      <c r="Y88" s="976"/>
      <c r="Z88" s="976"/>
      <c r="AA88" s="976"/>
      <c r="AB88" s="1480"/>
      <c r="AC88" s="1480"/>
      <c r="AD88" s="1480"/>
      <c r="AE88" s="1480"/>
      <c r="AF88" s="1480"/>
      <c r="AG88" s="1480"/>
      <c r="AH88" s="1480"/>
      <c r="AI88" s="1480"/>
      <c r="AJ88" s="1480"/>
    </row>
    <row r="89" spans="1:36" s="1479" customFormat="1" ht="14.25">
      <c r="A89" s="49" t="s">
        <v>75</v>
      </c>
      <c r="B89" s="50" t="s">
        <v>1847</v>
      </c>
      <c r="C89" s="2792">
        <f>ROUND(C88*D89,0)</f>
        <v>0</v>
      </c>
      <c r="D89" s="2793">
        <f>'数据-取费表'!E36+'数据-取费表'!E37</f>
        <v>3.0499999999999999E-2</v>
      </c>
      <c r="E89" s="74" t="s">
        <v>1860</v>
      </c>
      <c r="F89" s="2081"/>
      <c r="G89" s="2081"/>
      <c r="H89" s="2082"/>
      <c r="I89" s="9"/>
      <c r="J89" s="2852"/>
      <c r="K89" s="976"/>
      <c r="L89" s="976"/>
      <c r="M89" s="976"/>
      <c r="N89" s="976"/>
      <c r="O89" s="976"/>
      <c r="P89" s="976"/>
      <c r="Q89" s="976"/>
      <c r="R89" s="976"/>
      <c r="S89" s="976"/>
      <c r="T89" s="976"/>
      <c r="U89" s="976"/>
      <c r="V89" s="976"/>
      <c r="W89" s="976"/>
      <c r="X89" s="976"/>
      <c r="Y89" s="976"/>
      <c r="Z89" s="976"/>
      <c r="AA89" s="976"/>
      <c r="AB89" s="1480"/>
      <c r="AC89" s="1480"/>
      <c r="AD89" s="1480"/>
      <c r="AE89" s="1480"/>
      <c r="AF89" s="1480"/>
      <c r="AG89" s="1480"/>
      <c r="AH89" s="1480"/>
      <c r="AI89" s="1480"/>
      <c r="AJ89" s="1480"/>
    </row>
    <row r="90" spans="1:36" s="1479" customFormat="1" ht="24" customHeight="1">
      <c r="A90" s="49" t="s">
        <v>77</v>
      </c>
      <c r="B90" s="50" t="s">
        <v>1861</v>
      </c>
      <c r="C90" s="2797"/>
      <c r="D90" s="2793"/>
      <c r="E90" s="74" t="str">
        <f>IF(H88="-","土地取得成本中已包含该笔费用"," ")</f>
        <v xml:space="preserve"> </v>
      </c>
      <c r="F90" s="2081"/>
      <c r="G90" s="3315" t="s">
        <v>2732</v>
      </c>
      <c r="H90" s="3315"/>
      <c r="I90" s="9"/>
      <c r="J90" s="2852"/>
      <c r="K90" s="2968" t="s">
        <v>2817</v>
      </c>
      <c r="L90" s="1480"/>
      <c r="M90" s="1480"/>
      <c r="N90" s="1480"/>
      <c r="O90" s="1480"/>
      <c r="P90" s="1480"/>
      <c r="Q90" s="1480"/>
      <c r="R90" s="1480"/>
      <c r="S90" s="1480"/>
      <c r="T90" s="1480"/>
      <c r="U90" s="976"/>
      <c r="V90" s="976"/>
      <c r="W90" s="976"/>
      <c r="X90" s="976"/>
      <c r="Y90" s="976"/>
      <c r="Z90" s="976"/>
      <c r="AA90" s="976"/>
      <c r="AB90" s="1480"/>
      <c r="AC90" s="1480"/>
      <c r="AD90" s="1480"/>
      <c r="AE90" s="1480"/>
      <c r="AF90" s="1480"/>
      <c r="AG90" s="1480"/>
      <c r="AH90" s="1480"/>
      <c r="AI90" s="1480"/>
      <c r="AJ90" s="1480"/>
    </row>
    <row r="91" spans="1:36" s="1479" customFormat="1" ht="30.75" customHeight="1">
      <c r="A91" s="49" t="s">
        <v>78</v>
      </c>
      <c r="B91" s="50" t="s">
        <v>1862</v>
      </c>
      <c r="C91" s="2792">
        <f>IF(H91="——",成本法!C33,I91)</f>
        <v>0</v>
      </c>
      <c r="D91" s="2793"/>
      <c r="E91" s="3275" t="s">
        <v>1863</v>
      </c>
      <c r="F91" s="3276"/>
      <c r="G91" s="3276"/>
      <c r="H91" s="1485" t="s">
        <v>1864</v>
      </c>
      <c r="I91" s="1486"/>
      <c r="J91" s="2854"/>
      <c r="K91" s="976"/>
      <c r="L91" s="976"/>
      <c r="M91" s="976"/>
      <c r="N91" s="976"/>
      <c r="O91" s="976"/>
      <c r="P91" s="976"/>
      <c r="Q91" s="976"/>
      <c r="R91" s="976"/>
      <c r="S91" s="976"/>
      <c r="T91" s="976"/>
      <c r="U91" s="976"/>
      <c r="V91" s="976"/>
      <c r="W91" s="976"/>
      <c r="X91" s="976"/>
      <c r="Y91" s="976"/>
      <c r="Z91" s="976"/>
      <c r="AA91" s="976"/>
      <c r="AB91" s="1480"/>
      <c r="AC91" s="1480"/>
      <c r="AD91" s="1480"/>
      <c r="AE91" s="1480"/>
      <c r="AF91" s="1480"/>
      <c r="AG91" s="1480"/>
      <c r="AH91" s="1480"/>
      <c r="AI91" s="1480"/>
      <c r="AJ91" s="1480"/>
    </row>
    <row r="92" spans="1:36" s="1479" customFormat="1" ht="25.5" customHeight="1">
      <c r="A92" s="49" t="s">
        <v>79</v>
      </c>
      <c r="B92" s="50" t="s">
        <v>1865</v>
      </c>
      <c r="C92" s="2792">
        <f>ROUND((C87+C90+C91)*D92,0)</f>
        <v>0</v>
      </c>
      <c r="D92" s="2836">
        <v>0.1</v>
      </c>
      <c r="E92" s="3275" t="s">
        <v>1866</v>
      </c>
      <c r="F92" s="3276"/>
      <c r="G92" s="3276"/>
      <c r="H92" s="3296"/>
      <c r="I92" s="9"/>
      <c r="J92" s="2852"/>
      <c r="K92" s="2969" t="s">
        <v>2818</v>
      </c>
      <c r="L92" s="1480"/>
      <c r="M92" s="1480"/>
      <c r="N92" s="1480"/>
      <c r="O92" s="1480"/>
      <c r="P92" s="1480"/>
      <c r="Q92" s="976"/>
      <c r="R92" s="976"/>
      <c r="S92" s="976"/>
      <c r="T92" s="976"/>
      <c r="U92" s="976"/>
      <c r="V92" s="976"/>
      <c r="W92" s="976"/>
      <c r="X92" s="976"/>
      <c r="Y92" s="976"/>
      <c r="Z92" s="976"/>
      <c r="AA92" s="976"/>
      <c r="AB92" s="1480"/>
      <c r="AC92" s="1480"/>
      <c r="AD92" s="1480"/>
      <c r="AE92" s="1480"/>
      <c r="AF92" s="1480"/>
      <c r="AG92" s="1480"/>
      <c r="AH92" s="1480"/>
      <c r="AI92" s="1480"/>
      <c r="AJ92" s="1480"/>
    </row>
    <row r="93" spans="1:36" s="1479" customFormat="1" ht="25.5" customHeight="1">
      <c r="A93" s="49" t="s">
        <v>80</v>
      </c>
      <c r="B93" s="50" t="s">
        <v>1850</v>
      </c>
      <c r="C93" s="2792" t="e">
        <f ca="1">ROUND(D45*D93/(1+'数据-取费表'!F30),0)</f>
        <v>#REF!</v>
      </c>
      <c r="D93" s="2793">
        <f>'数据-取费表'!E31</f>
        <v>6.000000000000001E-3</v>
      </c>
      <c r="E93" s="3275" t="s">
        <v>1851</v>
      </c>
      <c r="F93" s="3276"/>
      <c r="G93" s="3276"/>
      <c r="H93" s="3296"/>
      <c r="I93" s="9"/>
      <c r="J93" s="2852"/>
      <c r="K93" s="976"/>
      <c r="L93" s="976"/>
      <c r="M93" s="976"/>
      <c r="N93" s="976"/>
      <c r="O93" s="976"/>
      <c r="P93" s="976"/>
      <c r="Q93" s="976"/>
      <c r="R93" s="976"/>
      <c r="S93" s="976"/>
      <c r="T93" s="976"/>
      <c r="U93" s="976"/>
      <c r="V93" s="976"/>
      <c r="W93" s="976"/>
      <c r="X93" s="976"/>
      <c r="Y93" s="976"/>
      <c r="Z93" s="976"/>
      <c r="AA93" s="976"/>
      <c r="AB93" s="1480"/>
      <c r="AC93" s="1480"/>
      <c r="AD93" s="1480"/>
      <c r="AE93" s="1480"/>
      <c r="AF93" s="1480"/>
      <c r="AG93" s="1480"/>
      <c r="AH93" s="1480"/>
      <c r="AI93" s="1480"/>
      <c r="AJ93" s="1480"/>
    </row>
    <row r="94" spans="1:36" s="1479" customFormat="1" ht="25.5" customHeight="1">
      <c r="A94" s="49" t="s">
        <v>81</v>
      </c>
      <c r="B94" s="50" t="s">
        <v>1867</v>
      </c>
      <c r="C94" s="2792">
        <f>ROUND((C87+C90+C91)*D94,0)</f>
        <v>0</v>
      </c>
      <c r="D94" s="2793">
        <v>0.2</v>
      </c>
      <c r="E94" s="3275" t="s">
        <v>1868</v>
      </c>
      <c r="F94" s="3276"/>
      <c r="G94" s="3276"/>
      <c r="H94" s="3296"/>
      <c r="I94" s="9"/>
      <c r="J94" s="2852"/>
      <c r="K94" s="976"/>
      <c r="L94" s="976"/>
      <c r="M94" s="976"/>
      <c r="N94" s="976"/>
      <c r="O94" s="976"/>
      <c r="P94" s="976"/>
      <c r="Q94" s="976"/>
      <c r="R94" s="976"/>
      <c r="S94" s="976"/>
      <c r="T94" s="976"/>
      <c r="U94" s="976"/>
      <c r="V94" s="976"/>
      <c r="W94" s="976"/>
      <c r="X94" s="976"/>
      <c r="Y94" s="976"/>
      <c r="Z94" s="976"/>
      <c r="AA94" s="976"/>
      <c r="AB94" s="1480"/>
      <c r="AC94" s="1480"/>
      <c r="AD94" s="1480"/>
      <c r="AE94" s="1480"/>
      <c r="AF94" s="1480"/>
      <c r="AG94" s="1480"/>
      <c r="AH94" s="1480"/>
      <c r="AI94" s="1480"/>
      <c r="AJ94" s="1480"/>
    </row>
    <row r="95" spans="1:36" s="1479" customFormat="1" ht="14.25">
      <c r="A95" s="53" t="s">
        <v>42</v>
      </c>
      <c r="B95" s="54" t="s">
        <v>1852</v>
      </c>
      <c r="C95" s="2784" t="e">
        <f ca="1">ROUND(C85-C86,0)</f>
        <v>#REF!</v>
      </c>
      <c r="D95" s="50" t="s">
        <v>41</v>
      </c>
      <c r="E95" s="2083"/>
      <c r="F95" s="2084"/>
      <c r="G95" s="2084"/>
      <c r="H95" s="73"/>
      <c r="I95" s="9"/>
      <c r="J95" s="2852"/>
      <c r="K95" s="976"/>
      <c r="L95" s="976"/>
      <c r="M95" s="976"/>
      <c r="N95" s="976"/>
      <c r="O95" s="976"/>
      <c r="P95" s="976"/>
      <c r="Q95" s="976"/>
      <c r="R95" s="976"/>
      <c r="S95" s="976"/>
      <c r="T95" s="976"/>
      <c r="U95" s="976"/>
      <c r="V95" s="976"/>
      <c r="W95" s="976"/>
      <c r="X95" s="976"/>
      <c r="Y95" s="976"/>
      <c r="Z95" s="976"/>
      <c r="AA95" s="976"/>
      <c r="AB95" s="1480"/>
      <c r="AC95" s="1480"/>
      <c r="AD95" s="1480"/>
      <c r="AE95" s="1480"/>
      <c r="AF95" s="1480"/>
      <c r="AG95" s="1480"/>
      <c r="AH95" s="1480"/>
      <c r="AI95" s="1480"/>
      <c r="AJ95" s="1480"/>
    </row>
    <row r="96" spans="1:36" s="1479" customFormat="1" ht="24">
      <c r="A96" s="53" t="s">
        <v>43</v>
      </c>
      <c r="B96" s="54" t="s">
        <v>1853</v>
      </c>
      <c r="C96" s="2794"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4"/>
      <c r="G96" s="2084"/>
      <c r="H96" s="73"/>
      <c r="I96" s="9"/>
      <c r="J96" s="2852"/>
      <c r="K96" s="976"/>
      <c r="L96" s="976"/>
      <c r="M96" s="976"/>
      <c r="N96" s="976"/>
      <c r="O96" s="976"/>
      <c r="P96" s="976"/>
      <c r="Q96" s="976"/>
      <c r="R96" s="976"/>
      <c r="S96" s="976"/>
      <c r="T96" s="976"/>
      <c r="U96" s="976"/>
      <c r="V96" s="976"/>
      <c r="W96" s="976"/>
      <c r="X96" s="976"/>
      <c r="Y96" s="976"/>
      <c r="Z96" s="976"/>
      <c r="AA96" s="976"/>
      <c r="AB96" s="1480"/>
      <c r="AC96" s="1480"/>
      <c r="AD96" s="1480"/>
      <c r="AE96" s="1480"/>
      <c r="AF96" s="1480"/>
      <c r="AG96" s="1480"/>
      <c r="AH96" s="1480"/>
      <c r="AI96" s="1480"/>
      <c r="AJ96" s="1480"/>
    </row>
    <row r="97" spans="1:36" s="1479" customFormat="1" ht="24.75" thickBot="1">
      <c r="A97" s="55" t="s">
        <v>44</v>
      </c>
      <c r="B97" s="56" t="s">
        <v>1854</v>
      </c>
      <c r="C97" s="2795" t="e">
        <f ca="1">ROUND(IF(C95&lt;=0,0,IF(C96&gt;=200%,C95*60%-C86*35%,IF(C96&gt;=100%,C95*50%-C86*15%,IF(C96&gt;=50%,C95*40%-C86*5%,IF(C96&lt;50%,C95*30%,0))))),0)</f>
        <v>#REF!</v>
      </c>
      <c r="D97" s="2167"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2"/>
      <c r="K97" s="976"/>
      <c r="L97" s="976"/>
      <c r="M97" s="976"/>
      <c r="N97" s="976"/>
      <c r="O97" s="976"/>
      <c r="P97" s="976"/>
      <c r="Q97" s="976"/>
      <c r="R97" s="976"/>
      <c r="S97" s="976"/>
      <c r="T97" s="976"/>
      <c r="U97" s="976"/>
      <c r="V97" s="976"/>
      <c r="W97" s="976"/>
      <c r="X97" s="976"/>
      <c r="Y97" s="976"/>
      <c r="Z97" s="976"/>
      <c r="AA97" s="976"/>
      <c r="AB97" s="1480"/>
      <c r="AC97" s="1480"/>
      <c r="AD97" s="1480"/>
      <c r="AE97" s="1480"/>
      <c r="AF97" s="1480"/>
      <c r="AG97" s="1480"/>
      <c r="AH97" s="1480"/>
      <c r="AI97" s="1480"/>
      <c r="AJ97" s="1480"/>
    </row>
    <row r="98" spans="1:36" ht="21.75" customHeight="1" thickBot="1">
      <c r="A98" s="1467" t="s">
        <v>1869</v>
      </c>
      <c r="B98" s="1457"/>
      <c r="C98" s="1457"/>
      <c r="D98" s="1457"/>
      <c r="E98" s="812"/>
      <c r="F98" s="812"/>
      <c r="G98" s="812"/>
      <c r="H98" s="1466"/>
      <c r="I98" s="1457"/>
    </row>
    <row r="99" spans="1:36" ht="15.75">
      <c r="A99" s="3293" t="s">
        <v>1870</v>
      </c>
      <c r="B99" s="3294"/>
      <c r="C99" s="3294"/>
      <c r="D99" s="3295"/>
      <c r="E99" s="1457"/>
      <c r="F99" s="3303" t="s">
        <v>1871</v>
      </c>
      <c r="G99" s="3304"/>
      <c r="H99" s="3304"/>
      <c r="I99" s="3305"/>
      <c r="J99" s="2855"/>
    </row>
    <row r="100" spans="1:36" ht="15">
      <c r="A100" s="3310" t="s">
        <v>1872</v>
      </c>
      <c r="B100" s="3311"/>
      <c r="C100" s="1305">
        <f>C4</f>
        <v>0</v>
      </c>
      <c r="D100" s="2803">
        <f>D4</f>
        <v>0</v>
      </c>
      <c r="E100" s="1457"/>
      <c r="F100" s="3312" t="s">
        <v>2776</v>
      </c>
      <c r="G100" s="3314"/>
      <c r="H100" s="3312" t="s">
        <v>2777</v>
      </c>
      <c r="I100" s="3313"/>
      <c r="J100" s="2856"/>
    </row>
    <row r="101" spans="1:36" ht="12.75">
      <c r="A101" s="3329" t="s">
        <v>2809</v>
      </c>
      <c r="B101" s="2302" t="str">
        <f>IF(H19="元","总价（元）","总价（万元）")</f>
        <v>总价（元）</v>
      </c>
      <c r="C101" s="1305" t="e">
        <f ca="1">C19</f>
        <v>#REF!</v>
      </c>
      <c r="D101" s="2803" t="e">
        <f ca="1">D19</f>
        <v>#REF!</v>
      </c>
      <c r="E101" s="1457"/>
      <c r="F101" s="3312" t="str">
        <f>项目基本情况!I1</f>
        <v>北京市房地产</v>
      </c>
      <c r="G101" s="3314"/>
      <c r="H101" s="3316">
        <f>项目基本情况!C12</f>
        <v>732.34</v>
      </c>
      <c r="I101" s="3313"/>
      <c r="J101" s="2856"/>
    </row>
    <row r="102" spans="1:36" ht="12.75">
      <c r="A102" s="3329"/>
      <c r="B102" s="2302" t="s">
        <v>2810</v>
      </c>
      <c r="C102" s="2804" t="e">
        <f ca="1">C20</f>
        <v>#REF!</v>
      </c>
      <c r="D102" s="2805" t="e">
        <f ca="1">D20</f>
        <v>#REF!</v>
      </c>
      <c r="E102" s="1457"/>
      <c r="F102" s="3299" t="s">
        <v>2806</v>
      </c>
      <c r="G102" s="3300"/>
      <c r="H102" s="2813" t="str">
        <f>C106</f>
        <v>总价（元）</v>
      </c>
      <c r="I102" s="2814" t="e">
        <f ca="1">H121</f>
        <v>#REF!</v>
      </c>
      <c r="J102" s="2856"/>
    </row>
    <row r="103" spans="1:36" ht="12.75">
      <c r="A103" s="3329" t="s">
        <v>2811</v>
      </c>
      <c r="B103" s="2240" t="str">
        <f>B101</f>
        <v>总价（元）</v>
      </c>
      <c r="C103" s="2808" t="e">
        <f ca="1">H121</f>
        <v>#REF!</v>
      </c>
      <c r="D103" s="2806"/>
      <c r="E103" s="1457"/>
      <c r="F103" s="3299"/>
      <c r="G103" s="3300"/>
      <c r="H103" s="2813" t="s">
        <v>2779</v>
      </c>
      <c r="I103" s="52" t="e">
        <f ca="1">I121</f>
        <v>#REF!</v>
      </c>
      <c r="J103" s="2840"/>
    </row>
    <row r="104" spans="1:36" ht="13.5" thickBot="1">
      <c r="A104" s="3330"/>
      <c r="B104" s="2810" t="s">
        <v>2810</v>
      </c>
      <c r="C104" s="2811" t="e">
        <f ca="1">I121</f>
        <v>#REF!</v>
      </c>
      <c r="D104" s="2812"/>
      <c r="E104" s="1457"/>
      <c r="F104" s="3299"/>
      <c r="G104" s="3300"/>
      <c r="H104" s="3331"/>
      <c r="I104" s="3332"/>
      <c r="J104" s="2857"/>
    </row>
    <row r="105" spans="1:36" ht="15">
      <c r="A105" s="3293" t="s">
        <v>1873</v>
      </c>
      <c r="B105" s="3294"/>
      <c r="C105" s="3294"/>
      <c r="D105" s="3295"/>
      <c r="E105" s="1457"/>
      <c r="F105" s="3335" t="s">
        <v>2780</v>
      </c>
      <c r="G105" s="3336"/>
      <c r="H105" s="2815" t="str">
        <f>C108</f>
        <v>总额（元）</v>
      </c>
      <c r="I105" s="2814">
        <f>SUMIF(I106:I108,"&lt;9E307")</f>
        <v>0</v>
      </c>
      <c r="J105" s="2856"/>
    </row>
    <row r="106" spans="1:36" ht="14.25">
      <c r="A106" s="3299" t="s">
        <v>2803</v>
      </c>
      <c r="B106" s="3300"/>
      <c r="C106" s="2813" t="str">
        <f>B101</f>
        <v>总价（元）</v>
      </c>
      <c r="D106" s="2814" t="e">
        <f ca="1">H121</f>
        <v>#REF!</v>
      </c>
      <c r="E106" s="1457"/>
      <c r="F106" s="3301" t="s">
        <v>2781</v>
      </c>
      <c r="G106" s="3302"/>
      <c r="H106" s="2815" t="str">
        <f>C109</f>
        <v>总额（元）</v>
      </c>
      <c r="I106" s="2816">
        <f>IF(D36="同一抵押权人同一抵押物续贷",C36&amp;"（续贷，未扣减，详见特别提示）",C36)</f>
        <v>0</v>
      </c>
      <c r="J106" s="2840"/>
      <c r="L106" s="1460" t="str">
        <f>IF(D123=0,"本次评估不存在"&amp;A123&amp;"。","本次评估"&amp;A123&amp;"为"&amp;D123&amp;"元人民币。")</f>
        <v>本次评估不存在——。</v>
      </c>
      <c r="M106" s="1457"/>
      <c r="N106" s="1457"/>
      <c r="O106" s="1457"/>
      <c r="P106" s="1457"/>
      <c r="Q106" s="1457"/>
    </row>
    <row r="107" spans="1:36" ht="12.75">
      <c r="A107" s="3299"/>
      <c r="B107" s="3300"/>
      <c r="C107" s="2813" t="s">
        <v>2804</v>
      </c>
      <c r="D107" s="52" t="e">
        <f ca="1">I121</f>
        <v>#REF!</v>
      </c>
      <c r="E107" s="1457"/>
      <c r="F107" s="3301" t="s">
        <v>2782</v>
      </c>
      <c r="G107" s="3302"/>
      <c r="H107" s="2815" t="str">
        <f>C110</f>
        <v>总额（元）</v>
      </c>
      <c r="I107" s="52">
        <f>C37</f>
        <v>0</v>
      </c>
      <c r="J107" s="2840"/>
    </row>
    <row r="108" spans="1:36" ht="12.75">
      <c r="A108" s="3370" t="s">
        <v>2780</v>
      </c>
      <c r="B108" s="3371"/>
      <c r="C108" s="2815" t="str">
        <f>IF(H19="元","总额（元）","总额（万元）")</f>
        <v>总额（元）</v>
      </c>
      <c r="D108" s="2814">
        <f>IF(D36="正常操作",I106+I107+I108,I107+I108)</f>
        <v>0</v>
      </c>
      <c r="E108" s="1457"/>
      <c r="F108" s="3301" t="s">
        <v>2807</v>
      </c>
      <c r="G108" s="3302"/>
      <c r="H108" s="2815" t="str">
        <f>C111</f>
        <v>总额（元）</v>
      </c>
      <c r="I108" s="52">
        <f>C38</f>
        <v>0</v>
      </c>
      <c r="J108" s="2840"/>
    </row>
    <row r="109" spans="1:36" ht="12.75">
      <c r="A109" s="3301" t="s">
        <v>2781</v>
      </c>
      <c r="B109" s="3302"/>
      <c r="C109" s="2815" t="str">
        <f>C108</f>
        <v>总额（元）</v>
      </c>
      <c r="D109" s="52">
        <f>IF(D36="同一抵押权人同一抵押物续贷",C36&amp;"（未扣减，详见特别提示）",C36)</f>
        <v>0</v>
      </c>
      <c r="E109" s="1457"/>
      <c r="F109" s="3299"/>
      <c r="G109" s="3300"/>
      <c r="H109" s="3333"/>
      <c r="I109" s="3334"/>
      <c r="J109" s="2858"/>
    </row>
    <row r="110" spans="1:36" ht="28.5" customHeight="1">
      <c r="A110" s="3301" t="s">
        <v>2805</v>
      </c>
      <c r="B110" s="3302"/>
      <c r="C110" s="2815" t="str">
        <f>C108</f>
        <v>总额（元）</v>
      </c>
      <c r="D110" s="52">
        <f>C37</f>
        <v>0</v>
      </c>
      <c r="E110" s="1457"/>
      <c r="F110" s="3282" t="str">
        <f>IF(项目基本情况!F5="已注销","——","3.房地产抵押价值")</f>
        <v>3.房地产抵押价值</v>
      </c>
      <c r="G110" s="3283"/>
      <c r="H110" s="2801" t="str">
        <f>C112</f>
        <v>总价（元）</v>
      </c>
      <c r="I110" s="2814" t="e">
        <f ca="1">IF(F110="——","——",I102-I105)</f>
        <v>#REF!</v>
      </c>
      <c r="J110" s="2856"/>
    </row>
    <row r="111" spans="1:36" ht="12.75">
      <c r="A111" s="3301" t="s">
        <v>2784</v>
      </c>
      <c r="B111" s="3302"/>
      <c r="C111" s="2815" t="str">
        <f>C108</f>
        <v>总额（元）</v>
      </c>
      <c r="D111" s="52">
        <f>C38</f>
        <v>0</v>
      </c>
      <c r="E111" s="1457"/>
      <c r="F111" s="3284"/>
      <c r="G111" s="3285"/>
      <c r="H111" s="2813" t="s">
        <v>2779</v>
      </c>
      <c r="I111" s="2817" t="e">
        <f ca="1">D113</f>
        <v>#REF!</v>
      </c>
      <c r="J111" s="2859"/>
    </row>
    <row r="112" spans="1:36" ht="26.25" customHeight="1">
      <c r="A112" s="3299" t="str">
        <f>IF(项目基本情况!F5="已注销","——","3.房地产抵押价值")</f>
        <v>3.房地产抵押价值</v>
      </c>
      <c r="B112" s="3300"/>
      <c r="C112" s="2813" t="str">
        <f>B101</f>
        <v>总价（元）</v>
      </c>
      <c r="D112" s="2814" t="e">
        <f ca="1">IF(A112="——","——",D106-D108)</f>
        <v>#REF!</v>
      </c>
      <c r="E112" s="1457"/>
      <c r="F112" s="3282" t="str">
        <f>IF(项目基本情况!F5="已注销及未注销","4.抵押担保权已注销时的房地产抵押价值",IF(项目基本情况!F5="已注销","3.抵押担保权已注销时的房地产抵押价值","——"))</f>
        <v>——</v>
      </c>
      <c r="G112" s="3283"/>
      <c r="H112" s="2801" t="str">
        <f>C114</f>
        <v>总价（元）</v>
      </c>
      <c r="I112" s="2814" t="str">
        <f>IF(F112="——","——",I102-I107-I108)</f>
        <v>——</v>
      </c>
      <c r="J112" s="2856"/>
    </row>
    <row r="113" spans="1:16" ht="12.75">
      <c r="A113" s="3299"/>
      <c r="B113" s="3300"/>
      <c r="C113" s="2813" t="s">
        <v>2772</v>
      </c>
      <c r="D113" s="52" t="e">
        <f ca="1">ROUND(IF(D112=D106,D107,IF(H19="元",D112/项目基本情况!C12,D112*10000/项目基本情况!C12)),0)</f>
        <v>#REF!</v>
      </c>
      <c r="E113" s="1457"/>
      <c r="F113" s="3284"/>
      <c r="G113" s="3285"/>
      <c r="H113" s="2813" t="s">
        <v>2808</v>
      </c>
      <c r="I113" s="52" t="str">
        <f>D115</f>
        <v>——</v>
      </c>
      <c r="J113" s="2840"/>
    </row>
    <row r="114" spans="1:16" ht="12.75">
      <c r="A114" s="3299" t="str">
        <f>IF(项目基本情况!F5="已注销及未注销","4.抵押担保权已注销时的房地产抵押价值",IF(项目基本情况!F5="已注销","3.抵押担保权已注销时的房地产抵押价值","——"))</f>
        <v>——</v>
      </c>
      <c r="B114" s="3300"/>
      <c r="C114" s="2813" t="str">
        <f>B101</f>
        <v>总价（元）</v>
      </c>
      <c r="D114" s="2814" t="str">
        <f>IF(A114="——","——",D106-D110-D111)</f>
        <v>——</v>
      </c>
      <c r="E114" s="1457"/>
      <c r="F114" s="3282" t="str">
        <f>IF(项目基本情况!G5="抵押净值",IF(OR(项目基本情况!F5="已注销",项目基本情况!F5="房地产抵押价值"),"4.抵押净值","5.抵押净值"),"——")</f>
        <v>——</v>
      </c>
      <c r="G114" s="3283"/>
      <c r="H114" s="2813" t="str">
        <f>C116</f>
        <v>总价（元）</v>
      </c>
      <c r="I114" s="2814" t="str">
        <f>IF(F114="——","——",O59)</f>
        <v>——</v>
      </c>
      <c r="J114" s="2856"/>
    </row>
    <row r="115" spans="1:16" ht="13.5" thickBot="1">
      <c r="A115" s="3299"/>
      <c r="B115" s="3300"/>
      <c r="C115" s="2813" t="s">
        <v>2772</v>
      </c>
      <c r="D115" s="52" t="str">
        <f>IF(A114="——","——",ROUND(IF(D114=D106,D107,IF(H19="元",D114/项目基本情况!C12,D114*10000/项目基本情况!C12)),0))</f>
        <v>——</v>
      </c>
      <c r="E115" s="1457"/>
      <c r="F115" s="3362"/>
      <c r="G115" s="3363"/>
      <c r="H115" s="2818" t="s">
        <v>2772</v>
      </c>
      <c r="I115" s="2802" t="e">
        <f ca="1">D117</f>
        <v>#REF!</v>
      </c>
      <c r="J115" s="2840"/>
    </row>
    <row r="116" spans="1:16" ht="15.75">
      <c r="A116" s="3299" t="str">
        <f>IF(项目基本情况!G5="抵押净值",IF(OR(项目基本情况!F5="已注销",项目基本情况!F5="房地产抵押价值"),"4.抵押净值","5.抵押净值"),"——")</f>
        <v>——</v>
      </c>
      <c r="B116" s="3300"/>
      <c r="C116" s="2813" t="str">
        <f>B101</f>
        <v>总价（元）</v>
      </c>
      <c r="D116" s="2814" t="str">
        <f>IF(A116="——","——",O59)</f>
        <v>——</v>
      </c>
      <c r="E116" s="1457"/>
      <c r="F116" s="3277"/>
      <c r="G116" s="3277"/>
      <c r="H116" s="3318"/>
      <c r="I116" s="3318"/>
      <c r="J116" s="2860"/>
      <c r="O116" s="32"/>
      <c r="P116" s="32"/>
    </row>
    <row r="117" spans="1:16" ht="13.5" thickBot="1">
      <c r="A117" s="3368"/>
      <c r="B117" s="3369"/>
      <c r="C117" s="2818" t="s">
        <v>2772</v>
      </c>
      <c r="D117" s="2802" t="e">
        <f ca="1">IF(D116=D112,D113,IF(A116="——","——",O61))</f>
        <v>#REF!</v>
      </c>
      <c r="E117" s="1457"/>
      <c r="F117" s="3361" t="str">
        <f>IF(B32="总价","（以上估价结果中单价为总价除以建筑面积得出）","（以上估价结果中总价为楼面单价乘以建筑面积得出）")</f>
        <v>（以上估价结果中总价为楼面单价乘以建筑面积得出）</v>
      </c>
      <c r="G117" s="3361"/>
      <c r="H117" s="3361"/>
      <c r="I117" s="3361"/>
      <c r="J117" s="2861"/>
      <c r="O117" s="32"/>
      <c r="P117" s="32"/>
    </row>
    <row r="118" spans="1:16" ht="15">
      <c r="A118" s="3319" t="s">
        <v>1874</v>
      </c>
      <c r="B118" s="3320"/>
      <c r="C118" s="3320"/>
      <c r="D118" s="3320"/>
      <c r="E118" s="3320"/>
      <c r="F118" s="3320"/>
      <c r="G118" s="3320"/>
      <c r="H118" s="3320"/>
      <c r="I118" s="3320"/>
      <c r="J118" s="2862"/>
    </row>
    <row r="119" spans="1:16" ht="12.75">
      <c r="A119" s="3292" t="s">
        <v>2790</v>
      </c>
      <c r="B119" s="3290" t="s">
        <v>2800</v>
      </c>
      <c r="C119" s="3290" t="s">
        <v>2801</v>
      </c>
      <c r="D119" s="3297" t="s">
        <v>2792</v>
      </c>
      <c r="E119" s="3298"/>
      <c r="F119" s="3288" t="s">
        <v>2802</v>
      </c>
      <c r="G119" s="3288"/>
      <c r="H119" s="3288" t="s">
        <v>2793</v>
      </c>
      <c r="I119" s="3289"/>
      <c r="J119" s="2840"/>
    </row>
    <row r="120" spans="1:16" ht="12.75">
      <c r="A120" s="3292"/>
      <c r="B120" s="3291"/>
      <c r="C120" s="3291"/>
      <c r="D120" s="2087" t="s">
        <v>2794</v>
      </c>
      <c r="E120" s="2087" t="s">
        <v>2799</v>
      </c>
      <c r="F120" s="2087" t="s">
        <v>2794</v>
      </c>
      <c r="G120" s="2087" t="s">
        <v>2795</v>
      </c>
      <c r="H120" s="2087" t="s">
        <v>2794</v>
      </c>
      <c r="I120" s="52" t="s">
        <v>2795</v>
      </c>
      <c r="J120" s="2840"/>
    </row>
    <row r="121" spans="1:16" ht="12.75">
      <c r="A121" s="2077" t="str">
        <f>项目基本情况!I1</f>
        <v>北京市房地产</v>
      </c>
      <c r="B121" s="2087">
        <f>项目基本情况!C12</f>
        <v>732.34</v>
      </c>
      <c r="C121" s="2087">
        <f>项目基本情况!C13</f>
        <v>0</v>
      </c>
      <c r="D121" s="2087" t="e">
        <f ca="1">ROUND(IF(B32="总价",C34,IF('数据-取费表'!B3="万元",E121*B121/10000,E121*B121)),0)</f>
        <v>#REF!</v>
      </c>
      <c r="E121" s="2087" t="e">
        <f ca="1">ROUND(IF(B32="楼面单价",C34,IF(H19="元",D121/B121,D121*10000/B121)),0)</f>
        <v>#REF!</v>
      </c>
      <c r="F121" s="2087" t="e">
        <f ca="1">ROUND(IF(B32="总价",C35,IF('数据-取费表'!B3="万元",G121*B121/10000,G121*B121)),0)</f>
        <v>#REF!</v>
      </c>
      <c r="G121" s="2087" t="e">
        <f ca="1">ROUND(IF(B32="楼面单价",C35,IF(H19="元",F121/B121,F121*10000/B121)),0)</f>
        <v>#REF!</v>
      </c>
      <c r="H121" s="2087" t="e">
        <f ca="1">ROUND(IF(B32="总价",C32,IF('数据-取费表'!B3="万元",I121*B121/10000,I121*B121)),0)</f>
        <v>#REF!</v>
      </c>
      <c r="I121" s="52" t="e">
        <f ca="1">ROUND(IF(B32="楼面单价",C32,IF(H19="元",H121/B121,H121*10000/B121)),0)</f>
        <v>#REF!</v>
      </c>
      <c r="J121" s="2840"/>
    </row>
    <row r="122" spans="1:16" ht="12.75">
      <c r="A122" s="3292" t="s">
        <v>2796</v>
      </c>
      <c r="B122" s="3288"/>
      <c r="C122" s="3288"/>
      <c r="D122" s="3323" t="e">
        <f ca="1">IF(H19="元",NUMBERSTRING(INT(D121),2)&amp;"元整",NUMBERSTRING(INT(D121*10000),2)&amp;"元整")</f>
        <v>#REF!</v>
      </c>
      <c r="E122" s="3324"/>
      <c r="F122" s="3323" t="e">
        <f ca="1">IF(H19="元",NUMBERSTRING(INT(F121),2)&amp;"元整",NUMBERSTRING(INT(F121*10000),2)&amp;"元整")</f>
        <v>#REF!</v>
      </c>
      <c r="G122" s="3324"/>
      <c r="H122" s="3323" t="e">
        <f ca="1">IF(H19="元",NUMBERSTRING(INT(H121),2)&amp;"元整",NUMBERSTRING(INT(H121*10000),2)&amp;"元整")</f>
        <v>#REF!</v>
      </c>
      <c r="I122" s="3372"/>
      <c r="J122" s="2863"/>
    </row>
    <row r="123" spans="1:16" ht="12.75">
      <c r="A123" s="3312" t="str">
        <f>IF(项目基本情况!D5="房地产市场价值","——",MID(A108,3,LEN(A108)-2))</f>
        <v>——</v>
      </c>
      <c r="B123" s="3325"/>
      <c r="C123" s="3314"/>
      <c r="D123" s="3316">
        <f>I105</f>
        <v>0</v>
      </c>
      <c r="E123" s="3325"/>
      <c r="F123" s="3325"/>
      <c r="G123" s="3325"/>
      <c r="H123" s="3325"/>
      <c r="I123" s="3313"/>
      <c r="J123" s="2856"/>
    </row>
    <row r="124" spans="1:16" ht="12.75">
      <c r="A124" s="3326" t="s">
        <v>2796</v>
      </c>
      <c r="B124" s="3327"/>
      <c r="C124" s="3328"/>
      <c r="D124" s="3364">
        <f>H109</f>
        <v>0</v>
      </c>
      <c r="E124" s="3365"/>
      <c r="F124" s="3365"/>
      <c r="G124" s="3365"/>
      <c r="H124" s="3365"/>
      <c r="I124" s="3366"/>
      <c r="J124" s="2864"/>
    </row>
    <row r="125" spans="1:16" ht="12.75">
      <c r="A125" s="3299" t="str">
        <f>IF(项目基本情况!D5="房地产市场价值","——",MID(A112,3,LEN(A112)-2))</f>
        <v>——</v>
      </c>
      <c r="B125" s="3300"/>
      <c r="C125" s="3300"/>
      <c r="D125" s="3316" t="e">
        <f ca="1">I110</f>
        <v>#REF!</v>
      </c>
      <c r="E125" s="3325"/>
      <c r="F125" s="3325"/>
      <c r="G125" s="3325"/>
      <c r="H125" s="3325"/>
      <c r="I125" s="3313"/>
      <c r="J125" s="2856"/>
    </row>
    <row r="126" spans="1:16" ht="12.75">
      <c r="A126" s="3292" t="s">
        <v>2796</v>
      </c>
      <c r="B126" s="3288"/>
      <c r="C126" s="3288"/>
      <c r="D126" s="3364" t="e">
        <f ca="1">I111</f>
        <v>#REF!</v>
      </c>
      <c r="E126" s="3365"/>
      <c r="F126" s="3365"/>
      <c r="G126" s="3365"/>
      <c r="H126" s="3365"/>
      <c r="I126" s="3366"/>
      <c r="J126" s="2864"/>
    </row>
    <row r="127" spans="1:16" ht="13.5" thickBot="1">
      <c r="A127" s="3299" t="str">
        <f>IF(项目基本情况!D5="房地产市场价值","——",MID(A114,3,LEN(A114)-2))</f>
        <v>——</v>
      </c>
      <c r="B127" s="3300"/>
      <c r="C127" s="3300"/>
      <c r="D127" s="3272" t="str">
        <f>I112</f>
        <v>——</v>
      </c>
      <c r="E127" s="3273"/>
      <c r="F127" s="3273"/>
      <c r="G127" s="3273"/>
      <c r="H127" s="3273"/>
      <c r="I127" s="3274"/>
      <c r="J127" s="2856"/>
    </row>
    <row r="128" spans="1:16" ht="14.25" thickTop="1" thickBot="1">
      <c r="A128" s="3292" t="s">
        <v>2796</v>
      </c>
      <c r="B128" s="3288"/>
      <c r="C128" s="3339"/>
      <c r="D128" s="3317" t="str">
        <f>I113</f>
        <v>——</v>
      </c>
      <c r="E128" s="3317"/>
      <c r="F128" s="3317"/>
      <c r="G128" s="3317"/>
      <c r="H128" s="3317"/>
      <c r="I128" s="3317"/>
      <c r="J128" s="2864"/>
    </row>
    <row r="129" spans="1:10" ht="14.25" thickTop="1" thickBot="1">
      <c r="A129" s="3299" t="str">
        <f>IF(项目基本情况!D5="房地产市场价值","——",MID(F114,3,LEN(F114)-2))</f>
        <v>——</v>
      </c>
      <c r="B129" s="3300"/>
      <c r="C129" s="3316"/>
      <c r="D129" s="3367" t="str">
        <f>I114</f>
        <v>——</v>
      </c>
      <c r="E129" s="3367"/>
      <c r="F129" s="3367"/>
      <c r="G129" s="3367"/>
      <c r="H129" s="3367"/>
      <c r="I129" s="3367"/>
      <c r="J129" s="2856"/>
    </row>
    <row r="130" spans="1:10" ht="14.25" thickTop="1" thickBot="1">
      <c r="A130" s="3355" t="s">
        <v>2796</v>
      </c>
      <c r="B130" s="3356"/>
      <c r="C130" s="3356"/>
      <c r="D130" s="3373">
        <f>H116</f>
        <v>0</v>
      </c>
      <c r="E130" s="3374"/>
      <c r="F130" s="3374"/>
      <c r="G130" s="3374"/>
      <c r="H130" s="3374"/>
      <c r="I130" s="3375"/>
      <c r="J130" s="2864"/>
    </row>
    <row r="131" spans="1:10" ht="12.75">
      <c r="A131" s="1477" t="str">
        <f>IF(H19="元","单位：平方米、元、元/平方米（币种：人民币）","单位：平方米、万元、元/平方米（币种：人民币）")</f>
        <v>单位：平方米、元、元/平方米（币种：人民币）</v>
      </c>
      <c r="B131" s="1477"/>
      <c r="C131" s="1477"/>
      <c r="D131" s="1477"/>
      <c r="E131" s="1477"/>
      <c r="F131" s="1477"/>
      <c r="G131" s="1477"/>
      <c r="H131" s="1477"/>
      <c r="I131" s="1477"/>
      <c r="J131" s="2865"/>
    </row>
    <row r="132" spans="1:10" ht="13.5" thickBot="1">
      <c r="A132" s="3360" t="str">
        <f>IF(B32="总价","（以上估价结果中楼面单价为总价除以建筑面积得出）","（以上估价结果中总价为楼面单价乘以建筑面积得出）")</f>
        <v>（以上估价结果中总价为楼面单价乘以建筑面积得出）</v>
      </c>
      <c r="B132" s="3360"/>
      <c r="C132" s="3360"/>
      <c r="D132" s="3360"/>
      <c r="E132" s="3360"/>
      <c r="F132" s="3360"/>
      <c r="G132" s="3360"/>
      <c r="H132" s="3360"/>
      <c r="I132" s="3360"/>
      <c r="J132" s="2858"/>
    </row>
    <row r="133" spans="1:10" ht="21.75" customHeight="1">
      <c r="A133" s="1487" t="s">
        <v>1875</v>
      </c>
      <c r="B133" s="1488"/>
      <c r="C133" s="1489" t="s">
        <v>1876</v>
      </c>
      <c r="D133" s="1490"/>
      <c r="E133" s="1490"/>
      <c r="F133" s="1490"/>
      <c r="G133" s="1490"/>
      <c r="H133" s="1491"/>
      <c r="I133" s="1492"/>
      <c r="J133" s="2866"/>
    </row>
    <row r="134" spans="1:10" ht="21.75" customHeight="1">
      <c r="A134" s="1493">
        <v>1</v>
      </c>
      <c r="B134" s="1494"/>
      <c r="C134" s="1494"/>
      <c r="D134" s="1490"/>
      <c r="E134" s="1490"/>
      <c r="F134" s="1490"/>
      <c r="G134" s="1490"/>
      <c r="H134" s="1491"/>
      <c r="I134" s="1492"/>
      <c r="J134" s="2866"/>
    </row>
    <row r="135" spans="1:10" ht="21.75" customHeight="1">
      <c r="A135" s="1493">
        <v>2</v>
      </c>
      <c r="B135" s="1494"/>
      <c r="C135" s="1494"/>
      <c r="D135" s="1490"/>
      <c r="E135" s="1490"/>
      <c r="F135" s="1490"/>
      <c r="G135" s="1490"/>
      <c r="H135" s="1491"/>
      <c r="I135" s="1492"/>
      <c r="J135" s="2866"/>
    </row>
    <row r="136" spans="1:10" ht="21.75" customHeight="1">
      <c r="A136" s="1493">
        <v>3</v>
      </c>
      <c r="B136" s="1494"/>
      <c r="C136" s="1494"/>
      <c r="D136" s="1490"/>
      <c r="E136" s="1490"/>
      <c r="F136" s="32"/>
      <c r="G136" s="32"/>
      <c r="H136" s="32"/>
      <c r="I136" s="32"/>
      <c r="J136" s="2867"/>
    </row>
    <row r="137" spans="1:10" ht="21.75" customHeight="1">
      <c r="A137" s="1495"/>
      <c r="B137" s="1496"/>
      <c r="C137" s="1496"/>
      <c r="D137" s="1497"/>
      <c r="E137" s="1497"/>
      <c r="F137" s="1497"/>
      <c r="G137" s="1497"/>
      <c r="H137" s="1498"/>
      <c r="I137" s="1499"/>
      <c r="J137" s="2866"/>
    </row>
    <row r="138" spans="1:10" ht="21.75" customHeight="1">
      <c r="A138" s="1494"/>
      <c r="B138" s="1494"/>
      <c r="C138" s="1494"/>
      <c r="D138" s="1490"/>
      <c r="E138" s="1490"/>
      <c r="F138" s="1490"/>
      <c r="G138" s="1490"/>
      <c r="H138" s="1491"/>
      <c r="I138" s="659"/>
      <c r="J138" s="2867"/>
    </row>
    <row r="139" spans="1:10" ht="21.75" customHeight="1">
      <c r="A139" s="659"/>
      <c r="B139" s="659"/>
      <c r="C139" s="659"/>
      <c r="D139" s="659"/>
      <c r="E139" s="659"/>
      <c r="F139" s="1500" t="s">
        <v>1877</v>
      </c>
      <c r="G139" s="1501"/>
      <c r="H139" s="1501"/>
      <c r="I139" s="1502" t="s">
        <v>1878</v>
      </c>
      <c r="J139" s="2868"/>
    </row>
    <row r="140" spans="1:10" ht="21.75" customHeight="1">
      <c r="A140" s="659"/>
      <c r="B140" s="1503" t="s">
        <v>1879</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1"/>
      <c r="C142" s="1501"/>
      <c r="D142" s="1501"/>
      <c r="E142" s="1501"/>
      <c r="F142" s="1501"/>
      <c r="G142" s="1501"/>
      <c r="H142" s="1501"/>
      <c r="I142" s="1502" t="s">
        <v>1880</v>
      </c>
      <c r="J142" s="2868"/>
    </row>
    <row r="143" spans="1:10" ht="21.75" customHeight="1">
      <c r="A143" s="659"/>
      <c r="B143" s="1503" t="s">
        <v>1881</v>
      </c>
      <c r="C143" s="659"/>
      <c r="D143" s="659"/>
      <c r="E143" s="659"/>
      <c r="F143" s="659"/>
      <c r="G143" s="659"/>
      <c r="H143" s="659"/>
      <c r="I143" s="659"/>
      <c r="J143" s="2867"/>
    </row>
    <row r="144" spans="1:10" ht="21.75" customHeight="1">
      <c r="A144" s="659"/>
      <c r="B144" s="1503"/>
      <c r="C144" s="659"/>
      <c r="D144" s="659"/>
      <c r="E144" s="659"/>
      <c r="F144" s="659"/>
      <c r="G144" s="659"/>
      <c r="H144" s="659"/>
      <c r="I144" s="659"/>
      <c r="J144" s="2867"/>
    </row>
    <row r="145" spans="1:36" ht="21.75" customHeight="1">
      <c r="A145" s="659"/>
      <c r="B145" s="1501"/>
      <c r="C145" s="1501"/>
      <c r="D145" s="1501"/>
      <c r="E145" s="1501"/>
      <c r="F145" s="1501"/>
      <c r="G145" s="1501"/>
      <c r="H145" s="1501"/>
      <c r="I145" s="1502" t="s">
        <v>1880</v>
      </c>
      <c r="J145" s="2868"/>
    </row>
    <row r="146" spans="1:36" ht="21.75" customHeight="1">
      <c r="A146" s="659"/>
      <c r="B146" s="1503"/>
      <c r="C146" s="1504"/>
      <c r="D146" s="1505"/>
      <c r="E146" s="1505"/>
      <c r="F146" s="1506"/>
      <c r="G146" s="659"/>
      <c r="H146" s="659"/>
      <c r="I146" s="659"/>
      <c r="J146" s="2867"/>
    </row>
    <row r="147" spans="1:36" s="32" customFormat="1" ht="21.75" customHeight="1">
      <c r="A147" s="659"/>
      <c r="B147" s="1503"/>
      <c r="C147" s="1504"/>
      <c r="D147" s="1505"/>
      <c r="E147" s="1505"/>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6"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6"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6"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6"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6"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6"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6"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6"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6"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6"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6"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6"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6"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6"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6"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6"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6"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6"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6"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6"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6"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6"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6"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6"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6"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6"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6"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6"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6"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6"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6"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6"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6"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6"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6"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6"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6"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6"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6"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6"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6"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6"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6"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6"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6"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6"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6"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6"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6"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6"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6"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6"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6"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6"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6"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6"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6"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6"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6"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6"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6"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6"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6"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6"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6"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6"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6"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6"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6"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6"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6"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6"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6"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6"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6"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6"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6"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6"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6"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6"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6"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6"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6"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6"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6"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6"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6"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6"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6"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6"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6"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6"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6"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6"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6"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6"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6"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6"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6"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6"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6"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6"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6"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6"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6"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6"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6"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6"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6"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6"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6"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6"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6"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6" customFormat="1" ht="21.75" customHeight="1">
      <c r="F516" s="1458"/>
      <c r="G516" s="1458"/>
      <c r="H516" s="1458"/>
      <c r="I516" s="1458"/>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F37" sqref="F37"/>
    </sheetView>
  </sheetViews>
  <sheetFormatPr defaultColWidth="12.625" defaultRowHeight="21.75" customHeight="1"/>
  <cols>
    <col min="1" max="1" width="12.625" style="1458"/>
    <col min="2" max="2" width="17.625" style="1458" customWidth="1"/>
    <col min="3" max="4" width="12.625" style="1458" customWidth="1"/>
    <col min="5" max="9" width="12.625" style="1458"/>
    <col min="10" max="10" width="4.125" style="2837" customWidth="1"/>
    <col min="11" max="12" width="12.625" style="659" customWidth="1"/>
    <col min="13" max="13" width="12.625" style="659"/>
    <col min="14" max="14" width="14.125" style="659" bestFit="1" customWidth="1"/>
    <col min="15" max="27" width="12.625" style="659"/>
    <col min="28" max="36" width="12.625" style="1306"/>
    <col min="37" max="16384" width="12.625" style="1458"/>
  </cols>
  <sheetData>
    <row r="1" spans="1:15" ht="21.75" customHeight="1">
      <c r="A1" s="1456" t="s">
        <v>1882</v>
      </c>
      <c r="B1" s="1457"/>
      <c r="C1" s="1457"/>
      <c r="D1" s="1457"/>
      <c r="E1" s="1457"/>
      <c r="F1" s="1457"/>
      <c r="G1" s="1457"/>
      <c r="H1" s="1457"/>
      <c r="I1" s="1457"/>
    </row>
    <row r="2" spans="1:15" ht="21.75" customHeight="1">
      <c r="A2" s="3382" t="s">
        <v>1883</v>
      </c>
      <c r="B2" s="3382"/>
      <c r="C2" s="3382"/>
      <c r="D2" s="3382"/>
      <c r="E2" s="3382"/>
      <c r="F2" s="3382"/>
      <c r="G2" s="3382"/>
      <c r="H2" s="3382"/>
      <c r="I2" s="3382"/>
      <c r="J2" s="2869"/>
    </row>
    <row r="3" spans="1:15" ht="12.75">
      <c r="A3" s="3342" t="s">
        <v>1711</v>
      </c>
      <c r="B3" s="3343"/>
      <c r="C3" s="3343"/>
      <c r="D3" s="3343"/>
      <c r="E3" s="3343"/>
      <c r="F3" s="3343"/>
      <c r="G3" s="3343"/>
      <c r="H3" s="3343"/>
      <c r="I3" s="3343"/>
      <c r="J3" s="2839"/>
    </row>
    <row r="4" spans="1:15" ht="14.25">
      <c r="A4" s="2707" t="s">
        <v>1712</v>
      </c>
      <c r="B4" s="2707" t="s">
        <v>1713</v>
      </c>
      <c r="C4" s="2708" t="s">
        <v>2916</v>
      </c>
      <c r="D4" s="2708" t="s">
        <v>2917</v>
      </c>
      <c r="E4" s="3339" t="s">
        <v>1884</v>
      </c>
      <c r="F4" s="3327"/>
      <c r="G4" s="3327"/>
      <c r="H4" s="3327"/>
      <c r="I4" s="3328"/>
      <c r="J4" s="2840"/>
      <c r="L4" s="1457" t="str">
        <f>IF(ISNUMBER(FIND("比较法",'结果表 (1修多)'!C4)),"比较法",IF(ISNUMBER(FIND("成本法",'结果表 (1修多)'!C4)),"成本法",IF(ISNUMBER(FIND("假设开发法",'结果表 (1修多)'!C4)),"假设开发法",IF(ISNUMBER(FIND("收益法",'结果表 (1修多)'!C4)),"收益法","基准地价系数修正法"))))</f>
        <v>比较法</v>
      </c>
      <c r="M4" s="1457" t="str">
        <f>IF(ISNUMBER(FIND("比较法",'结果表 (1修多)'!D4)),"比较法",IF(ISNUMBER(FIND("成本法",'结果表 (1修多)'!D4)),"成本法",IF(ISNUMBER(FIND("假设开发法",'结果表 (1修多)'!D4)),"假设开发法",IF(ISNUMBER(FIND("收益法",'结果表 (1修多)'!D4)),"收益法","基准地价系数修正法"))))</f>
        <v>成本法</v>
      </c>
      <c r="N4" s="1457"/>
      <c r="O4" s="1457"/>
    </row>
    <row r="5" spans="1:15" ht="12.75">
      <c r="A5" s="3338" t="s">
        <v>1715</v>
      </c>
      <c r="B5" s="3338">
        <v>25</v>
      </c>
      <c r="C5" s="3344"/>
      <c r="D5" s="3341"/>
      <c r="E5" s="12" t="s">
        <v>1716</v>
      </c>
      <c r="F5" s="2084"/>
      <c r="G5" s="2084"/>
      <c r="H5" s="2084"/>
      <c r="I5" s="2079"/>
      <c r="J5" s="2840"/>
    </row>
    <row r="6" spans="1:15" ht="12.75">
      <c r="A6" s="3338"/>
      <c r="B6" s="3338"/>
      <c r="C6" s="3345"/>
      <c r="D6" s="3341"/>
      <c r="E6" s="12" t="s">
        <v>1717</v>
      </c>
      <c r="F6" s="2084"/>
      <c r="G6" s="2084"/>
      <c r="H6" s="2084"/>
      <c r="I6" s="2079"/>
      <c r="J6" s="2840"/>
    </row>
    <row r="7" spans="1:15" ht="12.75">
      <c r="A7" s="3338"/>
      <c r="B7" s="3338"/>
      <c r="C7" s="3346"/>
      <c r="D7" s="3341"/>
      <c r="E7" s="12" t="s">
        <v>1718</v>
      </c>
      <c r="F7" s="2084"/>
      <c r="G7" s="2084"/>
      <c r="H7" s="2084"/>
      <c r="I7" s="2079"/>
      <c r="J7" s="2840"/>
    </row>
    <row r="8" spans="1:15" ht="12.75">
      <c r="A8" s="3338" t="s">
        <v>1719</v>
      </c>
      <c r="B8" s="3338">
        <v>15</v>
      </c>
      <c r="C8" s="3344"/>
      <c r="D8" s="3341"/>
      <c r="E8" s="12" t="s">
        <v>1720</v>
      </c>
      <c r="F8" s="2084"/>
      <c r="G8" s="2084"/>
      <c r="H8" s="2084"/>
      <c r="I8" s="2079"/>
      <c r="J8" s="2840"/>
    </row>
    <row r="9" spans="1:15" ht="12.75">
      <c r="A9" s="3338"/>
      <c r="B9" s="3338"/>
      <c r="C9" s="3346"/>
      <c r="D9" s="3341"/>
      <c r="E9" s="12" t="s">
        <v>1721</v>
      </c>
      <c r="F9" s="2084"/>
      <c r="G9" s="2084"/>
      <c r="H9" s="2084"/>
      <c r="I9" s="2079"/>
      <c r="J9" s="2840"/>
    </row>
    <row r="10" spans="1:15" ht="12.75">
      <c r="A10" s="3338" t="s">
        <v>1722</v>
      </c>
      <c r="B10" s="3338">
        <v>15</v>
      </c>
      <c r="C10" s="3344"/>
      <c r="D10" s="3341"/>
      <c r="E10" s="12" t="s">
        <v>1723</v>
      </c>
      <c r="F10" s="2084"/>
      <c r="G10" s="2084"/>
      <c r="H10" s="2084"/>
      <c r="I10" s="2079"/>
      <c r="J10" s="2840"/>
    </row>
    <row r="11" spans="1:15" ht="12.75">
      <c r="A11" s="3338"/>
      <c r="B11" s="3338"/>
      <c r="C11" s="3346"/>
      <c r="D11" s="3341"/>
      <c r="E11" s="12" t="s">
        <v>1724</v>
      </c>
      <c r="F11" s="2084"/>
      <c r="G11" s="2084"/>
      <c r="H11" s="2084"/>
      <c r="I11" s="2079"/>
      <c r="J11" s="2840"/>
    </row>
    <row r="12" spans="1:15" ht="12.75">
      <c r="A12" s="3338" t="s">
        <v>1725</v>
      </c>
      <c r="B12" s="3338">
        <v>15</v>
      </c>
      <c r="C12" s="3344"/>
      <c r="D12" s="3341"/>
      <c r="E12" s="12" t="s">
        <v>1726</v>
      </c>
      <c r="F12" s="2084"/>
      <c r="G12" s="2084"/>
      <c r="H12" s="2084"/>
      <c r="I12" s="2079"/>
      <c r="J12" s="2840"/>
    </row>
    <row r="13" spans="1:15" ht="12.75">
      <c r="A13" s="3338"/>
      <c r="B13" s="3338"/>
      <c r="C13" s="3346"/>
      <c r="D13" s="3341"/>
      <c r="E13" s="12" t="s">
        <v>1727</v>
      </c>
      <c r="F13" s="2084"/>
      <c r="G13" s="2084"/>
      <c r="H13" s="2084"/>
      <c r="I13" s="2079"/>
      <c r="J13" s="2840"/>
    </row>
    <row r="14" spans="1:15" ht="12.75">
      <c r="A14" s="3338" t="s">
        <v>1728</v>
      </c>
      <c r="B14" s="3338">
        <v>30</v>
      </c>
      <c r="C14" s="3344">
        <v>8</v>
      </c>
      <c r="D14" s="3341">
        <v>2</v>
      </c>
      <c r="E14" s="12" t="s">
        <v>1729</v>
      </c>
      <c r="F14" s="2084"/>
      <c r="G14" s="2084"/>
      <c r="H14" s="2084"/>
      <c r="I14" s="2079"/>
      <c r="J14" s="2840"/>
    </row>
    <row r="15" spans="1:15" ht="12.75">
      <c r="A15" s="3338"/>
      <c r="B15" s="3338"/>
      <c r="C15" s="3345"/>
      <c r="D15" s="3341"/>
      <c r="E15" s="12" t="s">
        <v>1730</v>
      </c>
      <c r="F15" s="2084"/>
      <c r="G15" s="2084"/>
      <c r="H15" s="2084"/>
      <c r="I15" s="2079"/>
      <c r="J15" s="2840"/>
    </row>
    <row r="16" spans="1:15" ht="12.75">
      <c r="A16" s="3338"/>
      <c r="B16" s="3338"/>
      <c r="C16" s="3346"/>
      <c r="D16" s="3341"/>
      <c r="E16" s="12" t="s">
        <v>1731</v>
      </c>
      <c r="F16" s="2084"/>
      <c r="G16" s="2084"/>
      <c r="H16" s="2084"/>
      <c r="I16" s="2079"/>
      <c r="J16" s="2840"/>
    </row>
    <row r="17" spans="1:36" ht="15">
      <c r="A17" s="2709" t="s">
        <v>1732</v>
      </c>
      <c r="B17" s="2089"/>
      <c r="C17" s="2710">
        <f>SUM(C5:C16)</f>
        <v>8</v>
      </c>
      <c r="D17" s="2710">
        <f>SUM(D5:D16)</f>
        <v>2</v>
      </c>
      <c r="E17" s="2558"/>
      <c r="F17" s="2558"/>
      <c r="G17" s="2558"/>
      <c r="H17" s="2558"/>
      <c r="I17" s="2558"/>
      <c r="J17" s="2841"/>
    </row>
    <row r="18" spans="1:36" ht="32.450000000000003" customHeight="1" thickBot="1">
      <c r="A18" s="2711" t="s">
        <v>1733</v>
      </c>
      <c r="B18" s="2712"/>
      <c r="C18" s="2713">
        <f>ROUND(C17/SUM(C17:D17),2)</f>
        <v>0.8</v>
      </c>
      <c r="D18" s="2713">
        <f>1-C18</f>
        <v>0.19999999999999996</v>
      </c>
      <c r="E18" s="3358" t="s">
        <v>2815</v>
      </c>
      <c r="F18" s="3359"/>
      <c r="G18" s="3359"/>
      <c r="H18" s="3359"/>
      <c r="I18" s="3359"/>
      <c r="J18" s="2841"/>
    </row>
    <row r="19" spans="1:36" ht="15">
      <c r="A19" s="2714" t="s">
        <v>1734</v>
      </c>
      <c r="B19" s="2715" t="s">
        <v>1735</v>
      </c>
      <c r="C19" s="2716">
        <f ca="1">SUMIF(INDIRECT("'"&amp;C4&amp;"'"&amp;"!A:A"),'结果表 (1修多)'!B19,INDIRECT("'"&amp;C4&amp;"'"&amp;"!B:B"))</f>
        <v>34303904</v>
      </c>
      <c r="D19" s="2717">
        <f ca="1">SUMIF(INDIRECT("'"&amp;D4&amp;"'"&amp;"!A:A"),'结果表 (1修多)'!B19,INDIRECT("'"&amp;D4&amp;"'"&amp;"!B:B"))</f>
        <v>24448575</v>
      </c>
      <c r="E19" s="2714" t="s">
        <v>1736</v>
      </c>
      <c r="F19" s="2715" t="s">
        <v>1735</v>
      </c>
      <c r="G19" s="2718">
        <f ca="1">ROUND(C19*$C$18+D19*$D$18,0)</f>
        <v>32332838</v>
      </c>
      <c r="H19" s="2719" t="str">
        <f>'数据-取费表'!B3</f>
        <v>元</v>
      </c>
      <c r="I19" s="2558"/>
      <c r="J19" s="2841"/>
    </row>
    <row r="20" spans="1:36" ht="15">
      <c r="A20" s="2720"/>
      <c r="B20" s="1689" t="s">
        <v>1737</v>
      </c>
      <c r="C20" s="1914">
        <f ca="1">SUMIF(INDIRECT("'"&amp;C4&amp;"'"&amp;"!A:A"),'结果表 (1修多)'!B20,INDIRECT("'"&amp;C4&amp;"'"&amp;"!B:B"))</f>
        <v>93683</v>
      </c>
      <c r="D20" s="1917">
        <f ca="1">SUMIF(INDIRECT("'"&amp;D4&amp;"'"&amp;"!A:A"),'结果表 (1修多)'!B20,INDIRECT("'"&amp;D4&amp;"'"&amp;"!B:B"))</f>
        <v>66768</v>
      </c>
      <c r="E20" s="2720"/>
      <c r="F20" s="1689" t="s">
        <v>1737</v>
      </c>
      <c r="G20" s="2088">
        <f ca="1">ROUND(C20*$C$18+D20*$D$18,0)</f>
        <v>88300</v>
      </c>
      <c r="H20" s="2721" t="s">
        <v>1738</v>
      </c>
      <c r="I20" s="2558"/>
      <c r="J20" s="2841"/>
    </row>
    <row r="21" spans="1:36" ht="15" customHeight="1" thickBot="1">
      <c r="A21" s="2722"/>
      <c r="B21" s="2723"/>
      <c r="C21" s="2723"/>
      <c r="D21" s="2724"/>
      <c r="E21" s="2722"/>
      <c r="F21" s="2723"/>
      <c r="G21" s="2725"/>
      <c r="H21" s="2726"/>
      <c r="I21" s="2558"/>
      <c r="J21" s="2841"/>
    </row>
    <row r="22" spans="1:36" ht="15" thickBot="1">
      <c r="A22" s="2727" t="s">
        <v>1739</v>
      </c>
      <c r="B22" s="2728"/>
      <c r="C22" s="2641"/>
      <c r="D22" s="2729">
        <f ca="1">IF(C19&lt;D19,D19/C19-1,C19/D19-1)</f>
        <v>0.40310443451203182</v>
      </c>
      <c r="E22" s="947"/>
      <c r="F22" s="947"/>
      <c r="G22" s="947"/>
      <c r="H22" s="947"/>
      <c r="I22" s="947"/>
      <c r="J22" s="2841"/>
    </row>
    <row r="23" spans="1:36" ht="13.5" thickBot="1">
      <c r="A23" s="2558"/>
      <c r="B23" s="2558"/>
      <c r="C23" s="2558"/>
      <c r="D23" s="2558"/>
      <c r="E23" s="947"/>
      <c r="F23" s="947"/>
      <c r="G23" s="947"/>
      <c r="H23" s="947"/>
      <c r="I23" s="947"/>
      <c r="J23" s="2841"/>
    </row>
    <row r="24" spans="1:36" ht="21.75" customHeight="1">
      <c r="A24" s="3347" t="s">
        <v>1740</v>
      </c>
      <c r="B24" s="2715" t="s">
        <v>1735</v>
      </c>
      <c r="C24" s="2718">
        <f>D30</f>
        <v>0</v>
      </c>
      <c r="D24" s="2670"/>
      <c r="E24" s="947"/>
      <c r="F24" s="947"/>
      <c r="G24" s="947"/>
      <c r="H24" s="947"/>
      <c r="I24" s="947"/>
      <c r="J24" s="2841"/>
    </row>
    <row r="25" spans="1:36" ht="21.75" customHeight="1">
      <c r="A25" s="3348"/>
      <c r="B25" s="1689" t="s">
        <v>1737</v>
      </c>
      <c r="C25" s="2730">
        <f>IF(B30=0,0,C30)</f>
        <v>0</v>
      </c>
      <c r="D25" s="2731"/>
      <c r="E25" s="947"/>
      <c r="F25" s="947"/>
      <c r="G25" s="947"/>
      <c r="H25" s="947"/>
      <c r="I25" s="947"/>
      <c r="J25" s="2841"/>
    </row>
    <row r="26" spans="1:36" ht="13.5" customHeight="1">
      <c r="A26" s="2732" t="s">
        <v>1741</v>
      </c>
      <c r="B26" s="2733" t="s">
        <v>1742</v>
      </c>
      <c r="C26" s="2733" t="s">
        <v>1743</v>
      </c>
      <c r="D26" s="2734" t="s">
        <v>1744</v>
      </c>
      <c r="E26" s="947"/>
      <c r="F26" s="947"/>
      <c r="G26" s="947"/>
      <c r="H26" s="947"/>
      <c r="I26" s="947"/>
      <c r="J26" s="2841"/>
    </row>
    <row r="27" spans="1:36" ht="14.25">
      <c r="A27" s="2735" t="s">
        <v>1885</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1886</v>
      </c>
      <c r="B30" s="2769"/>
      <c r="C30" s="2769"/>
      <c r="D30" s="2769"/>
      <c r="E30" s="2736" t="s">
        <v>2819</v>
      </c>
      <c r="F30" s="2558"/>
      <c r="G30" s="2558"/>
      <c r="H30" s="2558"/>
      <c r="I30" s="2558"/>
      <c r="J30" s="2841"/>
    </row>
    <row r="31" spans="1:36" s="2834" customFormat="1" ht="27.6" customHeight="1" thickTop="1" thickBot="1">
      <c r="A31" s="2829"/>
      <c r="B31" s="2830"/>
      <c r="C31" s="2830"/>
      <c r="D31" s="2830"/>
      <c r="E31" s="2830"/>
      <c r="F31" s="2830"/>
      <c r="G31" s="2830"/>
      <c r="H31" s="2830"/>
      <c r="I31" s="2831" t="s">
        <v>2820</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1" customFormat="1" ht="16.5" thickTop="1" thickBot="1">
      <c r="A32" s="3404" t="s">
        <v>1887</v>
      </c>
      <c r="B32" s="3404"/>
      <c r="C32" s="3404"/>
      <c r="D32" s="3404"/>
      <c r="E32" s="3404"/>
      <c r="F32" s="3404"/>
      <c r="G32" s="3404"/>
      <c r="H32" s="3404"/>
      <c r="I32" s="3404"/>
      <c r="J32" s="2870"/>
      <c r="K32" s="659"/>
      <c r="L32" s="659"/>
      <c r="M32" s="659"/>
      <c r="N32" s="659"/>
      <c r="O32" s="659"/>
      <c r="P32" s="659"/>
      <c r="Q32" s="659"/>
      <c r="R32" s="659"/>
      <c r="S32" s="659"/>
      <c r="T32" s="659"/>
      <c r="U32" s="659"/>
      <c r="V32" s="659"/>
      <c r="W32" s="659"/>
      <c r="X32" s="659"/>
      <c r="Y32" s="659"/>
      <c r="Z32" s="659"/>
      <c r="AA32" s="659"/>
      <c r="AB32" s="1306"/>
      <c r="AC32" s="1306"/>
      <c r="AD32" s="1306"/>
      <c r="AE32" s="1306"/>
      <c r="AF32" s="1306"/>
      <c r="AG32" s="1306"/>
      <c r="AH32" s="1306"/>
      <c r="AI32" s="1306"/>
      <c r="AJ32" s="1306"/>
    </row>
    <row r="33" spans="1:16" ht="15">
      <c r="A33" s="1507"/>
      <c r="B33" s="2770" t="s">
        <v>1888</v>
      </c>
      <c r="C33" s="2771">
        <f ca="1">典型户型修正!R27</f>
        <v>88300</v>
      </c>
      <c r="D33" s="2558" t="s">
        <v>1889</v>
      </c>
      <c r="E33" s="947"/>
      <c r="F33" s="947"/>
      <c r="G33" s="947"/>
      <c r="H33" s="947"/>
      <c r="I33" s="947"/>
      <c r="J33" s="2841"/>
    </row>
    <row r="34" spans="1:16" ht="15">
      <c r="A34" s="1508" t="s">
        <v>1890</v>
      </c>
      <c r="B34" s="2772" t="s">
        <v>1891</v>
      </c>
      <c r="C34" s="2773">
        <f ca="1">典型户型修正!B2</f>
        <v>63992968</v>
      </c>
      <c r="D34" s="2774" t="str">
        <f>IF('数据-取费表'!B3="万元","万元","元")</f>
        <v>元</v>
      </c>
      <c r="E34" s="947"/>
      <c r="F34" s="947"/>
      <c r="G34" s="947"/>
      <c r="H34" s="947"/>
      <c r="I34" s="947"/>
      <c r="J34" s="2841"/>
    </row>
    <row r="35" spans="1:16" ht="15.75" thickBot="1">
      <c r="A35" s="1509"/>
      <c r="B35" s="2775" t="s">
        <v>1892</v>
      </c>
      <c r="C35" s="2724">
        <f ca="1">典型户型修正!B3</f>
        <v>873815004</v>
      </c>
      <c r="D35" s="2558" t="s">
        <v>1893</v>
      </c>
      <c r="E35" s="947"/>
      <c r="F35" s="947"/>
      <c r="G35" s="947"/>
      <c r="H35" s="947"/>
      <c r="I35" s="947"/>
      <c r="J35" s="2841"/>
    </row>
    <row r="36" spans="1:16" ht="15">
      <c r="A36" s="1510"/>
      <c r="B36" s="1464" t="s">
        <v>1894</v>
      </c>
      <c r="C36" s="2776">
        <f>IF('数据-取费表'!B3="万元",典型户型修正!V25,典型户型修正!U25)</f>
        <v>0</v>
      </c>
      <c r="D36" s="2558" t="str">
        <f>D34</f>
        <v>元</v>
      </c>
      <c r="E36" s="947"/>
      <c r="F36" s="947"/>
      <c r="G36" s="947"/>
      <c r="H36" s="947"/>
      <c r="I36" s="947"/>
      <c r="J36" s="2841"/>
    </row>
    <row r="37" spans="1:16" ht="15.75" thickBot="1">
      <c r="A37" s="1463"/>
      <c r="B37" s="1465" t="s">
        <v>1895</v>
      </c>
      <c r="C37" s="2777">
        <f>IF('数据-取费表'!B3="万元",典型户型修正!Y25,典型户型修正!X25)</f>
        <v>0</v>
      </c>
      <c r="D37" s="2558" t="str">
        <f>D34</f>
        <v>元</v>
      </c>
      <c r="E37" s="947"/>
      <c r="F37" s="947"/>
      <c r="G37" s="947"/>
      <c r="H37" s="947"/>
      <c r="I37" s="947"/>
      <c r="J37" s="2841"/>
    </row>
    <row r="38" spans="1:16" ht="15.75" thickBot="1">
      <c r="A38" s="3347" t="s">
        <v>1896</v>
      </c>
      <c r="B38" s="1464" t="s">
        <v>1897</v>
      </c>
      <c r="C38" s="2751"/>
      <c r="D38" s="2752"/>
      <c r="E38" s="1676"/>
      <c r="F38" s="1676"/>
      <c r="G38" s="947"/>
      <c r="H38" s="947"/>
      <c r="I38" s="947"/>
      <c r="J38" s="2841"/>
    </row>
    <row r="39" spans="1:16" ht="15.75" thickBot="1">
      <c r="A39" s="3352"/>
      <c r="B39" s="2089" t="s">
        <v>1898</v>
      </c>
      <c r="C39" s="2753"/>
      <c r="D39" s="1309"/>
      <c r="E39" s="1309"/>
      <c r="F39" s="1676"/>
      <c r="G39" s="1309"/>
      <c r="H39" s="1309"/>
      <c r="I39" s="1309"/>
      <c r="J39" s="2845"/>
    </row>
    <row r="40" spans="1:16" ht="15.75" thickBot="1">
      <c r="A40" s="3353"/>
      <c r="B40" s="1465" t="s">
        <v>1899</v>
      </c>
      <c r="C40" s="2754"/>
      <c r="D40" s="2755" t="s">
        <v>1900</v>
      </c>
      <c r="E40" s="1309"/>
      <c r="F40" s="1676"/>
      <c r="G40" s="1309"/>
      <c r="H40" s="1309"/>
      <c r="I40" s="1309"/>
      <c r="J40" s="2845"/>
    </row>
    <row r="41" spans="1:16" ht="15">
      <c r="A41" s="2720" t="s">
        <v>1901</v>
      </c>
      <c r="B41" s="2756" t="s">
        <v>1902</v>
      </c>
      <c r="C41" s="2757" t="s">
        <v>1903</v>
      </c>
      <c r="D41" s="2757" t="s">
        <v>1904</v>
      </c>
      <c r="E41" s="2758" t="s">
        <v>1905</v>
      </c>
      <c r="F41" s="1676"/>
      <c r="G41" s="1309"/>
      <c r="H41" s="1309"/>
      <c r="I41" s="1309"/>
      <c r="J41" s="2845"/>
    </row>
    <row r="42" spans="1:16" ht="14.25">
      <c r="A42" s="2759" t="s">
        <v>1906</v>
      </c>
      <c r="B42" s="2760"/>
      <c r="C42" s="2761"/>
      <c r="D42" s="2761"/>
      <c r="E42" s="2762"/>
      <c r="F42" s="1676"/>
      <c r="G42" s="1309"/>
      <c r="H42" s="1309"/>
      <c r="I42" s="1309"/>
      <c r="J42" s="2845"/>
    </row>
    <row r="43" spans="1:16" ht="14.25">
      <c r="A43" s="2759" t="s">
        <v>1907</v>
      </c>
      <c r="B43" s="2760"/>
      <c r="C43" s="2761"/>
      <c r="D43" s="2761"/>
      <c r="E43" s="2762"/>
      <c r="F43" s="1676"/>
      <c r="G43" s="1309"/>
      <c r="H43" s="1309"/>
      <c r="I43" s="1309"/>
      <c r="J43" s="2845"/>
    </row>
    <row r="44" spans="1:16" ht="15" thickBot="1">
      <c r="A44" s="2763"/>
      <c r="B44" s="2764"/>
      <c r="C44" s="2765"/>
      <c r="D44" s="2765"/>
      <c r="E44" s="2750"/>
      <c r="F44" s="1676"/>
      <c r="G44" s="1309"/>
      <c r="H44" s="1309"/>
      <c r="I44" s="1309"/>
      <c r="J44" s="2845"/>
    </row>
    <row r="45" spans="1:16" ht="12.75">
      <c r="A45" s="1477"/>
      <c r="B45" s="1477"/>
      <c r="C45" s="1477"/>
      <c r="D45" s="1477"/>
      <c r="E45" s="1477"/>
      <c r="F45" s="1434"/>
      <c r="G45" s="1434"/>
      <c r="H45" s="1434"/>
      <c r="I45" s="2766"/>
      <c r="J45" s="2846"/>
    </row>
    <row r="46" spans="1:16" ht="18.75">
      <c r="A46" s="1467" t="s">
        <v>1908</v>
      </c>
      <c r="B46" s="1468"/>
      <c r="C46" s="1468"/>
      <c r="D46" s="2778"/>
      <c r="E46" s="2778"/>
      <c r="F46" s="2778"/>
      <c r="G46" s="2778"/>
      <c r="H46" s="2778"/>
      <c r="I46" s="2835" t="s">
        <v>2814</v>
      </c>
      <c r="J46" s="2871"/>
      <c r="K46" s="1471" t="s">
        <v>1763</v>
      </c>
      <c r="L46" s="1472"/>
      <c r="M46" s="1472"/>
      <c r="N46" s="1472"/>
      <c r="O46" s="1472"/>
      <c r="P46" s="1472"/>
    </row>
    <row r="47" spans="1:16" ht="14.25" customHeight="1" thickBot="1">
      <c r="A47" s="3272" t="s">
        <v>1909</v>
      </c>
      <c r="B47" s="3273"/>
      <c r="C47" s="3283"/>
      <c r="D47" s="246">
        <f ca="1">ROUND(I104*F47,0)</f>
        <v>63992968</v>
      </c>
      <c r="E47" s="1538" t="s">
        <v>1910</v>
      </c>
      <c r="F47" s="2556">
        <v>1</v>
      </c>
      <c r="G47" s="2557" t="s">
        <v>1911</v>
      </c>
      <c r="H47" s="947"/>
      <c r="I47" s="947"/>
      <c r="J47" s="2841"/>
      <c r="K47" s="3377" t="s">
        <v>1767</v>
      </c>
      <c r="L47" s="3377"/>
      <c r="M47" s="3377"/>
      <c r="N47" s="3377"/>
      <c r="O47" s="3377"/>
      <c r="P47" s="3377"/>
    </row>
    <row r="48" spans="1:16" ht="14.25" customHeight="1">
      <c r="A48" s="3349" t="s">
        <v>1768</v>
      </c>
      <c r="B48" s="3350"/>
      <c r="C48" s="3350"/>
      <c r="D48" s="3350"/>
      <c r="E48" s="3350"/>
      <c r="F48" s="3350"/>
      <c r="G48" s="3351"/>
      <c r="H48" s="2973"/>
      <c r="I48" s="947"/>
      <c r="J48" s="2841"/>
      <c r="K48" s="2508">
        <v>1</v>
      </c>
      <c r="L48" s="3378" t="s">
        <v>1769</v>
      </c>
      <c r="M48" s="3378"/>
      <c r="N48" s="3379"/>
      <c r="O48" s="3379"/>
      <c r="P48" s="3379"/>
    </row>
    <row r="49" spans="1:17" ht="12" customHeight="1">
      <c r="A49" s="38" t="s">
        <v>1770</v>
      </c>
      <c r="B49" s="39"/>
      <c r="C49" s="40"/>
      <c r="D49" s="1097" t="s">
        <v>1771</v>
      </c>
      <c r="E49" s="235" t="s">
        <v>1772</v>
      </c>
      <c r="F49" s="41" t="s">
        <v>1773</v>
      </c>
      <c r="G49" s="2559" t="s">
        <v>1774</v>
      </c>
      <c r="H49" s="2973"/>
      <c r="I49" s="947"/>
      <c r="J49" s="2841"/>
      <c r="K49" s="2508">
        <v>2</v>
      </c>
      <c r="L49" s="3378" t="s">
        <v>1775</v>
      </c>
      <c r="M49" s="3378"/>
      <c r="N49" s="3381">
        <f>'数据-取费表'!B2</f>
        <v>44333</v>
      </c>
      <c r="O49" s="3381"/>
      <c r="P49" s="3381"/>
    </row>
    <row r="50" spans="1:17" ht="25.5">
      <c r="A50" s="3354" t="s">
        <v>1776</v>
      </c>
      <c r="B50" s="3288"/>
      <c r="C50" s="3288"/>
      <c r="D50" s="12">
        <f ca="1">IF(H50="情况1",0,IF(H50="情况2",D54,IF(H50="情况3",D55,IF(H50="情况4",D56))))</f>
        <v>3412958</v>
      </c>
      <c r="E50" s="2087" t="str">
        <f>IF(H50="情况4","(销售额-原购置价)×税（费）率","销售额×税（费）率")</f>
        <v>销售额×税（费）率</v>
      </c>
      <c r="F50" s="2560">
        <f>IF(H50="情况1","免征",'数据-取费表'!E29)</f>
        <v>5.6000000000000001E-2</v>
      </c>
      <c r="G50" s="2561" t="s">
        <v>1777</v>
      </c>
      <c r="H50" s="2562" t="s">
        <v>1778</v>
      </c>
      <c r="I50" s="2973"/>
      <c r="J50" s="2848"/>
      <c r="K50" s="2508">
        <v>3</v>
      </c>
      <c r="L50" s="3378" t="s">
        <v>1779</v>
      </c>
      <c r="M50" s="3378"/>
      <c r="N50" s="3383">
        <f ca="1">I104</f>
        <v>63992968</v>
      </c>
      <c r="O50" s="3383"/>
      <c r="P50" s="3383"/>
    </row>
    <row r="51" spans="1:17" ht="25.5" customHeight="1">
      <c r="A51" s="2086" t="s">
        <v>1780</v>
      </c>
      <c r="B51" s="3327" t="s">
        <v>1781</v>
      </c>
      <c r="C51" s="3327"/>
      <c r="D51" s="2563">
        <v>0</v>
      </c>
      <c r="E51" s="261" t="s">
        <v>1782</v>
      </c>
      <c r="F51" s="2564" t="s">
        <v>48</v>
      </c>
      <c r="G51" s="3269"/>
      <c r="H51" s="2565" t="s">
        <v>2739</v>
      </c>
      <c r="I51" s="2566"/>
      <c r="J51" s="2849"/>
      <c r="K51" s="2508">
        <v>4</v>
      </c>
      <c r="L51" s="3378" t="str">
        <f>IF(项目基本情况!F5="房地产抵押价值","房地产抵押价值","抵押担保权已注销时的房地产抵押价值")</f>
        <v>抵押担保权已注销时的房地产抵押价值</v>
      </c>
      <c r="M51" s="3378"/>
      <c r="N51" s="3383" t="str">
        <f>IF(项目基本情况!F5="房地产抵押价值",I112,I114)</f>
        <v>——</v>
      </c>
      <c r="O51" s="3383"/>
      <c r="P51" s="3383"/>
    </row>
    <row r="52" spans="1:17" ht="25.5" customHeight="1">
      <c r="A52" s="2076"/>
      <c r="B52" s="3327" t="s">
        <v>1783</v>
      </c>
      <c r="C52" s="3327"/>
      <c r="D52" s="2567"/>
      <c r="E52" s="269"/>
      <c r="F52" s="2564"/>
      <c r="G52" s="3270"/>
      <c r="H52" s="2568" t="s">
        <v>2740</v>
      </c>
      <c r="I52" s="2566"/>
      <c r="J52" s="2849"/>
      <c r="K52" s="3378" t="s">
        <v>1784</v>
      </c>
      <c r="L52" s="3378"/>
      <c r="M52" s="3378"/>
      <c r="N52" s="3378"/>
      <c r="O52" s="3378"/>
      <c r="P52" s="3378"/>
    </row>
    <row r="53" spans="1:17" ht="20.45" customHeight="1">
      <c r="A53" s="2569"/>
      <c r="B53" s="3327" t="s">
        <v>1785</v>
      </c>
      <c r="C53" s="3327"/>
      <c r="D53" s="1097"/>
      <c r="E53" s="264"/>
      <c r="F53" s="2564"/>
      <c r="G53" s="3271"/>
      <c r="H53" s="2568" t="s">
        <v>2741</v>
      </c>
      <c r="I53" s="2566"/>
      <c r="J53" s="2849"/>
      <c r="K53" s="2509" t="s">
        <v>1786</v>
      </c>
      <c r="L53" s="3378" t="s">
        <v>1787</v>
      </c>
      <c r="M53" s="3378"/>
      <c r="N53" s="2509" t="s">
        <v>1788</v>
      </c>
      <c r="O53" s="2509" t="s">
        <v>1789</v>
      </c>
      <c r="P53" s="2509" t="s">
        <v>1790</v>
      </c>
    </row>
    <row r="54" spans="1:17" ht="24" customHeight="1">
      <c r="A54" s="2077" t="s">
        <v>1791</v>
      </c>
      <c r="B54" s="3327" t="s">
        <v>1792</v>
      </c>
      <c r="C54" s="3327"/>
      <c r="D54" s="1097">
        <f ca="1">ROUND(D47*'数据-取费表'!E29/(1+'数据-取费表'!F30),0)</f>
        <v>3412958</v>
      </c>
      <c r="E54" s="2087" t="s">
        <v>1793</v>
      </c>
      <c r="F54" s="2570">
        <f>'数据-取费表'!E29</f>
        <v>5.6000000000000001E-2</v>
      </c>
      <c r="G54" s="2571"/>
      <c r="H54" s="947"/>
      <c r="I54" s="2974"/>
      <c r="J54" s="2849"/>
      <c r="K54" s="2508">
        <v>1</v>
      </c>
      <c r="L54" s="3380" t="s">
        <v>1794</v>
      </c>
      <c r="M54" s="3380"/>
      <c r="N54" s="2510">
        <f ca="1">D50</f>
        <v>3412958</v>
      </c>
      <c r="O54" s="2508" t="str">
        <f>E50</f>
        <v>销售额×税（费）率</v>
      </c>
      <c r="P54" s="2511">
        <f>F50</f>
        <v>5.6000000000000001E-2</v>
      </c>
    </row>
    <row r="55" spans="1:17" ht="12" customHeight="1">
      <c r="A55" s="2077" t="s">
        <v>1795</v>
      </c>
      <c r="B55" s="3339" t="s">
        <v>2833</v>
      </c>
      <c r="C55" s="3328"/>
      <c r="D55" s="1097">
        <f ca="1">ROUND(D47*'数据-取费表'!E29/(1+'数据-取费表'!F30),0)</f>
        <v>3412958</v>
      </c>
      <c r="E55" s="2087" t="s">
        <v>1793</v>
      </c>
      <c r="F55" s="2570">
        <f>'数据-取费表'!E29</f>
        <v>5.6000000000000001E-2</v>
      </c>
      <c r="G55" s="2571"/>
      <c r="H55" s="947"/>
      <c r="I55" s="2974"/>
      <c r="J55" s="2849"/>
      <c r="K55" s="2508">
        <v>2</v>
      </c>
      <c r="L55" s="3380" t="s">
        <v>1796</v>
      </c>
      <c r="M55" s="3380"/>
      <c r="N55" s="2510">
        <f t="shared" ref="N55:P56" ca="1" si="1">D57</f>
        <v>31996</v>
      </c>
      <c r="O55" s="2508" t="str">
        <f t="shared" si="1"/>
        <v>销售额×税（费）率</v>
      </c>
      <c r="P55" s="2511">
        <f t="shared" si="1"/>
        <v>5.0000000000000001E-4</v>
      </c>
    </row>
    <row r="56" spans="1:17" ht="12" customHeight="1">
      <c r="A56" s="2077" t="s">
        <v>1797</v>
      </c>
      <c r="B56" s="3339" t="s">
        <v>2834</v>
      </c>
      <c r="C56" s="3328"/>
      <c r="D56" s="1097">
        <f ca="1">C70</f>
        <v>3412958</v>
      </c>
      <c r="E56" s="264" t="s">
        <v>1798</v>
      </c>
      <c r="F56" s="2570">
        <f>'数据-取费表'!E29</f>
        <v>5.6000000000000001E-2</v>
      </c>
      <c r="G56" s="2571"/>
      <c r="H56" s="2975"/>
      <c r="I56" s="2974"/>
      <c r="J56" s="2849"/>
      <c r="K56" s="2508">
        <v>3</v>
      </c>
      <c r="L56" s="3380" t="s">
        <v>1799</v>
      </c>
      <c r="M56" s="3380"/>
      <c r="N56" s="2510">
        <f t="shared" ca="1" si="1"/>
        <v>36220020</v>
      </c>
      <c r="O56" s="2508" t="str">
        <f t="shared" si="1"/>
        <v>增值额×税（费）率</v>
      </c>
      <c r="P56" s="2512" t="str">
        <f t="shared" si="1"/>
        <v>——</v>
      </c>
    </row>
    <row r="57" spans="1:17" ht="24" customHeight="1">
      <c r="A57" s="3292" t="s">
        <v>1800</v>
      </c>
      <c r="B57" s="3288"/>
      <c r="C57" s="3288"/>
      <c r="D57" s="12">
        <f ca="1">IF(H57="个人住宅",0,ROUND(D47*I57,0))</f>
        <v>31996</v>
      </c>
      <c r="E57" s="2087" t="s">
        <v>1801</v>
      </c>
      <c r="F57" s="2570">
        <f>IF(H57="正常",I57,"免征")</f>
        <v>5.0000000000000001E-4</v>
      </c>
      <c r="G57" s="2571"/>
      <c r="H57" s="2562" t="s">
        <v>1802</v>
      </c>
      <c r="I57" s="74">
        <f>'数据-取费表'!E37</f>
        <v>5.0000000000000001E-4</v>
      </c>
      <c r="J57" s="2849"/>
      <c r="K57" s="2508">
        <f>IF(H61="非个人房产","",4)</f>
        <v>4</v>
      </c>
      <c r="L57" s="3380" t="str">
        <f>IF(H61="非个人房产","——","个人所得税")</f>
        <v>个人所得税</v>
      </c>
      <c r="M57" s="3380"/>
      <c r="N57" s="2513">
        <f ca="1">D61</f>
        <v>639930</v>
      </c>
      <c r="O57" s="2514" t="str">
        <f>E61</f>
        <v>销售额×税（费）率</v>
      </c>
      <c r="P57" s="2515">
        <f>F61</f>
        <v>0.01</v>
      </c>
    </row>
    <row r="58" spans="1:17" ht="24.75">
      <c r="A58" s="3292" t="s">
        <v>1803</v>
      </c>
      <c r="B58" s="3288"/>
      <c r="C58" s="3288"/>
      <c r="D58" s="12">
        <f ca="1">IF(H58="个人住宅",D59,D60)</f>
        <v>36220020</v>
      </c>
      <c r="E58" s="2087" t="s">
        <v>1804</v>
      </c>
      <c r="F58" s="2570" t="str">
        <f>IF(H58="正常",F60,"免征")</f>
        <v>——</v>
      </c>
      <c r="G58" s="2572" t="s">
        <v>1805</v>
      </c>
      <c r="H58" s="2573" t="s">
        <v>1802</v>
      </c>
      <c r="I58" s="2976"/>
      <c r="J58" s="2849"/>
      <c r="K58" s="2508" t="str">
        <f>IF(项目基本情况!I6="上海银行",IF(K57="",4,K57+1),"")</f>
        <v/>
      </c>
      <c r="L58" s="3384" t="str">
        <f>IF(项目基本情况!I6="上海银行","其他处置费用","")</f>
        <v/>
      </c>
      <c r="M58" s="3389"/>
      <c r="N58" s="2510" t="str">
        <f>IF(项目基本情况!I6="上海银行",N71,"")</f>
        <v/>
      </c>
      <c r="O58" s="3384" t="str">
        <f>IF(项目基本情况!I6="上海银行","包含处置中涉及的律师、诉讼、拍卖、评估等费用","")</f>
        <v/>
      </c>
      <c r="P58" s="3385"/>
    </row>
    <row r="59" spans="1:17" ht="12.75">
      <c r="A59" s="2077" t="s">
        <v>1780</v>
      </c>
      <c r="B59" s="3339" t="s">
        <v>1806</v>
      </c>
      <c r="C59" s="3328"/>
      <c r="D59" s="2563">
        <v>0</v>
      </c>
      <c r="E59" s="261" t="s">
        <v>1782</v>
      </c>
      <c r="F59" s="235"/>
      <c r="G59" s="2571"/>
      <c r="H59" s="2976"/>
      <c r="I59" s="2976"/>
      <c r="J59" s="2849"/>
      <c r="K59" s="3380">
        <f>IF(AND(K57="",K58=""),4,IF(项目基本情况!I6="上海银行",K58+1,K57+1))</f>
        <v>5</v>
      </c>
      <c r="L59" s="3380" t="s">
        <v>1807</v>
      </c>
      <c r="M59" s="2516" t="s">
        <v>1808</v>
      </c>
      <c r="N59" s="2517"/>
      <c r="O59" s="2518">
        <f ca="1">SUMIF(N54:N58,"&lt;9e307")</f>
        <v>40304904</v>
      </c>
      <c r="P59" s="2519"/>
      <c r="Q59" s="1304" t="e">
        <f ca="1">O59/N51</f>
        <v>#VALUE!</v>
      </c>
    </row>
    <row r="60" spans="1:17" ht="24.75">
      <c r="A60" s="2077" t="s">
        <v>1791</v>
      </c>
      <c r="B60" s="3339" t="s">
        <v>1809</v>
      </c>
      <c r="C60" s="3327"/>
      <c r="D60" s="12">
        <f ca="1">IF(H60="转让取得",C83,C99)</f>
        <v>36220020</v>
      </c>
      <c r="E60" s="2087" t="s">
        <v>1804</v>
      </c>
      <c r="F60" s="235" t="s">
        <v>48</v>
      </c>
      <c r="G60" s="2571"/>
      <c r="H60" s="2573" t="s">
        <v>1810</v>
      </c>
      <c r="I60" s="2976"/>
      <c r="J60" s="2849"/>
      <c r="K60" s="3380"/>
      <c r="L60" s="3380"/>
      <c r="M60" s="2516" t="s">
        <v>1811</v>
      </c>
      <c r="N60" s="2520"/>
      <c r="O60" s="2521" t="str">
        <f ca="1">IF(H19="元",NUMBERSTRING(INT(O59),2)&amp;"元整",NUMBERSTRING(INT(O59*10000),2)&amp;"元整")</f>
        <v>肆仟零叁拾万肆仟玖佰零肆元整</v>
      </c>
      <c r="P60" s="2522"/>
    </row>
    <row r="61" spans="1:17" ht="26.25" thickBot="1">
      <c r="A61" s="3355" t="s">
        <v>1812</v>
      </c>
      <c r="B61" s="3356"/>
      <c r="C61" s="3356"/>
      <c r="D61" s="69">
        <f ca="1">IF(H61="非个人房产","——",IF(H61="个人住宅（满五唯一有凭证）",0,IF(H61="个人其他（无凭证）",ROUND(D47*F61,0),ROUND(C69*F61,0))))</f>
        <v>639930</v>
      </c>
      <c r="E61" s="2078"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2812</v>
      </c>
      <c r="H61" s="2091" t="s">
        <v>2738</v>
      </c>
      <c r="I61" s="2877" t="s">
        <v>2824</v>
      </c>
      <c r="J61" s="2849"/>
      <c r="K61" s="3386">
        <f>K59+1</f>
        <v>6</v>
      </c>
      <c r="L61" s="3380" t="s">
        <v>1813</v>
      </c>
      <c r="M61" s="2508" t="s">
        <v>1808</v>
      </c>
      <c r="N61" s="2523"/>
      <c r="O61" s="2524" t="e">
        <f ca="1">N51-O59</f>
        <v>#VALUE!</v>
      </c>
      <c r="P61" s="2525"/>
    </row>
    <row r="62" spans="1:17" ht="12" customHeight="1">
      <c r="A62" s="1453"/>
      <c r="B62" s="2558"/>
      <c r="C62" s="2558"/>
      <c r="D62" s="2558"/>
      <c r="E62" s="1453"/>
      <c r="F62" s="2976"/>
      <c r="G62" s="2976"/>
      <c r="H62" s="2971"/>
      <c r="I62" s="947"/>
      <c r="J62" s="2849"/>
      <c r="K62" s="3387"/>
      <c r="L62" s="3380"/>
      <c r="M62" s="2516" t="s">
        <v>1811</v>
      </c>
      <c r="N62" s="2520"/>
      <c r="O62" s="2521" t="e">
        <f ca="1">IF(H19="元",NUMBERSTRING(INT(O61),2)&amp;"元整",NUMBERSTRING(INT(O61*10000),2)&amp;"元整")</f>
        <v>#VALUE!</v>
      </c>
      <c r="P62" s="2522"/>
    </row>
    <row r="63" spans="1:17" ht="13.5" thickBot="1">
      <c r="A63" s="3388" t="s">
        <v>1814</v>
      </c>
      <c r="B63" s="3388"/>
      <c r="C63" s="3388"/>
      <c r="D63" s="3388"/>
      <c r="E63" s="3388"/>
      <c r="F63" s="2976"/>
      <c r="G63" s="2976"/>
      <c r="H63" s="2971"/>
      <c r="I63" s="947"/>
      <c r="J63" s="2841"/>
      <c r="K63" s="2508">
        <f>K61+1</f>
        <v>7</v>
      </c>
      <c r="L63" s="3380" t="s">
        <v>1815</v>
      </c>
      <c r="M63" s="3380"/>
      <c r="N63" s="2526"/>
      <c r="O63" s="2527" t="e">
        <f ca="1">IF(H19="元",ROUND(O61/项目基本情况!C12,0),ROUND(O61*10000/项目基本情况!C12,0))</f>
        <v>#VALUE!</v>
      </c>
      <c r="P63" s="2528"/>
    </row>
    <row r="64" spans="1:17" ht="12.75">
      <c r="A64" s="3306" t="s">
        <v>1816</v>
      </c>
      <c r="B64" s="3307"/>
      <c r="C64" s="1603"/>
      <c r="D64" s="1603" t="s">
        <v>1817</v>
      </c>
      <c r="E64" s="45" t="s">
        <v>1818</v>
      </c>
      <c r="F64" s="2976"/>
      <c r="G64" s="2976"/>
      <c r="H64" s="2971"/>
      <c r="I64" s="947"/>
      <c r="J64" s="2841"/>
      <c r="K64" s="1306"/>
      <c r="L64" s="1306"/>
      <c r="M64" s="1306"/>
      <c r="N64" s="1306"/>
      <c r="O64" s="1306"/>
    </row>
    <row r="65" spans="1:36" ht="12.75">
      <c r="A65" s="46">
        <v>1</v>
      </c>
      <c r="B65" s="47" t="s">
        <v>1819</v>
      </c>
      <c r="C65" s="2780">
        <f ca="1">ROUND((C66+C67)/(1+'数据-取费表'!F30),0)</f>
        <v>60945684</v>
      </c>
      <c r="D65" s="47"/>
      <c r="E65" s="48"/>
      <c r="F65" s="2976"/>
      <c r="G65" s="2976"/>
      <c r="H65" s="2971"/>
      <c r="I65" s="947"/>
      <c r="J65" s="2841"/>
      <c r="K65" s="3376" t="s">
        <v>1820</v>
      </c>
      <c r="L65" s="1305" t="s">
        <v>1821</v>
      </c>
      <c r="M65" s="1305" t="e">
        <f>IF(N51&gt;10000,N51*0.5%,IF(AND(N51&gt;1000,N51&lt;=10000),N51*1%,IF(AND(N51&gt;100,N51&lt;=1000),N51*3%,IF(AND(N51&gt;10,N51&lt;=100),N51*5%,N51*8%))))</f>
        <v>#VALUE!</v>
      </c>
      <c r="N65" s="235" t="e">
        <f>ROUND(M65,1)</f>
        <v>#VALUE!</v>
      </c>
      <c r="O65" s="2529"/>
    </row>
    <row r="66" spans="1:36" ht="12.75">
      <c r="A66" s="49" t="s">
        <v>71</v>
      </c>
      <c r="B66" s="50" t="s">
        <v>1822</v>
      </c>
      <c r="C66" s="2781">
        <f ca="1">D47</f>
        <v>63992968</v>
      </c>
      <c r="D66" s="50" t="s">
        <v>41</v>
      </c>
      <c r="E66" s="52"/>
      <c r="F66" s="2976"/>
      <c r="G66" s="2976"/>
      <c r="H66" s="2971"/>
      <c r="I66" s="947"/>
      <c r="J66" s="2841"/>
      <c r="K66" s="3376"/>
      <c r="L66" s="1305" t="s">
        <v>1823</v>
      </c>
      <c r="M66" s="130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29" t="s">
        <v>1824</v>
      </c>
    </row>
    <row r="67" spans="1:36" ht="12.75">
      <c r="A67" s="49" t="s">
        <v>72</v>
      </c>
      <c r="B67" s="50" t="s">
        <v>1825</v>
      </c>
      <c r="C67" s="2782"/>
      <c r="D67" s="50"/>
      <c r="E67" s="52"/>
      <c r="F67" s="2976"/>
      <c r="G67" s="2976"/>
      <c r="H67" s="2971"/>
      <c r="I67" s="947"/>
      <c r="J67" s="2841"/>
      <c r="K67" s="3376"/>
      <c r="L67" s="1305" t="s">
        <v>1826</v>
      </c>
      <c r="M67" s="1305" t="e">
        <f>IF(N51&gt;1000,N51*0.1%,IF(AND(N51&gt;500,N51&lt;=1000),N51*0.5%,IF(AND(N51&gt;50,N51&lt;=500),N51*1%,IF(AND(N51&gt;1,N51&lt;=50),N51*1.5%))))</f>
        <v>#VALUE!</v>
      </c>
      <c r="N67" s="235" t="e">
        <f t="shared" si="2"/>
        <v>#VALUE!</v>
      </c>
      <c r="O67" s="2529" t="s">
        <v>1824</v>
      </c>
    </row>
    <row r="68" spans="1:36" ht="12.75">
      <c r="A68" s="53" t="s">
        <v>47</v>
      </c>
      <c r="B68" s="54" t="s">
        <v>1827</v>
      </c>
      <c r="C68" s="2783"/>
      <c r="D68" s="54" t="s">
        <v>41</v>
      </c>
      <c r="E68" s="1314" t="s">
        <v>1828</v>
      </c>
      <c r="F68" s="2976"/>
      <c r="G68" s="2976"/>
      <c r="H68" s="2971"/>
      <c r="I68" s="947"/>
      <c r="J68" s="2841"/>
      <c r="K68" s="3376"/>
      <c r="L68" s="1305" t="s">
        <v>1829</v>
      </c>
      <c r="M68" s="1305" t="e">
        <f>N51*0.5%</f>
        <v>#VALUE!</v>
      </c>
      <c r="N68" s="235" t="e">
        <f>IF(M68&gt;0.5,0.5,ROUND(M68,0))</f>
        <v>#VALUE!</v>
      </c>
      <c r="O68" s="2529" t="s">
        <v>1830</v>
      </c>
    </row>
    <row r="69" spans="1:36" ht="12.75">
      <c r="A69" s="53" t="s">
        <v>42</v>
      </c>
      <c r="B69" s="54" t="s">
        <v>1831</v>
      </c>
      <c r="C69" s="2784">
        <f ca="1">C65-C68</f>
        <v>60945684</v>
      </c>
      <c r="D69" s="50" t="s">
        <v>41</v>
      </c>
      <c r="E69" s="52"/>
      <c r="F69" s="2976"/>
      <c r="G69" s="2976"/>
      <c r="H69" s="2971"/>
      <c r="I69" s="947"/>
      <c r="J69" s="2841"/>
      <c r="K69" s="3376"/>
      <c r="L69" s="1305" t="s">
        <v>1832</v>
      </c>
      <c r="M69" s="130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29"/>
    </row>
    <row r="70" spans="1:36" ht="13.5" thickBot="1">
      <c r="A70" s="55" t="s">
        <v>46</v>
      </c>
      <c r="B70" s="56" t="s">
        <v>1833</v>
      </c>
      <c r="C70" s="2785">
        <f ca="1">IF(C69&lt;=0,0,ROUND(C69*D70,0))</f>
        <v>3412958</v>
      </c>
      <c r="D70" s="2237">
        <f>'数据-取费表'!E29</f>
        <v>5.6000000000000001E-2</v>
      </c>
      <c r="E70" s="57"/>
      <c r="F70" s="2976"/>
      <c r="G70" s="2976"/>
      <c r="H70" s="2971"/>
      <c r="I70" s="947"/>
      <c r="J70" s="2841"/>
      <c r="K70" s="3376"/>
      <c r="L70" s="1305" t="s">
        <v>1834</v>
      </c>
      <c r="M70" s="1305" t="e">
        <f>IF(N51&gt;10000,N51*0.5%,IF(AND(N51&gt;5000,N51&lt;=10000),N51*1%,IF(AND(N51&gt;1000,N51&lt;=5000),N51*2%,IF(AND(N51&gt;200,N51&lt;=1000),N51*3%,N51*5%))))</f>
        <v>#VALUE!</v>
      </c>
      <c r="N70" s="235" t="e">
        <f>ROUND(M70,1)</f>
        <v>#VALUE!</v>
      </c>
      <c r="O70" s="2529"/>
    </row>
    <row r="71" spans="1:36" s="1461" customFormat="1" ht="7.5" customHeight="1">
      <c r="A71" s="1473"/>
      <c r="B71" s="1474"/>
      <c r="C71" s="2786"/>
      <c r="D71" s="2280"/>
      <c r="E71" s="1477"/>
      <c r="F71" s="1453"/>
      <c r="G71" s="1453"/>
      <c r="H71" s="1477"/>
      <c r="I71" s="2558"/>
      <c r="J71" s="2841"/>
      <c r="K71" s="3376"/>
      <c r="L71" s="1305" t="s">
        <v>1835</v>
      </c>
      <c r="M71" s="1305"/>
      <c r="N71" s="235" t="e">
        <f>ROUND(SUM(N65:N70),0)</f>
        <v>#VALUE!</v>
      </c>
      <c r="O71" s="2530" t="e">
        <f>N71/N51</f>
        <v>#VALUE!</v>
      </c>
      <c r="P71" s="659"/>
      <c r="Q71" s="659"/>
      <c r="R71" s="659"/>
      <c r="S71" s="659"/>
      <c r="T71" s="659"/>
      <c r="U71" s="659"/>
      <c r="V71" s="659"/>
      <c r="W71" s="659"/>
      <c r="X71" s="659"/>
      <c r="Y71" s="659"/>
      <c r="Z71" s="659"/>
      <c r="AA71" s="659"/>
      <c r="AB71" s="1306"/>
      <c r="AC71" s="1306"/>
      <c r="AD71" s="1306"/>
      <c r="AE71" s="1306"/>
      <c r="AF71" s="1306"/>
      <c r="AG71" s="1306"/>
      <c r="AH71" s="1306"/>
      <c r="AI71" s="1306"/>
      <c r="AJ71" s="1306"/>
    </row>
    <row r="72" spans="1:36" s="1479" customFormat="1" ht="15" thickBot="1">
      <c r="A72" s="3393" t="s">
        <v>1836</v>
      </c>
      <c r="B72" s="3394"/>
      <c r="C72" s="3394"/>
      <c r="D72" s="3394"/>
      <c r="E72" s="3394"/>
      <c r="F72" s="3394"/>
      <c r="G72" s="3394"/>
      <c r="H72" s="3394"/>
      <c r="I72" s="1478"/>
      <c r="J72" s="2850"/>
      <c r="K72" s="976"/>
      <c r="L72" s="976"/>
      <c r="M72" s="976"/>
      <c r="N72" s="976"/>
      <c r="O72" s="976"/>
      <c r="P72" s="976"/>
      <c r="Q72" s="976"/>
      <c r="R72" s="976"/>
      <c r="S72" s="976"/>
      <c r="T72" s="976"/>
      <c r="U72" s="976"/>
      <c r="V72" s="976"/>
      <c r="W72" s="976"/>
      <c r="X72" s="976"/>
      <c r="Y72" s="976"/>
      <c r="Z72" s="976"/>
      <c r="AA72" s="976"/>
      <c r="AB72" s="1480"/>
      <c r="AC72" s="1480"/>
      <c r="AD72" s="1480"/>
      <c r="AE72" s="1480"/>
      <c r="AF72" s="1480"/>
      <c r="AG72" s="1480"/>
      <c r="AH72" s="1480"/>
      <c r="AI72" s="1480"/>
      <c r="AJ72" s="1480"/>
    </row>
    <row r="73" spans="1:36" s="1479" customFormat="1" ht="14.25">
      <c r="A73" s="3306" t="s">
        <v>1816</v>
      </c>
      <c r="B73" s="3307"/>
      <c r="C73" s="1603"/>
      <c r="D73" s="1603" t="s">
        <v>1817</v>
      </c>
      <c r="E73" s="58" t="s">
        <v>1818</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0"/>
      <c r="AC73" s="1480"/>
      <c r="AD73" s="1480"/>
      <c r="AE73" s="1480"/>
      <c r="AF73" s="1480"/>
      <c r="AG73" s="1480"/>
      <c r="AH73" s="1480"/>
      <c r="AI73" s="1480"/>
      <c r="AJ73" s="1480"/>
    </row>
    <row r="74" spans="1:36" s="1479" customFormat="1" ht="14.25">
      <c r="A74" s="61">
        <v>1</v>
      </c>
      <c r="B74" s="54" t="s">
        <v>1837</v>
      </c>
      <c r="C74" s="2784">
        <f ca="1">ROUND(D47/(1+'数据-取费表'!F30),0)</f>
        <v>60945684</v>
      </c>
      <c r="D74" s="50" t="s">
        <v>41</v>
      </c>
      <c r="E74" s="2083"/>
      <c r="F74" s="2084"/>
      <c r="G74" s="2084"/>
      <c r="H74" s="62"/>
      <c r="I74" s="2787"/>
      <c r="J74" s="2872"/>
      <c r="K74" s="976"/>
      <c r="L74" s="976"/>
      <c r="M74" s="976"/>
      <c r="N74" s="976"/>
      <c r="O74" s="976"/>
      <c r="P74" s="976"/>
      <c r="Q74" s="976"/>
      <c r="R74" s="976"/>
      <c r="S74" s="976"/>
      <c r="T74" s="976"/>
      <c r="U74" s="976"/>
      <c r="V74" s="976"/>
      <c r="W74" s="976"/>
      <c r="X74" s="976"/>
      <c r="Y74" s="976"/>
      <c r="Z74" s="976"/>
      <c r="AA74" s="976"/>
      <c r="AB74" s="1480"/>
      <c r="AC74" s="1480"/>
      <c r="AD74" s="1480"/>
      <c r="AE74" s="1480"/>
      <c r="AF74" s="1480"/>
      <c r="AG74" s="1480"/>
      <c r="AH74" s="1480"/>
      <c r="AI74" s="1480"/>
      <c r="AJ74" s="1480"/>
    </row>
    <row r="75" spans="1:36" s="1479" customFormat="1" ht="14.25">
      <c r="A75" s="63">
        <v>2</v>
      </c>
      <c r="B75" s="41" t="s">
        <v>1839</v>
      </c>
      <c r="C75" s="2784">
        <f ca="1">C76+C80</f>
        <v>365674</v>
      </c>
      <c r="D75" s="50" t="s">
        <v>41</v>
      </c>
      <c r="E75" s="2083"/>
      <c r="F75" s="2084"/>
      <c r="G75" s="2084"/>
      <c r="H75" s="62"/>
      <c r="I75" s="2787"/>
      <c r="J75" s="2872"/>
      <c r="K75" s="976"/>
      <c r="L75" s="976"/>
      <c r="M75" s="976"/>
      <c r="N75" s="976"/>
      <c r="O75" s="976"/>
      <c r="P75" s="976"/>
      <c r="Q75" s="976"/>
      <c r="R75" s="976"/>
      <c r="S75" s="976"/>
      <c r="T75" s="976"/>
      <c r="U75" s="976"/>
      <c r="V75" s="976"/>
      <c r="W75" s="976"/>
      <c r="X75" s="976"/>
      <c r="Y75" s="976"/>
      <c r="Z75" s="976"/>
      <c r="AA75" s="976"/>
      <c r="AB75" s="1480"/>
      <c r="AC75" s="1480"/>
      <c r="AD75" s="1480"/>
      <c r="AE75" s="1480"/>
      <c r="AF75" s="1480"/>
      <c r="AG75" s="1480"/>
      <c r="AH75" s="1480"/>
      <c r="AI75" s="1480"/>
      <c r="AJ75" s="1480"/>
    </row>
    <row r="76" spans="1:36" s="1479" customFormat="1" ht="14.25">
      <c r="A76" s="49" t="s">
        <v>73</v>
      </c>
      <c r="B76" s="50" t="s">
        <v>1840</v>
      </c>
      <c r="C76" s="50">
        <f>ROUND(IF(G79="2016年5月1日后购买",C77/(1+'数据-取费表'!F30)+C78+C79,C77+C78+C79),0)</f>
        <v>0</v>
      </c>
      <c r="D76" s="50" t="s">
        <v>41</v>
      </c>
      <c r="E76" s="2083"/>
      <c r="F76" s="2084"/>
      <c r="G76" s="2084"/>
      <c r="H76" s="62"/>
      <c r="I76" s="2787"/>
      <c r="J76" s="2872"/>
      <c r="K76" s="976"/>
      <c r="L76" s="976"/>
      <c r="M76" s="976"/>
      <c r="N76" s="976"/>
      <c r="O76" s="976"/>
      <c r="P76" s="976"/>
      <c r="Q76" s="976"/>
      <c r="R76" s="976"/>
      <c r="S76" s="976"/>
      <c r="T76" s="976"/>
      <c r="U76" s="976"/>
      <c r="V76" s="976"/>
      <c r="W76" s="976"/>
      <c r="X76" s="976"/>
      <c r="Y76" s="976"/>
      <c r="Z76" s="976"/>
      <c r="AA76" s="976"/>
      <c r="AB76" s="1480"/>
      <c r="AC76" s="1480"/>
      <c r="AD76" s="1480"/>
      <c r="AE76" s="1480"/>
      <c r="AF76" s="1480"/>
      <c r="AG76" s="1480"/>
      <c r="AH76" s="1480"/>
      <c r="AI76" s="1480"/>
      <c r="AJ76" s="1480"/>
    </row>
    <row r="77" spans="1:36" s="1479" customFormat="1" ht="14.25">
      <c r="A77" s="49" t="s">
        <v>74</v>
      </c>
      <c r="B77" s="50" t="s">
        <v>1841</v>
      </c>
      <c r="C77" s="2263"/>
      <c r="D77" s="50" t="s">
        <v>41</v>
      </c>
      <c r="E77" s="64" t="s">
        <v>1842</v>
      </c>
      <c r="F77" s="2788" t="s">
        <v>1843</v>
      </c>
      <c r="G77" s="64" t="s">
        <v>1844</v>
      </c>
      <c r="H77" s="2789"/>
      <c r="I77" s="608"/>
      <c r="J77" s="2873"/>
      <c r="K77" s="976"/>
      <c r="L77" s="976"/>
      <c r="M77" s="976"/>
      <c r="N77" s="976"/>
      <c r="O77" s="976"/>
      <c r="P77" s="976"/>
      <c r="Q77" s="976"/>
      <c r="R77" s="976"/>
      <c r="S77" s="976"/>
      <c r="T77" s="976"/>
      <c r="U77" s="976"/>
      <c r="V77" s="976"/>
      <c r="W77" s="976"/>
      <c r="X77" s="976"/>
      <c r="Y77" s="976"/>
      <c r="Z77" s="976"/>
      <c r="AA77" s="976"/>
      <c r="AB77" s="1480"/>
      <c r="AC77" s="1480"/>
      <c r="AD77" s="1480"/>
      <c r="AE77" s="1480"/>
      <c r="AF77" s="1480"/>
      <c r="AG77" s="1480"/>
      <c r="AH77" s="1480"/>
      <c r="AI77" s="1480"/>
      <c r="AJ77" s="1480"/>
    </row>
    <row r="78" spans="1:36" s="1479" customFormat="1" ht="24.75" customHeight="1">
      <c r="A78" s="49" t="s">
        <v>75</v>
      </c>
      <c r="B78" s="65" t="s">
        <v>1845</v>
      </c>
      <c r="C78" s="50">
        <f>IF(F77="购房发票",ROUND(C77*H77*D78,0),0)</f>
        <v>0</v>
      </c>
      <c r="D78" s="2790">
        <v>0.05</v>
      </c>
      <c r="E78" s="3339" t="s">
        <v>1846</v>
      </c>
      <c r="F78" s="3327"/>
      <c r="G78" s="3327"/>
      <c r="H78" s="3340"/>
      <c r="I78" s="2787"/>
      <c r="J78" s="2872"/>
      <c r="K78" s="976"/>
      <c r="L78" s="976"/>
      <c r="M78" s="976"/>
      <c r="N78" s="976"/>
      <c r="O78" s="976"/>
      <c r="P78" s="976"/>
      <c r="Q78" s="976"/>
      <c r="R78" s="976"/>
      <c r="S78" s="976"/>
      <c r="T78" s="976"/>
      <c r="U78" s="976"/>
      <c r="V78" s="976"/>
      <c r="W78" s="976"/>
      <c r="X78" s="976"/>
      <c r="Y78" s="976"/>
      <c r="Z78" s="976"/>
      <c r="AA78" s="976"/>
      <c r="AB78" s="1480"/>
      <c r="AC78" s="1480"/>
      <c r="AD78" s="1480"/>
      <c r="AE78" s="1480"/>
      <c r="AF78" s="1480"/>
      <c r="AG78" s="1480"/>
      <c r="AH78" s="1480"/>
      <c r="AI78" s="1480"/>
      <c r="AJ78" s="1480"/>
    </row>
    <row r="79" spans="1:36" s="1479" customFormat="1" ht="24.75" customHeight="1">
      <c r="A79" s="49" t="s">
        <v>76</v>
      </c>
      <c r="B79" s="50" t="s">
        <v>1847</v>
      </c>
      <c r="C79" s="50">
        <f>ROUND(IF(G79="个人住宅",0,IF(G79="2016年5月1日前购买",C77*D79,C77*D79/(1+'数据-取费表'!F30))),0)</f>
        <v>0</v>
      </c>
      <c r="D79" s="2791">
        <f>'数据-取费表'!E36+'数据-取费表'!E37</f>
        <v>3.0499999999999999E-2</v>
      </c>
      <c r="E79" s="12" t="s">
        <v>1848</v>
      </c>
      <c r="F79" s="2090"/>
      <c r="G79" s="1482" t="s">
        <v>1849</v>
      </c>
      <c r="H79" s="2085"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0"/>
      <c r="AC79" s="1480"/>
      <c r="AD79" s="1480"/>
      <c r="AE79" s="1480"/>
      <c r="AF79" s="1480"/>
      <c r="AG79" s="1480"/>
      <c r="AH79" s="1480"/>
      <c r="AI79" s="1480"/>
      <c r="AJ79" s="1480"/>
    </row>
    <row r="80" spans="1:36" s="1479" customFormat="1" ht="24.75" customHeight="1">
      <c r="A80" s="49" t="s">
        <v>77</v>
      </c>
      <c r="B80" s="50" t="s">
        <v>1850</v>
      </c>
      <c r="C80" s="2792">
        <f ca="1">ROUND(D47*D80/(1+'数据-取费表'!F30),0)</f>
        <v>365674</v>
      </c>
      <c r="D80" s="2793">
        <f>'数据-取费表'!E31</f>
        <v>6.000000000000001E-3</v>
      </c>
      <c r="E80" s="3275" t="s">
        <v>1851</v>
      </c>
      <c r="F80" s="3276"/>
      <c r="G80" s="3276"/>
      <c r="H80" s="3296"/>
      <c r="I80" s="609"/>
      <c r="J80" s="2874"/>
      <c r="K80" s="976"/>
      <c r="L80" s="976"/>
      <c r="M80" s="976"/>
      <c r="N80" s="976"/>
      <c r="O80" s="976"/>
      <c r="P80" s="976"/>
      <c r="Q80" s="976"/>
      <c r="R80" s="976"/>
      <c r="S80" s="976"/>
      <c r="T80" s="976"/>
      <c r="U80" s="976"/>
      <c r="V80" s="976"/>
      <c r="W80" s="976"/>
      <c r="X80" s="976"/>
      <c r="Y80" s="976"/>
      <c r="Z80" s="976"/>
      <c r="AA80" s="976"/>
      <c r="AB80" s="1480"/>
      <c r="AC80" s="1480"/>
      <c r="AD80" s="1480"/>
      <c r="AE80" s="1480"/>
      <c r="AF80" s="1480"/>
      <c r="AG80" s="1480"/>
      <c r="AH80" s="1480"/>
      <c r="AI80" s="1480"/>
      <c r="AJ80" s="1480"/>
    </row>
    <row r="81" spans="1:36" s="1479" customFormat="1" ht="14.25">
      <c r="A81" s="53" t="s">
        <v>42</v>
      </c>
      <c r="B81" s="54" t="s">
        <v>1852</v>
      </c>
      <c r="C81" s="2784">
        <f ca="1">C74-C75</f>
        <v>60580010</v>
      </c>
      <c r="D81" s="50" t="s">
        <v>41</v>
      </c>
      <c r="E81" s="2083"/>
      <c r="F81" s="2084"/>
      <c r="G81" s="2084"/>
      <c r="H81" s="62"/>
      <c r="I81" s="2787"/>
      <c r="J81" s="2872"/>
      <c r="K81" s="976"/>
      <c r="L81" s="976"/>
      <c r="M81" s="976"/>
      <c r="N81" s="976"/>
      <c r="O81" s="976"/>
      <c r="P81" s="976"/>
      <c r="Q81" s="976"/>
      <c r="R81" s="976"/>
      <c r="S81" s="976"/>
      <c r="T81" s="976"/>
      <c r="U81" s="976"/>
      <c r="V81" s="976"/>
      <c r="W81" s="976"/>
      <c r="X81" s="976"/>
      <c r="Y81" s="976"/>
      <c r="Z81" s="976"/>
      <c r="AA81" s="976"/>
      <c r="AB81" s="1480"/>
      <c r="AC81" s="1480"/>
      <c r="AD81" s="1480"/>
      <c r="AE81" s="1480"/>
      <c r="AF81" s="1480"/>
      <c r="AG81" s="1480"/>
      <c r="AH81" s="1480"/>
      <c r="AI81" s="1480"/>
      <c r="AJ81" s="1480"/>
    </row>
    <row r="82" spans="1:36" s="1479" customFormat="1" ht="14.25">
      <c r="A82" s="53" t="s">
        <v>43</v>
      </c>
      <c r="B82" s="54" t="s">
        <v>1853</v>
      </c>
      <c r="C82" s="2794">
        <f ca="1">IF(C81&lt;=0,0,C81/C75)</f>
        <v>165.66671406772153</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4"/>
      <c r="G82" s="2084"/>
      <c r="H82" s="62"/>
      <c r="I82" s="2787"/>
      <c r="J82" s="2872"/>
      <c r="K82" s="976"/>
      <c r="L82" s="976"/>
      <c r="M82" s="976"/>
      <c r="N82" s="976"/>
      <c r="O82" s="976"/>
      <c r="P82" s="976"/>
      <c r="Q82" s="976"/>
      <c r="R82" s="976"/>
      <c r="S82" s="976"/>
      <c r="T82" s="976"/>
      <c r="U82" s="976"/>
      <c r="V82" s="976"/>
      <c r="W82" s="976"/>
      <c r="X82" s="976"/>
      <c r="Y82" s="976"/>
      <c r="Z82" s="976"/>
      <c r="AA82" s="976"/>
      <c r="AB82" s="1480"/>
      <c r="AC82" s="1480"/>
      <c r="AD82" s="1480"/>
      <c r="AE82" s="1480"/>
      <c r="AF82" s="1480"/>
      <c r="AG82" s="1480"/>
      <c r="AH82" s="1480"/>
      <c r="AI82" s="1480"/>
      <c r="AJ82" s="1480"/>
    </row>
    <row r="83" spans="1:36" s="1479" customFormat="1" ht="15" thickBot="1">
      <c r="A83" s="55" t="s">
        <v>44</v>
      </c>
      <c r="B83" s="56" t="s">
        <v>1854</v>
      </c>
      <c r="C83" s="2795">
        <f ca="1">ROUND(IF(C81&lt;=0,0,IF(C82&gt;=200%,C81*60%-C75*35%,IF(C82&gt;=100%,C81*50%-C75*15%,IF(C82&gt;=50%,C81*40%-C75*5%,IF(C82&lt;50%,C81*30%,0))))),0)</f>
        <v>36220020</v>
      </c>
      <c r="D83" s="2167"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0"/>
      <c r="AC83" s="1480"/>
      <c r="AD83" s="1480"/>
      <c r="AE83" s="1480"/>
      <c r="AF83" s="1480"/>
      <c r="AG83" s="1480"/>
      <c r="AH83" s="1480"/>
      <c r="AI83" s="1480"/>
      <c r="AJ83" s="1480"/>
    </row>
    <row r="84" spans="1:36" s="1479"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0"/>
      <c r="AC84" s="1480"/>
      <c r="AD84" s="1480"/>
      <c r="AE84" s="1480"/>
      <c r="AF84" s="1480"/>
      <c r="AG84" s="1480"/>
      <c r="AH84" s="1480"/>
      <c r="AI84" s="1480"/>
      <c r="AJ84" s="1480"/>
    </row>
    <row r="85" spans="1:36" s="1479" customFormat="1" ht="15" thickBot="1">
      <c r="A85" s="3393" t="s">
        <v>1855</v>
      </c>
      <c r="B85" s="3394"/>
      <c r="C85" s="3394"/>
      <c r="D85" s="3394"/>
      <c r="E85" s="3394"/>
      <c r="F85" s="3394"/>
      <c r="G85" s="3394"/>
      <c r="H85" s="3394"/>
      <c r="I85" s="608"/>
      <c r="J85" s="2873"/>
      <c r="K85" s="976"/>
      <c r="L85" s="976"/>
      <c r="M85" s="976"/>
      <c r="N85" s="976"/>
      <c r="O85" s="976"/>
      <c r="P85" s="976"/>
      <c r="Q85" s="976"/>
      <c r="R85" s="976"/>
      <c r="S85" s="976"/>
      <c r="T85" s="976"/>
      <c r="U85" s="976"/>
      <c r="V85" s="976"/>
      <c r="W85" s="976"/>
      <c r="X85" s="976"/>
      <c r="Y85" s="976"/>
      <c r="Z85" s="976"/>
      <c r="AA85" s="976"/>
      <c r="AB85" s="1480"/>
      <c r="AC85" s="1480"/>
      <c r="AD85" s="1480"/>
      <c r="AE85" s="1480"/>
      <c r="AF85" s="1480"/>
      <c r="AG85" s="1480"/>
      <c r="AH85" s="1480"/>
      <c r="AI85" s="1480"/>
      <c r="AJ85" s="1480"/>
    </row>
    <row r="86" spans="1:36" s="1479" customFormat="1" ht="14.25">
      <c r="A86" s="3306" t="s">
        <v>1816</v>
      </c>
      <c r="B86" s="3307"/>
      <c r="C86" s="1603"/>
      <c r="D86" s="1603" t="s">
        <v>1817</v>
      </c>
      <c r="E86" s="58" t="s">
        <v>1818</v>
      </c>
      <c r="F86" s="59"/>
      <c r="G86" s="59"/>
      <c r="H86" s="72"/>
      <c r="I86" s="608"/>
      <c r="J86" s="2873"/>
      <c r="K86" s="976"/>
      <c r="L86" s="976"/>
      <c r="M86" s="976"/>
      <c r="N86" s="976"/>
      <c r="O86" s="976"/>
      <c r="P86" s="976"/>
      <c r="Q86" s="976"/>
      <c r="R86" s="976"/>
      <c r="S86" s="976"/>
      <c r="T86" s="976"/>
      <c r="U86" s="976"/>
      <c r="V86" s="976"/>
      <c r="W86" s="976"/>
      <c r="X86" s="976"/>
      <c r="Y86" s="976"/>
      <c r="Z86" s="976"/>
      <c r="AA86" s="976"/>
      <c r="AB86" s="1480"/>
      <c r="AC86" s="1480"/>
      <c r="AD86" s="1480"/>
      <c r="AE86" s="1480"/>
      <c r="AF86" s="1480"/>
      <c r="AG86" s="1480"/>
      <c r="AH86" s="1480"/>
      <c r="AI86" s="1480"/>
      <c r="AJ86" s="1480"/>
    </row>
    <row r="87" spans="1:36" s="1479" customFormat="1" ht="14.25">
      <c r="A87" s="61">
        <v>1</v>
      </c>
      <c r="B87" s="54" t="s">
        <v>1837</v>
      </c>
      <c r="C87" s="2784">
        <f ca="1">ROUND(D47/(1+'数据-取费表'!F30),0)</f>
        <v>60945684</v>
      </c>
      <c r="D87" s="50" t="s">
        <v>41</v>
      </c>
      <c r="E87" s="2083"/>
      <c r="F87" s="2084"/>
      <c r="G87" s="2084"/>
      <c r="H87" s="73"/>
      <c r="I87" s="608"/>
      <c r="J87" s="2873"/>
      <c r="K87" s="976"/>
      <c r="L87" s="976"/>
      <c r="M87" s="976"/>
      <c r="N87" s="976"/>
      <c r="O87" s="976"/>
      <c r="P87" s="976"/>
      <c r="Q87" s="976"/>
      <c r="R87" s="976"/>
      <c r="S87" s="976"/>
      <c r="T87" s="976"/>
      <c r="U87" s="976"/>
      <c r="V87" s="976"/>
      <c r="W87" s="976"/>
      <c r="X87" s="976"/>
      <c r="Y87" s="976"/>
      <c r="Z87" s="976"/>
      <c r="AA87" s="976"/>
      <c r="AB87" s="1480"/>
      <c r="AC87" s="1480"/>
      <c r="AD87" s="1480"/>
      <c r="AE87" s="1480"/>
      <c r="AF87" s="1480"/>
      <c r="AG87" s="1480"/>
      <c r="AH87" s="1480"/>
      <c r="AI87" s="1480"/>
      <c r="AJ87" s="1480"/>
    </row>
    <row r="88" spans="1:36" s="1479" customFormat="1" ht="14.25">
      <c r="A88" s="63">
        <v>2</v>
      </c>
      <c r="B88" s="41" t="s">
        <v>1839</v>
      </c>
      <c r="C88" s="2784">
        <f ca="1">IF(H90="仅含出让金",C89+C92+C93+C94+C95+C96,C89+C93+C94+C95+C96)</f>
        <v>365674</v>
      </c>
      <c r="D88" s="2796"/>
      <c r="E88" s="2083"/>
      <c r="F88" s="2084"/>
      <c r="G88" s="2084"/>
      <c r="H88" s="73"/>
      <c r="I88" s="608"/>
      <c r="J88" s="2873"/>
      <c r="K88" s="976"/>
      <c r="L88" s="976"/>
      <c r="M88" s="976"/>
      <c r="N88" s="976"/>
      <c r="O88" s="976"/>
      <c r="P88" s="976"/>
      <c r="Q88" s="976"/>
      <c r="R88" s="976"/>
      <c r="S88" s="976"/>
      <c r="T88" s="976"/>
      <c r="U88" s="976"/>
      <c r="V88" s="976"/>
      <c r="W88" s="976"/>
      <c r="X88" s="976"/>
      <c r="Y88" s="976"/>
      <c r="Z88" s="976"/>
      <c r="AA88" s="976"/>
      <c r="AB88" s="1480"/>
      <c r="AC88" s="1480"/>
      <c r="AD88" s="1480"/>
      <c r="AE88" s="1480"/>
      <c r="AF88" s="1480"/>
      <c r="AG88" s="1480"/>
      <c r="AH88" s="1480"/>
      <c r="AI88" s="1480"/>
      <c r="AJ88" s="1480"/>
    </row>
    <row r="89" spans="1:36" s="1479" customFormat="1" ht="14.25">
      <c r="A89" s="49" t="s">
        <v>73</v>
      </c>
      <c r="B89" s="50" t="s">
        <v>1856</v>
      </c>
      <c r="C89" s="2792">
        <f>C90+C91</f>
        <v>0</v>
      </c>
      <c r="D89" s="2793"/>
      <c r="E89" s="2080"/>
      <c r="F89" s="2081"/>
      <c r="G89" s="2081"/>
      <c r="H89" s="2082"/>
      <c r="I89" s="608"/>
      <c r="J89" s="2873"/>
      <c r="K89" s="976"/>
      <c r="L89" s="976"/>
      <c r="M89" s="976"/>
      <c r="N89" s="976"/>
      <c r="O89" s="976"/>
      <c r="P89" s="976"/>
      <c r="Q89" s="976"/>
      <c r="R89" s="976"/>
      <c r="S89" s="976"/>
      <c r="T89" s="976"/>
      <c r="U89" s="976"/>
      <c r="V89" s="976"/>
      <c r="W89" s="976"/>
      <c r="X89" s="976"/>
      <c r="Y89" s="976"/>
      <c r="Z89" s="976"/>
      <c r="AA89" s="976"/>
      <c r="AB89" s="1480"/>
      <c r="AC89" s="1480"/>
      <c r="AD89" s="1480"/>
      <c r="AE89" s="1480"/>
      <c r="AF89" s="1480"/>
      <c r="AG89" s="1480"/>
      <c r="AH89" s="1480"/>
      <c r="AI89" s="1480"/>
      <c r="AJ89" s="1480"/>
    </row>
    <row r="90" spans="1:36" s="1479" customFormat="1" ht="14.25">
      <c r="A90" s="49" t="s">
        <v>74</v>
      </c>
      <c r="B90" s="50" t="s">
        <v>1857</v>
      </c>
      <c r="C90" s="2797"/>
      <c r="D90" s="2793"/>
      <c r="E90" s="74" t="s">
        <v>1858</v>
      </c>
      <c r="F90" s="2081"/>
      <c r="G90" s="75" t="s">
        <v>1859</v>
      </c>
      <c r="H90" s="1484"/>
      <c r="I90" s="608"/>
      <c r="J90" s="2873"/>
      <c r="K90" s="2968" t="s">
        <v>2816</v>
      </c>
      <c r="L90" s="1480"/>
      <c r="M90" s="1480"/>
      <c r="N90" s="1480"/>
      <c r="O90" s="1480"/>
      <c r="P90" s="1480"/>
      <c r="Q90" s="1480"/>
      <c r="R90" s="1480"/>
      <c r="S90" s="1480"/>
      <c r="T90" s="976"/>
      <c r="U90" s="976"/>
      <c r="V90" s="976"/>
      <c r="W90" s="976"/>
      <c r="X90" s="976"/>
      <c r="Y90" s="976"/>
      <c r="Z90" s="976"/>
      <c r="AA90" s="976"/>
      <c r="AB90" s="1480"/>
      <c r="AC90" s="1480"/>
      <c r="AD90" s="1480"/>
      <c r="AE90" s="1480"/>
      <c r="AF90" s="1480"/>
      <c r="AG90" s="1480"/>
      <c r="AH90" s="1480"/>
      <c r="AI90" s="1480"/>
      <c r="AJ90" s="1480"/>
    </row>
    <row r="91" spans="1:36" s="1479" customFormat="1" ht="14.25">
      <c r="A91" s="49" t="s">
        <v>75</v>
      </c>
      <c r="B91" s="50" t="s">
        <v>1847</v>
      </c>
      <c r="C91" s="2792">
        <f>ROUND(C90*D91,0)</f>
        <v>0</v>
      </c>
      <c r="D91" s="2793">
        <f>'数据-取费表'!E36+'数据-取费表'!E37</f>
        <v>3.0499999999999999E-2</v>
      </c>
      <c r="E91" s="74" t="s">
        <v>1860</v>
      </c>
      <c r="F91" s="2081"/>
      <c r="G91" s="2081"/>
      <c r="H91" s="2082"/>
      <c r="I91" s="608"/>
      <c r="J91" s="2873"/>
      <c r="K91" s="976"/>
      <c r="L91" s="976"/>
      <c r="M91" s="976"/>
      <c r="N91" s="976"/>
      <c r="O91" s="976"/>
      <c r="P91" s="976"/>
      <c r="Q91" s="976"/>
      <c r="R91" s="976"/>
      <c r="S91" s="976"/>
      <c r="T91" s="976"/>
      <c r="U91" s="976"/>
      <c r="V91" s="976"/>
      <c r="W91" s="976"/>
      <c r="X91" s="976"/>
      <c r="Y91" s="976"/>
      <c r="Z91" s="976"/>
      <c r="AA91" s="976"/>
      <c r="AB91" s="1480"/>
      <c r="AC91" s="1480"/>
      <c r="AD91" s="1480"/>
      <c r="AE91" s="1480"/>
      <c r="AF91" s="1480"/>
      <c r="AG91" s="1480"/>
      <c r="AH91" s="1480"/>
      <c r="AI91" s="1480"/>
      <c r="AJ91" s="1480"/>
    </row>
    <row r="92" spans="1:36" s="1479" customFormat="1" ht="14.25">
      <c r="A92" s="49" t="s">
        <v>77</v>
      </c>
      <c r="B92" s="50" t="s">
        <v>1861</v>
      </c>
      <c r="C92" s="2797"/>
      <c r="D92" s="2793"/>
      <c r="E92" s="74" t="str">
        <f>IF(H90="-","土地取得成本中已包含该笔费用"," ")</f>
        <v xml:space="preserve"> </v>
      </c>
      <c r="F92" s="2081"/>
      <c r="G92" s="3315" t="s">
        <v>2733</v>
      </c>
      <c r="H92" s="3395"/>
      <c r="I92" s="608"/>
      <c r="J92" s="2873"/>
      <c r="K92" s="2968" t="s">
        <v>2817</v>
      </c>
      <c r="L92" s="1480"/>
      <c r="M92" s="1480"/>
      <c r="N92" s="1480"/>
      <c r="O92" s="1480"/>
      <c r="P92" s="1480"/>
      <c r="Q92" s="1480"/>
      <c r="R92" s="1480"/>
      <c r="S92" s="1480"/>
      <c r="T92" s="976"/>
      <c r="U92" s="976"/>
      <c r="V92" s="976"/>
      <c r="W92" s="976"/>
      <c r="X92" s="976"/>
      <c r="Y92" s="976"/>
      <c r="Z92" s="976"/>
      <c r="AA92" s="976"/>
      <c r="AB92" s="1480"/>
      <c r="AC92" s="1480"/>
      <c r="AD92" s="1480"/>
      <c r="AE92" s="1480"/>
      <c r="AF92" s="1480"/>
      <c r="AG92" s="1480"/>
      <c r="AH92" s="1480"/>
      <c r="AI92" s="1480"/>
      <c r="AJ92" s="1480"/>
    </row>
    <row r="93" spans="1:36" s="1479" customFormat="1" ht="30.75" customHeight="1">
      <c r="A93" s="49" t="s">
        <v>78</v>
      </c>
      <c r="B93" s="50" t="s">
        <v>1862</v>
      </c>
      <c r="C93" s="2792">
        <f>IF(H93="——",成本法!C33,I93)</f>
        <v>0</v>
      </c>
      <c r="D93" s="2793"/>
      <c r="E93" s="3275" t="s">
        <v>1863</v>
      </c>
      <c r="F93" s="3276"/>
      <c r="G93" s="3276"/>
      <c r="H93" s="1485" t="s">
        <v>1864</v>
      </c>
      <c r="I93" s="2798"/>
      <c r="J93" s="2875"/>
      <c r="K93" s="976"/>
      <c r="L93" s="976"/>
      <c r="M93" s="976"/>
      <c r="N93" s="976"/>
      <c r="O93" s="976"/>
      <c r="P93" s="976"/>
      <c r="Q93" s="976"/>
      <c r="R93" s="976"/>
      <c r="S93" s="976"/>
      <c r="T93" s="976"/>
      <c r="U93" s="976"/>
      <c r="V93" s="976"/>
      <c r="W93" s="976"/>
      <c r="X93" s="976"/>
      <c r="Y93" s="976"/>
      <c r="Z93" s="976"/>
      <c r="AA93" s="976"/>
      <c r="AB93" s="1480"/>
      <c r="AC93" s="1480"/>
      <c r="AD93" s="1480"/>
      <c r="AE93" s="1480"/>
      <c r="AF93" s="1480"/>
      <c r="AG93" s="1480"/>
      <c r="AH93" s="1480"/>
      <c r="AI93" s="1480"/>
      <c r="AJ93" s="1480"/>
    </row>
    <row r="94" spans="1:36" s="1479" customFormat="1" ht="25.5" customHeight="1">
      <c r="A94" s="49" t="s">
        <v>79</v>
      </c>
      <c r="B94" s="50" t="s">
        <v>1865</v>
      </c>
      <c r="C94" s="2792">
        <f>ROUND((C89+C92+C93)*D94,0)</f>
        <v>0</v>
      </c>
      <c r="D94" s="2793">
        <v>0.1</v>
      </c>
      <c r="E94" s="3275" t="s">
        <v>1866</v>
      </c>
      <c r="F94" s="3276"/>
      <c r="G94" s="3276"/>
      <c r="H94" s="3296"/>
      <c r="I94" s="608"/>
      <c r="J94" s="2873"/>
      <c r="K94" s="2969" t="s">
        <v>2818</v>
      </c>
      <c r="L94" s="1480"/>
      <c r="M94" s="1480"/>
      <c r="N94" s="1480"/>
      <c r="O94" s="1480"/>
      <c r="P94" s="1480"/>
      <c r="Q94" s="976"/>
      <c r="R94" s="976"/>
      <c r="S94" s="976"/>
      <c r="T94" s="976"/>
      <c r="U94" s="976"/>
      <c r="V94" s="976"/>
      <c r="W94" s="976"/>
      <c r="X94" s="976"/>
      <c r="Y94" s="976"/>
      <c r="Z94" s="976"/>
      <c r="AA94" s="976"/>
      <c r="AB94" s="1480"/>
      <c r="AC94" s="1480"/>
      <c r="AD94" s="1480"/>
      <c r="AE94" s="1480"/>
      <c r="AF94" s="1480"/>
      <c r="AG94" s="1480"/>
      <c r="AH94" s="1480"/>
      <c r="AI94" s="1480"/>
      <c r="AJ94" s="1480"/>
    </row>
    <row r="95" spans="1:36" s="1479" customFormat="1" ht="25.5" customHeight="1">
      <c r="A95" s="49" t="s">
        <v>80</v>
      </c>
      <c r="B95" s="50" t="s">
        <v>1850</v>
      </c>
      <c r="C95" s="2792">
        <f ca="1">ROUND(D47*D95/(1+'数据-取费表'!F30),0)</f>
        <v>365674</v>
      </c>
      <c r="D95" s="2793">
        <f>'数据-取费表'!E31</f>
        <v>6.000000000000001E-3</v>
      </c>
      <c r="E95" s="3275" t="s">
        <v>1851</v>
      </c>
      <c r="F95" s="3276"/>
      <c r="G95" s="3276"/>
      <c r="H95" s="3296"/>
      <c r="I95" s="608"/>
      <c r="J95" s="2873"/>
      <c r="K95" s="976"/>
      <c r="L95" s="976"/>
      <c r="M95" s="976"/>
      <c r="N95" s="976"/>
      <c r="O95" s="976"/>
      <c r="P95" s="976"/>
      <c r="Q95" s="976"/>
      <c r="R95" s="976"/>
      <c r="S95" s="976"/>
      <c r="T95" s="976"/>
      <c r="U95" s="976"/>
      <c r="V95" s="976"/>
      <c r="W95" s="976"/>
      <c r="X95" s="976"/>
      <c r="Y95" s="976"/>
      <c r="Z95" s="976"/>
      <c r="AA95" s="976"/>
      <c r="AB95" s="1480"/>
      <c r="AC95" s="1480"/>
      <c r="AD95" s="1480"/>
      <c r="AE95" s="1480"/>
      <c r="AF95" s="1480"/>
      <c r="AG95" s="1480"/>
      <c r="AH95" s="1480"/>
      <c r="AI95" s="1480"/>
      <c r="AJ95" s="1480"/>
    </row>
    <row r="96" spans="1:36" s="1479" customFormat="1" ht="25.5" customHeight="1">
      <c r="A96" s="49" t="s">
        <v>81</v>
      </c>
      <c r="B96" s="50" t="s">
        <v>1867</v>
      </c>
      <c r="C96" s="2792">
        <f>ROUND((C89+C92+C93)*D96,0)</f>
        <v>0</v>
      </c>
      <c r="D96" s="2793">
        <v>0.2</v>
      </c>
      <c r="E96" s="3275" t="s">
        <v>1868</v>
      </c>
      <c r="F96" s="3276"/>
      <c r="G96" s="3276"/>
      <c r="H96" s="3296"/>
      <c r="I96" s="608"/>
      <c r="J96" s="2873"/>
      <c r="K96" s="976"/>
      <c r="L96" s="976"/>
      <c r="M96" s="976"/>
      <c r="N96" s="976"/>
      <c r="O96" s="976"/>
      <c r="P96" s="976"/>
      <c r="Q96" s="976"/>
      <c r="R96" s="976"/>
      <c r="S96" s="976"/>
      <c r="T96" s="976"/>
      <c r="U96" s="976"/>
      <c r="V96" s="976"/>
      <c r="W96" s="976"/>
      <c r="X96" s="976"/>
      <c r="Y96" s="976"/>
      <c r="Z96" s="976"/>
      <c r="AA96" s="976"/>
      <c r="AB96" s="1480"/>
      <c r="AC96" s="1480"/>
      <c r="AD96" s="1480"/>
      <c r="AE96" s="1480"/>
      <c r="AF96" s="1480"/>
      <c r="AG96" s="1480"/>
      <c r="AH96" s="1480"/>
      <c r="AI96" s="1480"/>
      <c r="AJ96" s="1480"/>
    </row>
    <row r="97" spans="1:36" s="1479" customFormat="1" ht="14.25">
      <c r="A97" s="53" t="s">
        <v>42</v>
      </c>
      <c r="B97" s="54" t="s">
        <v>1852</v>
      </c>
      <c r="C97" s="2784">
        <f ca="1">ROUND(C87-C88,0)</f>
        <v>60580010</v>
      </c>
      <c r="D97" s="50" t="s">
        <v>41</v>
      </c>
      <c r="E97" s="2083"/>
      <c r="F97" s="2084"/>
      <c r="G97" s="2084"/>
      <c r="H97" s="73"/>
      <c r="I97" s="608"/>
      <c r="J97" s="2873"/>
      <c r="K97" s="976"/>
      <c r="L97" s="976"/>
      <c r="M97" s="976"/>
      <c r="N97" s="976"/>
      <c r="O97" s="976"/>
      <c r="P97" s="976"/>
      <c r="Q97" s="976"/>
      <c r="R97" s="976"/>
      <c r="S97" s="976"/>
      <c r="T97" s="976"/>
      <c r="U97" s="976"/>
      <c r="V97" s="976"/>
      <c r="W97" s="976"/>
      <c r="X97" s="976"/>
      <c r="Y97" s="976"/>
      <c r="Z97" s="976"/>
      <c r="AA97" s="976"/>
      <c r="AB97" s="1480"/>
      <c r="AC97" s="1480"/>
      <c r="AD97" s="1480"/>
      <c r="AE97" s="1480"/>
      <c r="AF97" s="1480"/>
      <c r="AG97" s="1480"/>
      <c r="AH97" s="1480"/>
      <c r="AI97" s="1480"/>
      <c r="AJ97" s="1480"/>
    </row>
    <row r="98" spans="1:36" s="1479" customFormat="1" ht="14.25">
      <c r="A98" s="53" t="s">
        <v>43</v>
      </c>
      <c r="B98" s="54" t="s">
        <v>1853</v>
      </c>
      <c r="C98" s="2794">
        <f ca="1">IF(C97&lt;=0,0,C97/C88)</f>
        <v>165.66671406772153</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4"/>
      <c r="G98" s="2084"/>
      <c r="H98" s="73"/>
      <c r="I98" s="608"/>
      <c r="J98" s="2873"/>
      <c r="K98" s="976"/>
      <c r="L98" s="976"/>
      <c r="M98" s="976"/>
      <c r="N98" s="976"/>
      <c r="O98" s="976"/>
      <c r="P98" s="976"/>
      <c r="Q98" s="976"/>
      <c r="R98" s="976"/>
      <c r="S98" s="976"/>
      <c r="T98" s="976"/>
      <c r="U98" s="976"/>
      <c r="V98" s="976"/>
      <c r="W98" s="976"/>
      <c r="X98" s="976"/>
      <c r="Y98" s="976"/>
      <c r="Z98" s="976"/>
      <c r="AA98" s="976"/>
      <c r="AB98" s="1480"/>
      <c r="AC98" s="1480"/>
      <c r="AD98" s="1480"/>
      <c r="AE98" s="1480"/>
      <c r="AF98" s="1480"/>
      <c r="AG98" s="1480"/>
      <c r="AH98" s="1480"/>
      <c r="AI98" s="1480"/>
      <c r="AJ98" s="1480"/>
    </row>
    <row r="99" spans="1:36" s="1479" customFormat="1" ht="15" thickBot="1">
      <c r="A99" s="66" t="s">
        <v>44</v>
      </c>
      <c r="B99" s="56" t="s">
        <v>1854</v>
      </c>
      <c r="C99" s="67">
        <f ca="1">ROUND(IF(C97&lt;=0,0,IF(C98&gt;=200%,C97*60%-C88*35%,IF(C98&gt;=100%,C97*50%-C88*15%,IF(C98&gt;=50%,C97*40%-C88*5%,IF(C98&lt;50%,C97*30%,0))))),0)</f>
        <v>36220020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2"/>
      <c r="K99" s="976"/>
      <c r="L99" s="976"/>
      <c r="M99" s="976"/>
      <c r="N99" s="976"/>
      <c r="O99" s="976"/>
      <c r="P99" s="976"/>
      <c r="Q99" s="976"/>
      <c r="R99" s="976"/>
      <c r="S99" s="976"/>
      <c r="T99" s="976"/>
      <c r="U99" s="976"/>
      <c r="V99" s="976"/>
      <c r="W99" s="976"/>
      <c r="X99" s="976"/>
      <c r="Y99" s="976"/>
      <c r="Z99" s="976"/>
      <c r="AA99" s="976"/>
      <c r="AB99" s="1480"/>
      <c r="AC99" s="1480"/>
      <c r="AD99" s="1480"/>
      <c r="AE99" s="1480"/>
      <c r="AF99" s="1480"/>
      <c r="AG99" s="1480"/>
      <c r="AH99" s="1480"/>
      <c r="AI99" s="1480"/>
      <c r="AJ99" s="1480"/>
    </row>
    <row r="100" spans="1:36" ht="21.75" customHeight="1" thickBot="1">
      <c r="A100" s="1467" t="s">
        <v>1869</v>
      </c>
      <c r="B100" s="1457"/>
      <c r="C100" s="1457"/>
      <c r="D100" s="1457"/>
      <c r="E100" s="812"/>
      <c r="F100" s="812"/>
      <c r="G100" s="812"/>
      <c r="H100" s="1466"/>
      <c r="I100" s="1457"/>
    </row>
    <row r="101" spans="1:36" ht="15">
      <c r="A101" s="3293" t="s">
        <v>1870</v>
      </c>
      <c r="B101" s="3294"/>
      <c r="C101" s="3294"/>
      <c r="D101" s="3295"/>
      <c r="E101" s="1457"/>
      <c r="F101" s="3390" t="s">
        <v>2775</v>
      </c>
      <c r="G101" s="3391"/>
      <c r="H101" s="3391"/>
      <c r="I101" s="3392"/>
      <c r="J101" s="2876"/>
    </row>
    <row r="102" spans="1:36" ht="15">
      <c r="A102" s="3310" t="s">
        <v>1872</v>
      </c>
      <c r="B102" s="3311"/>
      <c r="C102" s="2799" t="str">
        <f>C4</f>
        <v>比较法-住宅</v>
      </c>
      <c r="D102" s="2800" t="str">
        <f>D4</f>
        <v>成本法</v>
      </c>
      <c r="E102" s="1457"/>
      <c r="F102" s="3312" t="s">
        <v>2776</v>
      </c>
      <c r="G102" s="3314"/>
      <c r="H102" s="3325" t="s">
        <v>2777</v>
      </c>
      <c r="I102" s="3313"/>
      <c r="J102" s="2856"/>
    </row>
    <row r="103" spans="1:36" ht="12.75">
      <c r="A103" s="3396" t="s">
        <v>2771</v>
      </c>
      <c r="B103" s="2302" t="str">
        <f>IF(H19="元","总价（元）","总价（万元）")</f>
        <v>总价（元）</v>
      </c>
      <c r="C103" s="1305">
        <f ca="1">C19</f>
        <v>34303904</v>
      </c>
      <c r="D103" s="2803">
        <f ca="1">D19</f>
        <v>24448575</v>
      </c>
      <c r="E103" s="1457"/>
      <c r="F103" s="3397"/>
      <c r="G103" s="3398"/>
      <c r="H103" s="3316">
        <f>典型户型修正!B25</f>
        <v>732.34</v>
      </c>
      <c r="I103" s="3313"/>
      <c r="J103" s="2856"/>
    </row>
    <row r="104" spans="1:36" ht="12.75">
      <c r="A104" s="3396"/>
      <c r="B104" s="2302" t="s">
        <v>2772</v>
      </c>
      <c r="C104" s="2804">
        <f ca="1">C20</f>
        <v>93683</v>
      </c>
      <c r="D104" s="2805">
        <f ca="1">D20</f>
        <v>66768</v>
      </c>
      <c r="E104" s="1457"/>
      <c r="F104" s="3299" t="s">
        <v>2778</v>
      </c>
      <c r="G104" s="3300"/>
      <c r="H104" s="2813" t="str">
        <f>C110</f>
        <v>总价（元）</v>
      </c>
      <c r="I104" s="2814">
        <f ca="1">H125</f>
        <v>63992968</v>
      </c>
      <c r="J104" s="2856"/>
    </row>
    <row r="105" spans="1:36" ht="12.75">
      <c r="A105" s="3396" t="s">
        <v>2773</v>
      </c>
      <c r="B105" s="2240" t="str">
        <f>B103</f>
        <v>总价（元）</v>
      </c>
      <c r="C105" s="12">
        <f ca="1">ROUND(IF('数据-取费表'!B4="总价",G19,IF(H19="元",G20*'数据-取费表'!E5,G20*'数据-取费表'!E5/10000)),0)</f>
        <v>32332811</v>
      </c>
      <c r="D105" s="2806"/>
      <c r="E105" s="1457"/>
      <c r="F105" s="3299"/>
      <c r="G105" s="3300"/>
      <c r="H105" s="2813" t="s">
        <v>2779</v>
      </c>
      <c r="I105" s="52">
        <f ca="1">I125</f>
        <v>873815004</v>
      </c>
      <c r="J105" s="2840"/>
    </row>
    <row r="106" spans="1:36" ht="12.75">
      <c r="A106" s="3396"/>
      <c r="B106" s="2302" t="s">
        <v>2772</v>
      </c>
      <c r="C106" s="1477">
        <f ca="1">ROUND(IF('数据-取费表'!B4="楼面单价",G20,IF(H19="元",G19/'数据-取费表'!E5,G19*10000/'数据-取费表'!E5)),0)</f>
        <v>88300</v>
      </c>
      <c r="D106" s="2806"/>
      <c r="E106" s="1457"/>
      <c r="F106" s="3299"/>
      <c r="G106" s="3300"/>
      <c r="H106" s="3331"/>
      <c r="I106" s="3332"/>
      <c r="J106" s="2857"/>
    </row>
    <row r="107" spans="1:36" ht="12.75">
      <c r="A107" s="3403" t="s">
        <v>2774</v>
      </c>
      <c r="B107" s="2807" t="str">
        <f>B103</f>
        <v>总价（元）</v>
      </c>
      <c r="C107" s="2808">
        <f ca="1">H125</f>
        <v>63992968</v>
      </c>
      <c r="D107" s="2809"/>
      <c r="E107" s="1457"/>
      <c r="F107" s="3335" t="s">
        <v>2780</v>
      </c>
      <c r="G107" s="3336"/>
      <c r="H107" s="2815" t="str">
        <f>C112</f>
        <v>总额（元）</v>
      </c>
      <c r="I107" s="2814">
        <f>SUMIF(I108:I110,"&lt;9E307")</f>
        <v>0</v>
      </c>
      <c r="J107" s="2856"/>
    </row>
    <row r="108" spans="1:36" ht="15" thickBot="1">
      <c r="A108" s="3330"/>
      <c r="B108" s="2810" t="s">
        <v>2772</v>
      </c>
      <c r="C108" s="2811">
        <f ca="1">I125</f>
        <v>873815004</v>
      </c>
      <c r="D108" s="2812"/>
      <c r="E108" s="1457"/>
      <c r="F108" s="3301" t="s">
        <v>2781</v>
      </c>
      <c r="G108" s="3302"/>
      <c r="H108" s="2815" t="str">
        <f>C113</f>
        <v>总额（元）</v>
      </c>
      <c r="I108" s="2816">
        <f>IF(D38="同一抵押权人同一抵押物续贷",C38&amp;"（续贷，未扣减，详见特别提示）",C38)</f>
        <v>0</v>
      </c>
      <c r="J108" s="2840"/>
      <c r="L108" s="1460" t="str">
        <f>IF(D125=0,"本次评估不存在"&amp;A125&amp;"。","本次评估"&amp;A125&amp;"为"&amp;D125&amp;"元人民币。")</f>
        <v>本次评估不存在北京市房地产。</v>
      </c>
      <c r="M108" s="1457"/>
      <c r="N108" s="1457"/>
      <c r="O108" s="1457"/>
      <c r="P108" s="1457"/>
      <c r="Q108" s="1457"/>
    </row>
    <row r="109" spans="1:36" ht="15">
      <c r="A109" s="3399" t="s">
        <v>1873</v>
      </c>
      <c r="B109" s="3400"/>
      <c r="C109" s="3400"/>
      <c r="D109" s="3401"/>
      <c r="E109" s="1457"/>
      <c r="F109" s="3301" t="s">
        <v>2782</v>
      </c>
      <c r="G109" s="3302"/>
      <c r="H109" s="2815" t="str">
        <f>C114</f>
        <v>总额（元）</v>
      </c>
      <c r="I109" s="52">
        <f>C39</f>
        <v>0</v>
      </c>
      <c r="J109" s="2840"/>
    </row>
    <row r="110" spans="1:36" ht="12.75">
      <c r="A110" s="3299" t="s">
        <v>2785</v>
      </c>
      <c r="B110" s="3300"/>
      <c r="C110" s="2813" t="str">
        <f>B103</f>
        <v>总价（元）</v>
      </c>
      <c r="D110" s="2814">
        <f ca="1">H125</f>
        <v>63992968</v>
      </c>
      <c r="E110" s="1457"/>
      <c r="F110" s="3301" t="s">
        <v>2783</v>
      </c>
      <c r="G110" s="3302"/>
      <c r="H110" s="2815" t="str">
        <f>C115</f>
        <v>总额（元）</v>
      </c>
      <c r="I110" s="52">
        <f>C40</f>
        <v>0</v>
      </c>
      <c r="J110" s="2840"/>
    </row>
    <row r="111" spans="1:36" ht="12.75">
      <c r="A111" s="3299"/>
      <c r="B111" s="3300"/>
      <c r="C111" s="2813" t="s">
        <v>2786</v>
      </c>
      <c r="D111" s="52">
        <f ca="1">I125</f>
        <v>873815004</v>
      </c>
      <c r="E111" s="1457"/>
      <c r="F111" s="3299"/>
      <c r="G111" s="3300"/>
      <c r="H111" s="3333"/>
      <c r="I111" s="3334"/>
      <c r="J111" s="2858"/>
    </row>
    <row r="112" spans="1:36" ht="28.5" customHeight="1">
      <c r="A112" s="3370" t="s">
        <v>2780</v>
      </c>
      <c r="B112" s="3371"/>
      <c r="C112" s="2815" t="str">
        <f>IF(H19="元","总额（元）","总额（万元）")</f>
        <v>总额（元）</v>
      </c>
      <c r="D112" s="2814">
        <f>IF(D38="正常操作",I108+I109+I110,I109+I110)</f>
        <v>0</v>
      </c>
      <c r="E112" s="1457"/>
      <c r="F112" s="3282" t="str">
        <f>IF(项目基本情况!F5="已注销","——","3.房地产抵押价值")</f>
        <v>3.房地产抵押价值</v>
      </c>
      <c r="G112" s="3283"/>
      <c r="H112" s="1477" t="str">
        <f>C116</f>
        <v>总价（元）</v>
      </c>
      <c r="I112" s="2814">
        <f ca="1">IF(F112="——","——",I104-I107)</f>
        <v>63992968</v>
      </c>
      <c r="J112" s="2856"/>
    </row>
    <row r="113" spans="1:27" ht="12.75">
      <c r="A113" s="3301" t="s">
        <v>2787</v>
      </c>
      <c r="B113" s="3302"/>
      <c r="C113" s="2815" t="str">
        <f>C112</f>
        <v>总额（元）</v>
      </c>
      <c r="D113" s="52">
        <f>IF(D38="同一抵押权人同一抵押物续贷",C38&amp;"（未扣减，详见特别提示）",C38)</f>
        <v>0</v>
      </c>
      <c r="E113" s="1457"/>
      <c r="F113" s="3284"/>
      <c r="G113" s="3285"/>
      <c r="H113" s="2813" t="s">
        <v>2779</v>
      </c>
      <c r="I113" s="2817">
        <f ca="1">D117</f>
        <v>873815004</v>
      </c>
      <c r="J113" s="2859"/>
    </row>
    <row r="114" spans="1:27" ht="12.75">
      <c r="A114" s="3301" t="s">
        <v>2788</v>
      </c>
      <c r="B114" s="3302"/>
      <c r="C114" s="2815" t="str">
        <f>C112</f>
        <v>总额（元）</v>
      </c>
      <c r="D114" s="52">
        <f>C39</f>
        <v>0</v>
      </c>
      <c r="E114" s="1457"/>
      <c r="F114" s="3282" t="str">
        <f>IF(项目基本情况!F5="已注销及未注销","4.抵押担保权已注销时的房地产抵押价值",IF(项目基本情况!F5="已注销","3.抵押担保权已注销时的房地产抵押价值","——"))</f>
        <v>——</v>
      </c>
      <c r="G114" s="3283"/>
      <c r="H114" s="1477" t="str">
        <f>C118</f>
        <v>总价（元）</v>
      </c>
      <c r="I114" s="2814" t="str">
        <f>IF(F114="——","——",I104-I109-I110)</f>
        <v>——</v>
      </c>
      <c r="J114" s="2856"/>
    </row>
    <row r="115" spans="1:27" ht="12.75">
      <c r="A115" s="3301" t="s">
        <v>2789</v>
      </c>
      <c r="B115" s="3302"/>
      <c r="C115" s="2815" t="str">
        <f>C112</f>
        <v>总额（元）</v>
      </c>
      <c r="D115" s="52">
        <f>C40</f>
        <v>0</v>
      </c>
      <c r="E115" s="1457"/>
      <c r="F115" s="3284"/>
      <c r="G115" s="3285"/>
      <c r="H115" s="2813" t="s">
        <v>2779</v>
      </c>
      <c r="I115" s="52" t="str">
        <f>D119</f>
        <v>——</v>
      </c>
      <c r="J115" s="2840"/>
    </row>
    <row r="116" spans="1:27" ht="12.75">
      <c r="A116" s="3299" t="str">
        <f>IF(项目基本情况!F5="已注销","——","3.房地产抵押价值")</f>
        <v>3.房地产抵押价值</v>
      </c>
      <c r="B116" s="3300"/>
      <c r="C116" s="2813" t="str">
        <f>B103</f>
        <v>总价（元）</v>
      </c>
      <c r="D116" s="2814">
        <f ca="1">IF(A116="——","——",D110-D112)</f>
        <v>63992968</v>
      </c>
      <c r="E116" s="1457"/>
      <c r="F116" s="3282" t="str">
        <f>IF(项目基本情况!G5="抵押净值",IF(OR(项目基本情况!F5="已注销",项目基本情况!F5="房地产抵押价值"),"4.抵押净值","5.抵押净值"),"——")</f>
        <v>——</v>
      </c>
      <c r="G116" s="3283"/>
      <c r="H116" s="2813" t="str">
        <f>C120</f>
        <v>总价（元）</v>
      </c>
      <c r="I116" s="2814" t="str">
        <f>IF(F116="——","——",O61)</f>
        <v>——</v>
      </c>
      <c r="J116" s="2856"/>
    </row>
    <row r="117" spans="1:27" ht="13.5" thickBot="1">
      <c r="A117" s="3299"/>
      <c r="B117" s="3300"/>
      <c r="C117" s="2813" t="s">
        <v>2786</v>
      </c>
      <c r="D117" s="52">
        <f ca="1">ROUND(IF(D116=D110,D111,IF(H19="元",D116/B125,D116*10000/B125)),0)</f>
        <v>873815004</v>
      </c>
      <c r="E117" s="1457"/>
      <c r="F117" s="3362"/>
      <c r="G117" s="3363"/>
      <c r="H117" s="2818" t="s">
        <v>2779</v>
      </c>
      <c r="I117" s="2802" t="str">
        <f ca="1">D121</f>
        <v>——</v>
      </c>
      <c r="J117" s="2840"/>
    </row>
    <row r="118" spans="1:27" ht="15.75">
      <c r="A118" s="3299" t="str">
        <f>IF(项目基本情况!F5="已注销及未注销","4.抵押担保权已注销时的房地产抵押价值",IF(项目基本情况!F5="已注销","3.抵押担保权已注销时的房地产抵押价值","——"))</f>
        <v>——</v>
      </c>
      <c r="B118" s="3300"/>
      <c r="C118" s="2813" t="str">
        <f>B103</f>
        <v>总价（元）</v>
      </c>
      <c r="D118" s="2814" t="str">
        <f>IF(A118="——","——",D110-D114-D115)</f>
        <v>——</v>
      </c>
      <c r="E118" s="1457"/>
      <c r="F118" s="3277"/>
      <c r="G118" s="3277"/>
      <c r="H118" s="3318"/>
      <c r="I118" s="3318"/>
      <c r="J118" s="2860"/>
      <c r="O118" s="32"/>
      <c r="P118" s="32"/>
    </row>
    <row r="119" spans="1:27" s="1306" customFormat="1" ht="12.75">
      <c r="A119" s="3299"/>
      <c r="B119" s="3300"/>
      <c r="C119" s="2813" t="s">
        <v>2786</v>
      </c>
      <c r="D119" s="52" t="str">
        <f>IF(A118="——","——",IF(H19="元",ROUND(D118/B125,0),ROUND(D118*10000/B125,0)))</f>
        <v>——</v>
      </c>
      <c r="E119" s="1457"/>
      <c r="F119" s="3402" t="str">
        <f>IF(B33="总价","（以上估价结果中楼面单价为总价除以建筑面积得出）","（以上估价结果中总价为楼面单价乘以建筑面积得出）")</f>
        <v>（以上估价结果中总价为楼面单价乘以建筑面积得出）</v>
      </c>
      <c r="G119" s="3402"/>
      <c r="H119" s="3402"/>
      <c r="I119" s="3402"/>
      <c r="J119" s="2861"/>
      <c r="K119" s="659"/>
      <c r="L119" s="659"/>
      <c r="M119" s="659"/>
      <c r="N119" s="659"/>
      <c r="O119" s="32"/>
      <c r="P119" s="32"/>
      <c r="Q119" s="659"/>
      <c r="R119" s="659"/>
      <c r="S119" s="659"/>
      <c r="T119" s="659"/>
      <c r="U119" s="659"/>
      <c r="V119" s="659"/>
      <c r="W119" s="659"/>
      <c r="X119" s="659"/>
      <c r="Y119" s="659"/>
      <c r="Z119" s="659"/>
      <c r="AA119" s="659"/>
    </row>
    <row r="120" spans="1:27" s="1306" customFormat="1" ht="12.75">
      <c r="A120" s="3299" t="str">
        <f>IF(项目基本情况!G5="抵押净值",IF(OR(项目基本情况!F5="已注销",项目基本情况!F5="房地产抵押价值"),"4.抵押净值","5.抵押净值"),"——")</f>
        <v>——</v>
      </c>
      <c r="B120" s="3300"/>
      <c r="C120" s="2813" t="str">
        <f>B103</f>
        <v>总价（元）</v>
      </c>
      <c r="D120" s="2814" t="str">
        <f>IF(A120="——","——",O61)</f>
        <v>——</v>
      </c>
      <c r="E120" s="1457"/>
      <c r="F120" s="1511"/>
      <c r="G120" s="1511"/>
      <c r="H120" s="1511"/>
      <c r="I120" s="1511"/>
      <c r="J120" s="2861"/>
      <c r="K120" s="659"/>
      <c r="L120" s="659"/>
      <c r="M120" s="659"/>
      <c r="N120" s="659"/>
      <c r="O120" s="32"/>
      <c r="P120" s="32"/>
      <c r="Q120" s="659"/>
      <c r="R120" s="659"/>
      <c r="S120" s="659"/>
      <c r="T120" s="659"/>
      <c r="U120" s="659"/>
      <c r="V120" s="659"/>
      <c r="W120" s="659"/>
      <c r="X120" s="659"/>
      <c r="Y120" s="659"/>
      <c r="Z120" s="659"/>
      <c r="AA120" s="659"/>
    </row>
    <row r="121" spans="1:27" s="1306" customFormat="1" ht="13.5" thickBot="1">
      <c r="A121" s="3368"/>
      <c r="B121" s="3369"/>
      <c r="C121" s="2818" t="s">
        <v>2786</v>
      </c>
      <c r="D121" s="2802" t="str">
        <f ca="1">IF(D120=D110,D111,IF(A120="——","——",O63))</f>
        <v>——</v>
      </c>
      <c r="E121" s="1457"/>
      <c r="F121" s="1511"/>
      <c r="G121" s="1511"/>
      <c r="H121" s="1511"/>
      <c r="I121" s="1511"/>
      <c r="J121" s="2861"/>
      <c r="K121" s="659"/>
      <c r="L121" s="659"/>
      <c r="M121" s="659"/>
      <c r="N121" s="659"/>
      <c r="O121" s="32"/>
      <c r="P121" s="32"/>
      <c r="Q121" s="659"/>
      <c r="R121" s="659"/>
      <c r="S121" s="659"/>
      <c r="T121" s="659"/>
      <c r="U121" s="659"/>
      <c r="V121" s="659"/>
      <c r="W121" s="659"/>
      <c r="X121" s="659"/>
      <c r="Y121" s="659"/>
      <c r="Z121" s="659"/>
      <c r="AA121" s="659"/>
    </row>
    <row r="122" spans="1:27" s="1306" customFormat="1" ht="15">
      <c r="A122" s="3319" t="s">
        <v>1912</v>
      </c>
      <c r="B122" s="3320"/>
      <c r="C122" s="3320"/>
      <c r="D122" s="3320"/>
      <c r="E122" s="3320"/>
      <c r="F122" s="3320"/>
      <c r="G122" s="3320"/>
      <c r="H122" s="3320"/>
      <c r="I122" s="3320"/>
      <c r="J122" s="2862"/>
      <c r="K122" s="659"/>
      <c r="L122" s="659"/>
      <c r="M122" s="659"/>
      <c r="N122" s="659"/>
      <c r="O122" s="659"/>
      <c r="P122" s="659"/>
      <c r="Q122" s="659"/>
      <c r="R122" s="659"/>
      <c r="S122" s="659"/>
      <c r="T122" s="659"/>
      <c r="U122" s="659"/>
      <c r="V122" s="659"/>
      <c r="W122" s="659"/>
      <c r="X122" s="659"/>
      <c r="Y122" s="659"/>
      <c r="Z122" s="659"/>
      <c r="AA122" s="659"/>
    </row>
    <row r="123" spans="1:27" s="1306" customFormat="1" ht="12.75">
      <c r="A123" s="3292" t="s">
        <v>2790</v>
      </c>
      <c r="B123" s="3290" t="s">
        <v>2791</v>
      </c>
      <c r="C123" s="3290" t="s">
        <v>2797</v>
      </c>
      <c r="D123" s="3297" t="s">
        <v>2792</v>
      </c>
      <c r="E123" s="3298"/>
      <c r="F123" s="3288" t="s">
        <v>2798</v>
      </c>
      <c r="G123" s="3288"/>
      <c r="H123" s="3288" t="s">
        <v>2793</v>
      </c>
      <c r="I123" s="3289"/>
      <c r="J123" s="2840"/>
      <c r="K123" s="659"/>
      <c r="L123" s="659"/>
      <c r="M123" s="659"/>
      <c r="N123" s="659"/>
      <c r="O123" s="659"/>
      <c r="P123" s="659"/>
      <c r="Q123" s="659"/>
      <c r="R123" s="659"/>
      <c r="S123" s="659"/>
      <c r="T123" s="659"/>
      <c r="U123" s="659"/>
      <c r="V123" s="659"/>
      <c r="W123" s="659"/>
      <c r="X123" s="659"/>
      <c r="Y123" s="659"/>
      <c r="Z123" s="659"/>
      <c r="AA123" s="659"/>
    </row>
    <row r="124" spans="1:27" s="1306" customFormat="1" ht="12.75">
      <c r="A124" s="3292"/>
      <c r="B124" s="3291"/>
      <c r="C124" s="3291"/>
      <c r="D124" s="2087" t="s">
        <v>2794</v>
      </c>
      <c r="E124" s="2087" t="s">
        <v>2799</v>
      </c>
      <c r="F124" s="2087" t="s">
        <v>2794</v>
      </c>
      <c r="G124" s="2087" t="s">
        <v>2795</v>
      </c>
      <c r="H124" s="2087" t="s">
        <v>2794</v>
      </c>
      <c r="I124" s="52" t="s">
        <v>2795</v>
      </c>
      <c r="J124" s="2840"/>
      <c r="K124" s="659"/>
      <c r="L124" s="659"/>
      <c r="M124" s="659"/>
      <c r="N124" s="659"/>
      <c r="O124" s="659"/>
      <c r="P124" s="659"/>
      <c r="Q124" s="659"/>
      <c r="R124" s="659"/>
      <c r="S124" s="659"/>
      <c r="T124" s="659"/>
      <c r="U124" s="659"/>
      <c r="V124" s="659"/>
      <c r="W124" s="659"/>
      <c r="X124" s="659"/>
      <c r="Y124" s="659"/>
      <c r="Z124" s="659"/>
      <c r="AA124" s="659"/>
    </row>
    <row r="125" spans="1:27" s="1306" customFormat="1" ht="12.75">
      <c r="A125" s="2077" t="str">
        <f>项目基本情况!I1</f>
        <v>北京市房地产</v>
      </c>
      <c r="B125" s="2087">
        <f>典型户型修正!B25</f>
        <v>732.34</v>
      </c>
      <c r="C125" s="1452"/>
      <c r="D125" s="2087">
        <f>C36</f>
        <v>0</v>
      </c>
      <c r="E125" s="2087">
        <f>ROUND(IF(H19="元",D125/B125,D125*10000/B125),0)</f>
        <v>0</v>
      </c>
      <c r="F125" s="2087">
        <f>C37</f>
        <v>0</v>
      </c>
      <c r="G125" s="2087">
        <f>ROUND(IF(H19="元",F125/B125,F125*10000/B125),0)</f>
        <v>0</v>
      </c>
      <c r="H125" s="2087">
        <f ca="1">C34</f>
        <v>63992968</v>
      </c>
      <c r="I125" s="52">
        <f ca="1">C35</f>
        <v>873815004</v>
      </c>
      <c r="J125" s="2840"/>
      <c r="K125" s="659"/>
      <c r="L125" s="659"/>
      <c r="M125" s="659"/>
      <c r="N125" s="659"/>
      <c r="O125" s="659"/>
      <c r="P125" s="659"/>
      <c r="Q125" s="659"/>
      <c r="R125" s="659"/>
      <c r="S125" s="659"/>
      <c r="T125" s="659"/>
      <c r="U125" s="659"/>
      <c r="V125" s="659"/>
      <c r="W125" s="659"/>
      <c r="X125" s="659"/>
      <c r="Y125" s="659"/>
      <c r="Z125" s="659"/>
      <c r="AA125" s="659"/>
    </row>
    <row r="126" spans="1:27" s="1306" customFormat="1" ht="12.75">
      <c r="A126" s="3292" t="s">
        <v>2796</v>
      </c>
      <c r="B126" s="3288"/>
      <c r="C126" s="3288"/>
      <c r="D126" s="3323" t="str">
        <f>IF(H19="元",NUMBERSTRING(INT(D125),2)&amp;"元整",NUMBERSTRING(INT(D125*10000),2)&amp;"元整")</f>
        <v>零元整</v>
      </c>
      <c r="E126" s="3324"/>
      <c r="F126" s="3323" t="str">
        <f>IF(H19="元",NUMBERSTRING(INT(F125),2)&amp;"元整",NUMBERSTRING(INT(F125*10000),2)&amp;"元整")</f>
        <v>零元整</v>
      </c>
      <c r="G126" s="3324"/>
      <c r="H126" s="3323" t="str">
        <f ca="1">IF(H19="元",NUMBERSTRING(INT(H125),2)&amp;"元整",NUMBERSTRING(INT(H125*10000),2)&amp;"元整")</f>
        <v>陆仟叁佰玖拾玖万贰仟玖佰陆拾捌元整</v>
      </c>
      <c r="I126" s="3372"/>
      <c r="J126" s="2863"/>
      <c r="K126" s="659"/>
      <c r="L126" s="659"/>
      <c r="M126" s="659"/>
      <c r="N126" s="659"/>
      <c r="O126" s="659"/>
      <c r="P126" s="659"/>
      <c r="Q126" s="659"/>
      <c r="R126" s="659"/>
      <c r="S126" s="659"/>
      <c r="T126" s="659"/>
      <c r="U126" s="659"/>
      <c r="V126" s="659"/>
      <c r="W126" s="659"/>
      <c r="X126" s="659"/>
      <c r="Y126" s="659"/>
      <c r="Z126" s="659"/>
      <c r="AA126" s="659"/>
    </row>
    <row r="127" spans="1:27" s="1306" customFormat="1" ht="12.75">
      <c r="A127" s="3312" t="str">
        <f>IF(项目基本情况!D5="房地产市场价值","——",MID(A112,3,LEN(A112)-2))</f>
        <v>——</v>
      </c>
      <c r="B127" s="3325"/>
      <c r="C127" s="3314"/>
      <c r="D127" s="3316">
        <f>I107</f>
        <v>0</v>
      </c>
      <c r="E127" s="3325"/>
      <c r="F127" s="3325"/>
      <c r="G127" s="3325"/>
      <c r="H127" s="3325"/>
      <c r="I127" s="3313"/>
      <c r="J127" s="2856"/>
      <c r="K127" s="659"/>
      <c r="L127" s="659"/>
      <c r="M127" s="659"/>
      <c r="N127" s="659"/>
      <c r="O127" s="659"/>
      <c r="P127" s="659"/>
      <c r="Q127" s="659"/>
      <c r="R127" s="659"/>
      <c r="S127" s="659"/>
      <c r="T127" s="659"/>
      <c r="U127" s="659"/>
      <c r="V127" s="659"/>
      <c r="W127" s="659"/>
      <c r="X127" s="659"/>
      <c r="Y127" s="659"/>
      <c r="Z127" s="659"/>
      <c r="AA127" s="659"/>
    </row>
    <row r="128" spans="1:27" s="1306" customFormat="1" ht="12.75">
      <c r="A128" s="3326" t="s">
        <v>2796</v>
      </c>
      <c r="B128" s="3327"/>
      <c r="C128" s="3328"/>
      <c r="D128" s="3364">
        <f>H111</f>
        <v>0</v>
      </c>
      <c r="E128" s="3365"/>
      <c r="F128" s="3365"/>
      <c r="G128" s="3365"/>
      <c r="H128" s="3365"/>
      <c r="I128" s="3366"/>
      <c r="J128" s="2864"/>
      <c r="K128" s="659"/>
      <c r="L128" s="659"/>
      <c r="M128" s="659"/>
      <c r="N128" s="659"/>
      <c r="O128" s="659"/>
      <c r="P128" s="659"/>
      <c r="Q128" s="659"/>
      <c r="R128" s="659"/>
      <c r="S128" s="659"/>
      <c r="T128" s="659"/>
      <c r="U128" s="659"/>
      <c r="V128" s="659"/>
      <c r="W128" s="659"/>
      <c r="X128" s="659"/>
      <c r="Y128" s="659"/>
      <c r="Z128" s="659"/>
      <c r="AA128" s="659"/>
    </row>
    <row r="129" spans="1:27" s="1306" customFormat="1" ht="12.75">
      <c r="A129" s="3299" t="str">
        <f>IF(项目基本情况!D5="房地产市场价值","——",MID(A116,3,LEN(A116)-2))</f>
        <v>——</v>
      </c>
      <c r="B129" s="3300"/>
      <c r="C129" s="3300"/>
      <c r="D129" s="3316">
        <f ca="1">I112</f>
        <v>63992968</v>
      </c>
      <c r="E129" s="3325"/>
      <c r="F129" s="3325"/>
      <c r="G129" s="3325"/>
      <c r="H129" s="3325"/>
      <c r="I129" s="3313"/>
      <c r="J129" s="2856"/>
      <c r="K129" s="659"/>
      <c r="L129" s="659"/>
      <c r="M129" s="659"/>
      <c r="N129" s="659"/>
      <c r="O129" s="659"/>
      <c r="P129" s="659"/>
      <c r="Q129" s="659"/>
      <c r="R129" s="659"/>
      <c r="S129" s="659"/>
      <c r="T129" s="659"/>
      <c r="U129" s="659"/>
      <c r="V129" s="659"/>
      <c r="W129" s="659"/>
      <c r="X129" s="659"/>
      <c r="Y129" s="659"/>
      <c r="Z129" s="659"/>
      <c r="AA129" s="659"/>
    </row>
    <row r="130" spans="1:27" s="1306" customFormat="1" ht="12.75">
      <c r="A130" s="3292" t="s">
        <v>2796</v>
      </c>
      <c r="B130" s="3288"/>
      <c r="C130" s="3288"/>
      <c r="D130" s="3364">
        <f ca="1">I113</f>
        <v>873815004</v>
      </c>
      <c r="E130" s="3365"/>
      <c r="F130" s="3365"/>
      <c r="G130" s="3365"/>
      <c r="H130" s="3365"/>
      <c r="I130" s="3366"/>
      <c r="J130" s="2864"/>
      <c r="K130" s="659"/>
      <c r="L130" s="659"/>
      <c r="M130" s="659"/>
      <c r="N130" s="659"/>
      <c r="O130" s="659"/>
      <c r="P130" s="659"/>
      <c r="Q130" s="659"/>
      <c r="R130" s="659"/>
      <c r="S130" s="659"/>
      <c r="T130" s="659"/>
      <c r="U130" s="659"/>
      <c r="V130" s="659"/>
      <c r="W130" s="659"/>
      <c r="X130" s="659"/>
      <c r="Y130" s="659"/>
      <c r="Z130" s="659"/>
      <c r="AA130" s="659"/>
    </row>
    <row r="131" spans="1:27" s="1306" customFormat="1" ht="13.5" thickBot="1">
      <c r="A131" s="3299" t="str">
        <f>IF(项目基本情况!D5="房地产市场价值","——",MID(A118,3,LEN(A118)-2))</f>
        <v>——</v>
      </c>
      <c r="B131" s="3300"/>
      <c r="C131" s="3300"/>
      <c r="D131" s="3272" t="str">
        <f>I114</f>
        <v>——</v>
      </c>
      <c r="E131" s="3273"/>
      <c r="F131" s="3273"/>
      <c r="G131" s="3273"/>
      <c r="H131" s="3273"/>
      <c r="I131" s="3274"/>
      <c r="J131" s="2856"/>
      <c r="K131" s="659"/>
      <c r="L131" s="659"/>
      <c r="M131" s="659"/>
      <c r="N131" s="659"/>
      <c r="O131" s="659"/>
      <c r="P131" s="659"/>
      <c r="Q131" s="659"/>
      <c r="R131" s="659"/>
      <c r="S131" s="659"/>
      <c r="T131" s="659"/>
      <c r="U131" s="659"/>
      <c r="V131" s="659"/>
      <c r="W131" s="659"/>
      <c r="X131" s="659"/>
      <c r="Y131" s="659"/>
      <c r="Z131" s="659"/>
      <c r="AA131" s="659"/>
    </row>
    <row r="132" spans="1:27" s="1306" customFormat="1" ht="14.25" thickTop="1" thickBot="1">
      <c r="A132" s="3292" t="s">
        <v>2796</v>
      </c>
      <c r="B132" s="3288"/>
      <c r="C132" s="3339"/>
      <c r="D132" s="3317" t="str">
        <f>I115</f>
        <v>——</v>
      </c>
      <c r="E132" s="3317"/>
      <c r="F132" s="3317"/>
      <c r="G132" s="3317"/>
      <c r="H132" s="3317"/>
      <c r="I132" s="3317"/>
      <c r="J132" s="2864"/>
      <c r="K132" s="659"/>
      <c r="L132" s="659"/>
      <c r="M132" s="659"/>
      <c r="N132" s="659"/>
      <c r="O132" s="659"/>
      <c r="P132" s="659"/>
      <c r="Q132" s="659"/>
      <c r="R132" s="659"/>
      <c r="S132" s="659"/>
      <c r="T132" s="659"/>
      <c r="U132" s="659"/>
      <c r="V132" s="659"/>
      <c r="W132" s="659"/>
      <c r="X132" s="659"/>
      <c r="Y132" s="659"/>
      <c r="Z132" s="659"/>
      <c r="AA132" s="659"/>
    </row>
    <row r="133" spans="1:27" s="1306" customFormat="1" ht="14.25" thickTop="1" thickBot="1">
      <c r="A133" s="3299" t="str">
        <f>IF(项目基本情况!D5="房地产市场价值","——",MID(F116,3,LEN(F116)-2))</f>
        <v>——</v>
      </c>
      <c r="B133" s="3300"/>
      <c r="C133" s="3316"/>
      <c r="D133" s="3367" t="str">
        <f>I116</f>
        <v>——</v>
      </c>
      <c r="E133" s="3367"/>
      <c r="F133" s="3367"/>
      <c r="G133" s="3367"/>
      <c r="H133" s="3367"/>
      <c r="I133" s="3367"/>
      <c r="J133" s="2856"/>
      <c r="K133" s="659"/>
      <c r="L133" s="659"/>
      <c r="M133" s="659"/>
      <c r="N133" s="659"/>
      <c r="O133" s="659"/>
      <c r="P133" s="659"/>
      <c r="Q133" s="659"/>
      <c r="R133" s="659"/>
      <c r="S133" s="659"/>
      <c r="T133" s="659"/>
      <c r="U133" s="659"/>
      <c r="V133" s="659"/>
      <c r="W133" s="659"/>
      <c r="X133" s="659"/>
      <c r="Y133" s="659"/>
      <c r="Z133" s="659"/>
      <c r="AA133" s="659"/>
    </row>
    <row r="134" spans="1:27" s="1306" customFormat="1" ht="14.25" thickTop="1" thickBot="1">
      <c r="A134" s="3355" t="s">
        <v>2796</v>
      </c>
      <c r="B134" s="3356"/>
      <c r="C134" s="3356"/>
      <c r="D134" s="3373">
        <f>H118</f>
        <v>0</v>
      </c>
      <c r="E134" s="3374"/>
      <c r="F134" s="3374"/>
      <c r="G134" s="3374"/>
      <c r="H134" s="3374"/>
      <c r="I134" s="3375"/>
      <c r="J134" s="2864"/>
      <c r="K134" s="659"/>
      <c r="L134" s="659"/>
      <c r="M134" s="659"/>
      <c r="N134" s="659"/>
      <c r="O134" s="659"/>
      <c r="P134" s="659"/>
      <c r="Q134" s="659"/>
      <c r="R134" s="659"/>
      <c r="S134" s="659"/>
      <c r="T134" s="659"/>
      <c r="U134" s="659"/>
      <c r="V134" s="659"/>
      <c r="W134" s="659"/>
      <c r="X134" s="659"/>
      <c r="Y134" s="659"/>
      <c r="Z134" s="659"/>
      <c r="AA134" s="659"/>
    </row>
    <row r="135" spans="1:27" s="1306" customFormat="1" ht="12.75">
      <c r="A135" s="1477" t="str">
        <f>IF(H19="元","单位：平方米、元、元/平方米（币种：人民币）","单位：平方米、万元、元/平方米（币种：人民币）")</f>
        <v>单位：平方米、元、元/平方米（币种：人民币）</v>
      </c>
      <c r="B135" s="1477"/>
      <c r="C135" s="1477"/>
      <c r="D135" s="1477"/>
      <c r="E135" s="1477"/>
      <c r="F135" s="1477"/>
      <c r="G135" s="1477"/>
      <c r="H135" s="1477"/>
      <c r="I135" s="1477"/>
      <c r="J135" s="2865"/>
      <c r="K135" s="659"/>
      <c r="L135" s="659"/>
      <c r="M135" s="659"/>
      <c r="N135" s="659"/>
      <c r="O135" s="659"/>
      <c r="P135" s="659"/>
      <c r="Q135" s="659"/>
      <c r="R135" s="659"/>
      <c r="S135" s="659"/>
      <c r="T135" s="659"/>
      <c r="U135" s="659"/>
      <c r="V135" s="659"/>
      <c r="W135" s="659"/>
      <c r="X135" s="659"/>
      <c r="Y135" s="659"/>
      <c r="Z135" s="659"/>
      <c r="AA135" s="659"/>
    </row>
    <row r="136" spans="1:27" s="1306" customFormat="1" ht="13.5" thickBot="1">
      <c r="A136" s="3360" t="str">
        <f>IF(B33="总价","（以上估价结果中楼面单价为总价除以建筑面积得出）","（以上估价结果中总价为楼面单价乘以建筑面积得出）")</f>
        <v>（以上估价结果中总价为楼面单价乘以建筑面积得出）</v>
      </c>
      <c r="B136" s="3360"/>
      <c r="C136" s="3360"/>
      <c r="D136" s="3360"/>
      <c r="E136" s="3360"/>
      <c r="F136" s="3360"/>
      <c r="G136" s="3360"/>
      <c r="H136" s="3360"/>
      <c r="I136" s="3360"/>
      <c r="J136" s="2858"/>
      <c r="K136" s="659"/>
      <c r="L136" s="659"/>
      <c r="M136" s="659"/>
      <c r="N136" s="659"/>
      <c r="O136" s="659"/>
      <c r="P136" s="659"/>
      <c r="Q136" s="659"/>
      <c r="R136" s="659"/>
      <c r="S136" s="659"/>
      <c r="T136" s="659"/>
      <c r="U136" s="659"/>
      <c r="V136" s="659"/>
      <c r="W136" s="659"/>
      <c r="X136" s="659"/>
      <c r="Y136" s="659"/>
      <c r="Z136" s="659"/>
      <c r="AA136" s="659"/>
    </row>
    <row r="137" spans="1:27" s="1306" customFormat="1" ht="21.75" customHeight="1">
      <c r="A137" s="1487" t="s">
        <v>1875</v>
      </c>
      <c r="B137" s="1488"/>
      <c r="C137" s="1489" t="s">
        <v>1876</v>
      </c>
      <c r="D137" s="1490"/>
      <c r="E137" s="1490"/>
      <c r="F137" s="1490"/>
      <c r="G137" s="1490"/>
      <c r="H137" s="1491"/>
      <c r="I137" s="1492"/>
      <c r="J137" s="2866"/>
      <c r="K137" s="659"/>
      <c r="L137" s="659"/>
      <c r="M137" s="659"/>
      <c r="N137" s="659"/>
      <c r="O137" s="659"/>
      <c r="P137" s="659"/>
      <c r="Q137" s="659"/>
      <c r="R137" s="659"/>
      <c r="S137" s="659"/>
      <c r="T137" s="659"/>
      <c r="U137" s="659"/>
      <c r="V137" s="659"/>
      <c r="W137" s="659"/>
      <c r="X137" s="659"/>
      <c r="Y137" s="659"/>
      <c r="Z137" s="659"/>
      <c r="AA137" s="659"/>
    </row>
    <row r="138" spans="1:27" s="1306" customFormat="1" ht="21.75" customHeight="1">
      <c r="A138" s="1493">
        <v>1</v>
      </c>
      <c r="B138" s="1494"/>
      <c r="C138" s="1494"/>
      <c r="D138" s="1490"/>
      <c r="E138" s="1490"/>
      <c r="F138" s="1490"/>
      <c r="G138" s="1490"/>
      <c r="H138" s="1491"/>
      <c r="I138" s="1492"/>
      <c r="J138" s="2866"/>
      <c r="K138" s="659"/>
      <c r="L138" s="659"/>
      <c r="M138" s="659"/>
      <c r="N138" s="659"/>
      <c r="O138" s="659"/>
      <c r="P138" s="659"/>
      <c r="Q138" s="659"/>
      <c r="R138" s="659"/>
      <c r="S138" s="659"/>
      <c r="T138" s="659"/>
      <c r="U138" s="659"/>
      <c r="V138" s="659"/>
      <c r="W138" s="659"/>
      <c r="X138" s="659"/>
      <c r="Y138" s="659"/>
      <c r="Z138" s="659"/>
      <c r="AA138" s="659"/>
    </row>
    <row r="139" spans="1:27" s="1306" customFormat="1" ht="21.75" customHeight="1">
      <c r="A139" s="1493">
        <v>2</v>
      </c>
      <c r="B139" s="1494"/>
      <c r="C139" s="1494"/>
      <c r="D139" s="1490"/>
      <c r="E139" s="1490"/>
      <c r="F139" s="1490"/>
      <c r="G139" s="1490"/>
      <c r="H139" s="1491"/>
      <c r="I139" s="1492"/>
      <c r="J139" s="2866"/>
      <c r="K139" s="659"/>
      <c r="L139" s="659"/>
      <c r="M139" s="659"/>
      <c r="N139" s="659"/>
      <c r="O139" s="659"/>
      <c r="P139" s="659"/>
      <c r="Q139" s="659"/>
      <c r="R139" s="659"/>
      <c r="S139" s="659"/>
      <c r="T139" s="659"/>
      <c r="U139" s="659"/>
      <c r="V139" s="659"/>
      <c r="W139" s="659"/>
      <c r="X139" s="659"/>
      <c r="Y139" s="659"/>
      <c r="Z139" s="659"/>
      <c r="AA139" s="659"/>
    </row>
    <row r="140" spans="1:27" s="1306" customFormat="1" ht="21.75" customHeight="1">
      <c r="A140" s="1493">
        <v>3</v>
      </c>
      <c r="B140" s="1494"/>
      <c r="C140" s="1494"/>
      <c r="D140" s="1490"/>
      <c r="E140" s="1490"/>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6" customFormat="1" ht="21.75" customHeight="1">
      <c r="A141" s="1495"/>
      <c r="B141" s="1496"/>
      <c r="C141" s="1496"/>
      <c r="D141" s="1497"/>
      <c r="E141" s="1497"/>
      <c r="F141" s="1497"/>
      <c r="G141" s="1497"/>
      <c r="H141" s="1498"/>
      <c r="I141" s="1499"/>
      <c r="J141" s="2866"/>
      <c r="K141" s="659"/>
      <c r="L141" s="659"/>
      <c r="M141" s="659"/>
      <c r="N141" s="659"/>
      <c r="O141" s="659"/>
      <c r="P141" s="659"/>
      <c r="Q141" s="659"/>
      <c r="R141" s="659"/>
      <c r="S141" s="659"/>
      <c r="T141" s="659"/>
      <c r="U141" s="659"/>
      <c r="V141" s="659"/>
      <c r="W141" s="659"/>
      <c r="X141" s="659"/>
      <c r="Y141" s="659"/>
      <c r="Z141" s="659"/>
      <c r="AA141" s="659"/>
    </row>
    <row r="142" spans="1:27" s="1306" customFormat="1" ht="21.75" customHeight="1">
      <c r="A142" s="1494"/>
      <c r="B142" s="1494"/>
      <c r="C142" s="1494"/>
      <c r="D142" s="1490"/>
      <c r="E142" s="1490"/>
      <c r="F142" s="1490"/>
      <c r="G142" s="1490"/>
      <c r="H142" s="1491"/>
      <c r="I142" s="659"/>
      <c r="J142" s="2867"/>
      <c r="K142" s="659"/>
      <c r="L142" s="659"/>
      <c r="M142" s="659"/>
      <c r="N142" s="659"/>
      <c r="O142" s="659"/>
      <c r="P142" s="659"/>
      <c r="Q142" s="659"/>
      <c r="R142" s="659"/>
      <c r="S142" s="659"/>
      <c r="T142" s="659"/>
      <c r="U142" s="659"/>
      <c r="V142" s="659"/>
      <c r="W142" s="659"/>
      <c r="X142" s="659"/>
      <c r="Y142" s="659"/>
      <c r="Z142" s="659"/>
      <c r="AA142" s="659"/>
    </row>
    <row r="143" spans="1:27" s="1306" customFormat="1" ht="21.75" customHeight="1">
      <c r="A143" s="659"/>
      <c r="B143" s="659"/>
      <c r="C143" s="659"/>
      <c r="D143" s="659"/>
      <c r="E143" s="659"/>
      <c r="F143" s="1500" t="s">
        <v>1877</v>
      </c>
      <c r="G143" s="1501"/>
      <c r="H143" s="1501"/>
      <c r="I143" s="1502" t="s">
        <v>1878</v>
      </c>
      <c r="J143" s="2868"/>
      <c r="K143" s="659"/>
      <c r="L143" s="659"/>
      <c r="M143" s="659"/>
      <c r="N143" s="659"/>
      <c r="O143" s="659"/>
      <c r="P143" s="659"/>
      <c r="Q143" s="659"/>
      <c r="R143" s="659"/>
      <c r="S143" s="659"/>
      <c r="T143" s="659"/>
      <c r="U143" s="659"/>
      <c r="V143" s="659"/>
      <c r="W143" s="659"/>
      <c r="X143" s="659"/>
      <c r="Y143" s="659"/>
      <c r="Z143" s="659"/>
      <c r="AA143" s="659"/>
    </row>
    <row r="144" spans="1:27" s="1306" customFormat="1" ht="21.75" customHeight="1">
      <c r="A144" s="659"/>
      <c r="B144" s="1503" t="s">
        <v>1879</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6"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6" customFormat="1" ht="21.75" customHeight="1">
      <c r="A146" s="659"/>
      <c r="B146" s="1501"/>
      <c r="C146" s="1501"/>
      <c r="D146" s="1501"/>
      <c r="E146" s="1501"/>
      <c r="F146" s="1501"/>
      <c r="G146" s="1501"/>
      <c r="H146" s="1501"/>
      <c r="I146" s="1502" t="s">
        <v>1880</v>
      </c>
      <c r="J146" s="2868"/>
      <c r="K146" s="659"/>
      <c r="L146" s="659"/>
      <c r="M146" s="659"/>
      <c r="N146" s="659"/>
      <c r="O146" s="659"/>
      <c r="P146" s="659"/>
      <c r="Q146" s="659"/>
      <c r="R146" s="659"/>
      <c r="S146" s="659"/>
      <c r="T146" s="659"/>
      <c r="U146" s="659"/>
      <c r="V146" s="659"/>
      <c r="W146" s="659"/>
      <c r="X146" s="659"/>
      <c r="Y146" s="659"/>
      <c r="Z146" s="659"/>
      <c r="AA146" s="659"/>
    </row>
    <row r="147" spans="1:27" s="1306" customFormat="1" ht="21.75" customHeight="1">
      <c r="A147" s="659"/>
      <c r="B147" s="1503" t="s">
        <v>1881</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6" customFormat="1" ht="21.75" customHeight="1">
      <c r="A148" s="659"/>
      <c r="B148" s="1503"/>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6" customFormat="1" ht="21.75" customHeight="1">
      <c r="A149" s="659"/>
      <c r="B149" s="1501"/>
      <c r="C149" s="1501"/>
      <c r="D149" s="1501"/>
      <c r="E149" s="1501"/>
      <c r="F149" s="1501"/>
      <c r="G149" s="1501"/>
      <c r="H149" s="1501"/>
      <c r="I149" s="1502" t="s">
        <v>1880</v>
      </c>
      <c r="J149" s="2868"/>
      <c r="K149" s="659"/>
      <c r="L149" s="659"/>
      <c r="M149" s="659"/>
      <c r="N149" s="659"/>
      <c r="O149" s="659"/>
      <c r="P149" s="659"/>
      <c r="Q149" s="659"/>
      <c r="R149" s="659"/>
      <c r="S149" s="659"/>
      <c r="T149" s="659"/>
      <c r="U149" s="659"/>
      <c r="V149" s="659"/>
      <c r="W149" s="659"/>
      <c r="X149" s="659"/>
      <c r="Y149" s="659"/>
      <c r="Z149" s="659"/>
      <c r="AA149" s="659"/>
    </row>
    <row r="150" spans="1:27" s="1306" customFormat="1" ht="21.75" customHeight="1">
      <c r="A150" s="659"/>
      <c r="B150" s="1503"/>
      <c r="C150" s="1504"/>
      <c r="D150" s="1505"/>
      <c r="E150" s="1505"/>
      <c r="F150" s="1506"/>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3"/>
      <c r="C151" s="1504"/>
      <c r="D151" s="1505"/>
      <c r="E151" s="1505"/>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6"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6"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6"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6"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6"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6"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6"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6"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6"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6"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6"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6"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6"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6"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6"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6"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6"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6"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6"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6"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6"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6"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6"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6"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6"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6"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6"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6"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6"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6"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6"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6"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6"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6"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6"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6"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6"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6"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6"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6"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6"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6"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6"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6"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6"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6"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6"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6"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6"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6"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6"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6"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6"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6"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6"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6"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6"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6"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6"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6"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6"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6"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6"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6"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6"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6"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6"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6"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6"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6"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6"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6"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6"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6"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6"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6"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6"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6"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6"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6"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6"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6"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6"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6"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6"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6"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6"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6"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6"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6"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6"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6"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6"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6"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6"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6"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6"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6"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6"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6"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6"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6"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6"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6"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6"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6"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6"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6"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6"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6"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6"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6"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6"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6"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6"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6"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6"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6"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6"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6"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6"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6"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6"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6"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6"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6"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6"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6"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6"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6"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6"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6"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6"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6"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6"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6"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6"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6" customFormat="1" ht="21.75" customHeight="1">
      <c r="F520" s="1458"/>
      <c r="G520" s="1458"/>
      <c r="H520" s="1458"/>
      <c r="I520" s="1458"/>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zoomScale="60" zoomScaleNormal="70" workbookViewId="0">
      <selection activeCell="A17" sqref="A17"/>
    </sheetView>
  </sheetViews>
  <sheetFormatPr defaultColWidth="9" defaultRowHeight="14.25"/>
  <cols>
    <col min="1" max="1" width="10.5" style="1663" customWidth="1"/>
    <col min="2" max="2" width="15.75" style="1663" customWidth="1"/>
    <col min="3" max="3" width="15.125" style="1663" customWidth="1"/>
    <col min="4" max="4" width="12.25" style="1663" customWidth="1"/>
    <col min="5" max="5" width="14.375" style="1663" customWidth="1"/>
    <col min="6" max="6" width="12.25" style="1663" customWidth="1"/>
    <col min="7" max="7" width="14.5" style="1663" customWidth="1"/>
    <col min="8" max="8" width="12.25" style="1663" customWidth="1"/>
    <col min="9" max="9" width="14.5" style="1663" customWidth="1"/>
    <col min="10" max="10" width="12.25" style="1663" customWidth="1"/>
    <col min="11" max="11" width="12.25" style="1905" customWidth="1"/>
    <col min="12" max="12" width="12.25" style="1906" customWidth="1"/>
    <col min="13" max="15" width="12.25" style="1663" customWidth="1"/>
    <col min="16" max="16" width="4.75" style="1802" customWidth="1"/>
    <col min="17" max="17" width="19.5" style="1663" customWidth="1"/>
    <col min="18" max="22" width="6.125" style="1663" customWidth="1"/>
    <col min="23" max="23" width="5.75" style="1663" customWidth="1"/>
    <col min="24" max="24" width="4.25" style="1663" customWidth="1"/>
    <col min="25" max="25" width="3.5" style="1663" customWidth="1"/>
    <col min="26" max="26" width="19.75" style="1663" customWidth="1"/>
    <col min="27" max="28" width="9.375" style="1663" customWidth="1"/>
    <col min="29" max="16384" width="9" style="1663"/>
  </cols>
  <sheetData>
    <row r="1" spans="1:29" s="1644" customFormat="1" ht="28.5" customHeight="1" thickBot="1">
      <c r="A1" s="1633" t="s">
        <v>2239</v>
      </c>
      <c r="B1" s="1634" t="s">
        <v>2240</v>
      </c>
      <c r="C1" s="1635" t="s">
        <v>2913</v>
      </c>
      <c r="D1" s="1636"/>
      <c r="E1" s="1637" t="s">
        <v>2743</v>
      </c>
      <c r="F1" s="1638" t="s">
        <v>2241</v>
      </c>
      <c r="G1" s="1634"/>
      <c r="H1" s="1634"/>
      <c r="I1" s="1634"/>
      <c r="J1" s="1634"/>
      <c r="K1" s="1639"/>
      <c r="L1" s="1640"/>
      <c r="M1" s="1634"/>
      <c r="N1" s="1634"/>
      <c r="O1" s="1634"/>
      <c r="P1" s="1641"/>
      <c r="Q1" s="1642"/>
      <c r="R1" s="1642"/>
      <c r="S1" s="1642"/>
      <c r="T1" s="1642"/>
      <c r="U1" s="1642"/>
      <c r="V1" s="1642"/>
      <c r="W1" s="1642"/>
      <c r="X1" s="1642"/>
      <c r="Y1" s="1642"/>
      <c r="Z1" s="1642"/>
      <c r="AA1" s="1642"/>
      <c r="AB1" s="1642"/>
      <c r="AC1" s="1643"/>
    </row>
    <row r="2" spans="1:29" s="277" customFormat="1" ht="28.5" customHeight="1" thickTop="1">
      <c r="A2" s="1645" t="s">
        <v>1914</v>
      </c>
      <c r="B2" s="1646">
        <f>IF(D2="——",IF(C2="元",ROUND(C49*D3,0),ROUND(C49*D3/10000,0)),IF(C2="元",ROUND(C49*D3,0),ROUND(C49*D3/10000,0))-E2)</f>
        <v>34303904</v>
      </c>
      <c r="C2" s="1647" t="str">
        <f>'数据-取费表'!B3</f>
        <v>元</v>
      </c>
      <c r="D2" s="1648" t="s">
        <v>1241</v>
      </c>
      <c r="E2" s="1649" t="e">
        <f ca="1">SUMIF(INDIRECT("'"&amp;G2&amp;"'"&amp;"!A:A"),"承租人权益价值",INDIRECT("'"&amp;G2&amp;"'"&amp;"!c:c"))</f>
        <v>#REF!</v>
      </c>
      <c r="F2" s="1650" t="str">
        <f>C2</f>
        <v>元</v>
      </c>
      <c r="G2" s="1651"/>
      <c r="H2" s="2987"/>
      <c r="I2" s="2987"/>
      <c r="J2" s="2987"/>
      <c r="K2" s="2988"/>
      <c r="L2" s="2989"/>
      <c r="M2" s="2987"/>
      <c r="N2" s="2987"/>
      <c r="O2" s="2987"/>
      <c r="P2" s="1652"/>
      <c r="Q2" s="1653"/>
      <c r="R2" s="1653"/>
      <c r="S2" s="1653"/>
      <c r="T2" s="1653"/>
      <c r="U2" s="1653"/>
      <c r="V2" s="1653"/>
      <c r="W2" s="1653"/>
      <c r="X2" s="1653"/>
      <c r="Y2" s="1653"/>
      <c r="Z2" s="1653"/>
      <c r="AA2" s="1653"/>
      <c r="AB2" s="1653"/>
      <c r="AC2" s="1654"/>
    </row>
    <row r="3" spans="1:29" s="277" customFormat="1" ht="28.5" customHeight="1" thickBot="1">
      <c r="A3" s="1655" t="s">
        <v>1915</v>
      </c>
      <c r="B3" s="1656">
        <f>ROUND(IF(D2="——",C49,IF(C2="万元",B2*10000/D3,B2/D3)),0)</f>
        <v>93683</v>
      </c>
      <c r="C3" s="1656" t="s">
        <v>2242</v>
      </c>
      <c r="D3" s="1656">
        <f>IF(C1="仅计算典型户型",'数据-取费表'!E5,'数据-取费表'!B5)</f>
        <v>366.17</v>
      </c>
      <c r="E3" s="2987"/>
      <c r="F3" s="2990"/>
      <c r="G3" s="2987"/>
      <c r="H3" s="2987"/>
      <c r="I3" s="2987"/>
      <c r="J3" s="2987"/>
      <c r="K3" s="2988"/>
      <c r="L3" s="2989"/>
      <c r="M3" s="2987"/>
      <c r="N3" s="2987"/>
      <c r="O3" s="2987"/>
      <c r="P3" s="1657"/>
      <c r="Q3" s="1653"/>
      <c r="R3" s="1653"/>
      <c r="S3" s="1653"/>
      <c r="T3" s="1653"/>
      <c r="U3" s="1653"/>
      <c r="V3" s="1653"/>
      <c r="W3" s="1653"/>
      <c r="X3" s="1653"/>
      <c r="Y3" s="1653"/>
      <c r="Z3" s="1653"/>
      <c r="AA3" s="1653"/>
      <c r="AB3" s="1653"/>
      <c r="AC3" s="1658"/>
    </row>
    <row r="4" spans="1:29" ht="15">
      <c r="A4" s="1659" t="s">
        <v>2243</v>
      </c>
      <c r="B4" s="1660"/>
      <c r="C4" s="3408" t="s">
        <v>2244</v>
      </c>
      <c r="D4" s="3409"/>
      <c r="E4" s="3410" t="s">
        <v>2245</v>
      </c>
      <c r="F4" s="3411"/>
      <c r="G4" s="3408" t="s">
        <v>2246</v>
      </c>
      <c r="H4" s="3409"/>
      <c r="I4" s="3408" t="s">
        <v>2247</v>
      </c>
      <c r="J4" s="3409"/>
      <c r="K4" s="1661" t="s">
        <v>2248</v>
      </c>
      <c r="L4" s="2991"/>
      <c r="M4" s="2992"/>
      <c r="N4" s="2992"/>
      <c r="O4" s="2992"/>
      <c r="P4" s="3412" t="s">
        <v>2249</v>
      </c>
      <c r="Q4" s="3413"/>
      <c r="R4" s="3418" t="s">
        <v>2245</v>
      </c>
      <c r="S4" s="3419"/>
      <c r="T4" s="3418" t="s">
        <v>2246</v>
      </c>
      <c r="U4" s="3419"/>
      <c r="V4" s="3424" t="s">
        <v>2247</v>
      </c>
      <c r="W4" s="3424"/>
      <c r="X4" s="1662"/>
      <c r="Y4" s="3418" t="s">
        <v>2249</v>
      </c>
      <c r="Z4" s="3419"/>
      <c r="AA4" s="3405" t="s">
        <v>2245</v>
      </c>
      <c r="AB4" s="3405" t="s">
        <v>2246</v>
      </c>
      <c r="AC4" s="3405" t="s">
        <v>2247</v>
      </c>
    </row>
    <row r="5" spans="1:29" ht="15">
      <c r="A5" s="1664"/>
      <c r="B5" s="1665"/>
      <c r="C5" s="3427" t="s">
        <v>2250</v>
      </c>
      <c r="D5" s="3428"/>
      <c r="E5" s="3425" t="s">
        <v>2921</v>
      </c>
      <c r="F5" s="3426"/>
      <c r="G5" s="3431" t="s">
        <v>2922</v>
      </c>
      <c r="H5" s="3428"/>
      <c r="I5" s="3431" t="s">
        <v>2922</v>
      </c>
      <c r="J5" s="3428"/>
      <c r="K5" s="1666"/>
      <c r="L5" s="2991"/>
      <c r="M5" s="2992"/>
      <c r="N5" s="2992"/>
      <c r="O5" s="2992"/>
      <c r="P5" s="3414"/>
      <c r="Q5" s="3415"/>
      <c r="R5" s="3420"/>
      <c r="S5" s="3421"/>
      <c r="T5" s="3420"/>
      <c r="U5" s="3421"/>
      <c r="V5" s="3424"/>
      <c r="W5" s="3424"/>
      <c r="X5" s="1662"/>
      <c r="Y5" s="3420"/>
      <c r="Z5" s="3421"/>
      <c r="AA5" s="3406"/>
      <c r="AB5" s="3406"/>
      <c r="AC5" s="3406"/>
    </row>
    <row r="6" spans="1:29" ht="15.75" thickBot="1">
      <c r="A6" s="1667"/>
      <c r="B6" s="1668"/>
      <c r="C6" s="3429" t="s">
        <v>2254</v>
      </c>
      <c r="D6" s="3430"/>
      <c r="E6" s="3432" t="s">
        <v>2254</v>
      </c>
      <c r="F6" s="3433"/>
      <c r="G6" s="3429" t="s">
        <v>2254</v>
      </c>
      <c r="H6" s="3430"/>
      <c r="I6" s="3429" t="s">
        <v>2254</v>
      </c>
      <c r="J6" s="3430"/>
      <c r="K6" s="1666" t="s">
        <v>2255</v>
      </c>
      <c r="L6" s="2991"/>
      <c r="M6" s="2992"/>
      <c r="N6" s="2992"/>
      <c r="O6" s="2992"/>
      <c r="P6" s="3416"/>
      <c r="Q6" s="3417"/>
      <c r="R6" s="3420"/>
      <c r="S6" s="3421"/>
      <c r="T6" s="3422"/>
      <c r="U6" s="3423"/>
      <c r="V6" s="3424"/>
      <c r="W6" s="3424"/>
      <c r="X6" s="1662"/>
      <c r="Y6" s="3422"/>
      <c r="Z6" s="3423"/>
      <c r="AA6" s="3407"/>
      <c r="AB6" s="3407"/>
      <c r="AC6" s="3407"/>
    </row>
    <row r="7" spans="1:29" s="1681" customFormat="1" ht="15.75" thickBot="1">
      <c r="A7" s="1669" t="s">
        <v>2256</v>
      </c>
      <c r="B7" s="1670"/>
      <c r="C7" s="1671">
        <f>'数据-取费表'!B2</f>
        <v>44333</v>
      </c>
      <c r="D7" s="1672">
        <v>100</v>
      </c>
      <c r="E7" s="1673">
        <v>44317</v>
      </c>
      <c r="F7" s="1674">
        <f>SUMIF(58:58,YEAR(E7)&amp;"-"&amp;MONTH(E7),59:59)</f>
        <v>100</v>
      </c>
      <c r="G7" s="1673">
        <v>44317</v>
      </c>
      <c r="H7" s="1672">
        <f>SUMIF(58:58,YEAR(G7)&amp;"-"&amp;MONTH(G7),59:59)</f>
        <v>100</v>
      </c>
      <c r="I7" s="1673">
        <v>44317</v>
      </c>
      <c r="J7" s="1672">
        <f>SUMIF(58:58,YEAR(I7)&amp;"-"&amp;MONTH(I7),59:59)</f>
        <v>100</v>
      </c>
      <c r="K7" s="1675"/>
      <c r="L7" s="2991"/>
      <c r="M7" s="2964"/>
      <c r="N7" s="2964"/>
      <c r="O7" s="2964"/>
      <c r="P7" s="3441" t="s">
        <v>2257</v>
      </c>
      <c r="Q7" s="3443"/>
      <c r="R7" s="1677" t="s">
        <v>34</v>
      </c>
      <c r="S7" s="1678">
        <f t="shared" ref="S7:S15" si="0">F7</f>
        <v>100</v>
      </c>
      <c r="T7" s="1677" t="s">
        <v>34</v>
      </c>
      <c r="U7" s="1678">
        <f t="shared" ref="U7:U15" si="1">H7</f>
        <v>100</v>
      </c>
      <c r="V7" s="1677" t="s">
        <v>34</v>
      </c>
      <c r="W7" s="1678">
        <f t="shared" ref="W7:W15" si="2">J7</f>
        <v>100</v>
      </c>
      <c r="X7" s="1679"/>
      <c r="Y7" s="3441" t="s">
        <v>2257</v>
      </c>
      <c r="Z7" s="3442"/>
      <c r="AA7" s="1680">
        <f>D7/F7</f>
        <v>1</v>
      </c>
      <c r="AB7" s="1680">
        <f>D7/H7</f>
        <v>1</v>
      </c>
      <c r="AC7" s="1680">
        <f>D7/J7</f>
        <v>1</v>
      </c>
    </row>
    <row r="8" spans="1:29" s="1681" customFormat="1" ht="15.75" thickBot="1">
      <c r="A8" s="1669" t="s">
        <v>2258</v>
      </c>
      <c r="B8" s="1670"/>
      <c r="C8" s="1682" t="s">
        <v>2259</v>
      </c>
      <c r="D8" s="1672">
        <v>100</v>
      </c>
      <c r="E8" s="3160" t="s">
        <v>2918</v>
      </c>
      <c r="F8" s="1674">
        <f>SUMIF(61:61,E8,62:62)-SUMIF(61:61,C8,62:62)+100</f>
        <v>100</v>
      </c>
      <c r="G8" s="3161" t="s">
        <v>2919</v>
      </c>
      <c r="H8" s="1672">
        <f>SUMIF(61:61,G8,62:62)-SUMIF(61:61,C8,62:62)+100</f>
        <v>100</v>
      </c>
      <c r="I8" s="3160" t="s">
        <v>2919</v>
      </c>
      <c r="J8" s="1672">
        <f>SUMIF(61:61,I8,62:62)-SUMIF(61:61,C8,62:62)+100</f>
        <v>100</v>
      </c>
      <c r="K8" s="1675"/>
      <c r="L8" s="2991"/>
      <c r="M8" s="2964"/>
      <c r="N8" s="2964"/>
      <c r="O8" s="2964"/>
      <c r="P8" s="3441" t="s">
        <v>2260</v>
      </c>
      <c r="Q8" s="3442"/>
      <c r="R8" s="1677" t="s">
        <v>34</v>
      </c>
      <c r="S8" s="1678">
        <f t="shared" si="0"/>
        <v>100</v>
      </c>
      <c r="T8" s="1677" t="s">
        <v>34</v>
      </c>
      <c r="U8" s="1678">
        <f t="shared" si="1"/>
        <v>100</v>
      </c>
      <c r="V8" s="1677" t="s">
        <v>34</v>
      </c>
      <c r="W8" s="1678">
        <f t="shared" si="2"/>
        <v>100</v>
      </c>
      <c r="X8" s="1679"/>
      <c r="Y8" s="3441" t="s">
        <v>2260</v>
      </c>
      <c r="Z8" s="3442"/>
      <c r="AA8" s="1680">
        <f t="shared" ref="AA8:AA46" si="3">D8/F8</f>
        <v>1</v>
      </c>
      <c r="AB8" s="1680">
        <f t="shared" ref="AB8:AB46" si="4">D8/H8</f>
        <v>1</v>
      </c>
      <c r="AC8" s="1680">
        <f t="shared" ref="AC8:AC46" si="5">D8/J8</f>
        <v>1</v>
      </c>
    </row>
    <row r="9" spans="1:29" s="1681" customFormat="1">
      <c r="A9" s="1632" t="s">
        <v>2261</v>
      </c>
      <c r="B9" s="1683" t="s">
        <v>2262</v>
      </c>
      <c r="C9" s="1684"/>
      <c r="D9" s="1685">
        <v>100</v>
      </c>
      <c r="E9" s="1686"/>
      <c r="F9" s="1687">
        <f>SUMIF(63:63,E9,64:64)-SUMIF(63:63,C9,64:64)+100</f>
        <v>100</v>
      </c>
      <c r="G9" s="1688"/>
      <c r="H9" s="1685">
        <f>SUMIF(63:63,G9,64:64)-SUMIF(63:63,C9,64:64)+100</f>
        <v>100</v>
      </c>
      <c r="I9" s="1688"/>
      <c r="J9" s="1685">
        <f>SUMIF(63:63,I9,64:64)-SUMIF(63:63,C9,64:64)+100</f>
        <v>100</v>
      </c>
      <c r="K9" s="1675"/>
      <c r="L9" s="2991"/>
      <c r="M9" s="2964"/>
      <c r="N9" s="2964"/>
      <c r="O9" s="2964"/>
      <c r="P9" s="3444" t="s">
        <v>2263</v>
      </c>
      <c r="Q9" s="1631" t="str">
        <f t="shared" ref="Q9:Q15" si="6">B9</f>
        <v>用途</v>
      </c>
      <c r="R9" s="1677" t="s">
        <v>25</v>
      </c>
      <c r="S9" s="1678">
        <f t="shared" si="0"/>
        <v>100</v>
      </c>
      <c r="T9" s="1677" t="s">
        <v>25</v>
      </c>
      <c r="U9" s="1678">
        <f t="shared" si="1"/>
        <v>100</v>
      </c>
      <c r="V9" s="1677" t="s">
        <v>25</v>
      </c>
      <c r="W9" s="1678">
        <f t="shared" si="2"/>
        <v>100</v>
      </c>
      <c r="X9" s="1679"/>
      <c r="Y9" s="3338" t="s">
        <v>2264</v>
      </c>
      <c r="Z9" s="1689" t="str">
        <f t="shared" ref="Z9:Z15" si="7">Q9</f>
        <v>用途</v>
      </c>
      <c r="AA9" s="1680">
        <f t="shared" si="3"/>
        <v>1</v>
      </c>
      <c r="AB9" s="1680">
        <f t="shared" si="4"/>
        <v>1</v>
      </c>
      <c r="AC9" s="1680">
        <f t="shared" si="5"/>
        <v>1</v>
      </c>
    </row>
    <row r="10" spans="1:29" s="1697" customFormat="1" ht="27">
      <c r="A10" s="1690"/>
      <c r="B10" s="1691" t="s">
        <v>2265</v>
      </c>
      <c r="C10" s="1692"/>
      <c r="D10" s="1693">
        <v>100</v>
      </c>
      <c r="E10" s="1694"/>
      <c r="F10" s="1695">
        <f>SUMIF(65:65,E10,66:66)-SUMIF(65:65,C10,66:66)+100</f>
        <v>100</v>
      </c>
      <c r="G10" s="1692"/>
      <c r="H10" s="1693">
        <f>SUMIF(65:65,G10,66:66)-SUMIF(65:65,C10,66:66)+100</f>
        <v>100</v>
      </c>
      <c r="I10" s="1692"/>
      <c r="J10" s="1693">
        <f>SUMIF(65:65,I10,66:66)-SUMIF(65:65,C10,66:66)+100</f>
        <v>100</v>
      </c>
      <c r="K10" s="1696"/>
      <c r="L10" s="2993"/>
      <c r="M10" s="2994"/>
      <c r="N10" s="2994"/>
      <c r="O10" s="2994"/>
      <c r="P10" s="3444"/>
      <c r="Q10" s="1631" t="str">
        <f t="shared" si="6"/>
        <v>土地使用年限（年）</v>
      </c>
      <c r="R10" s="1677" t="s">
        <v>25</v>
      </c>
      <c r="S10" s="1678">
        <f t="shared" si="0"/>
        <v>100</v>
      </c>
      <c r="T10" s="1677" t="s">
        <v>25</v>
      </c>
      <c r="U10" s="1678">
        <f t="shared" si="1"/>
        <v>100</v>
      </c>
      <c r="V10" s="1677" t="s">
        <v>25</v>
      </c>
      <c r="W10" s="1678">
        <f t="shared" si="2"/>
        <v>100</v>
      </c>
      <c r="X10" s="1679"/>
      <c r="Y10" s="3338"/>
      <c r="Z10" s="1689" t="str">
        <f t="shared" si="7"/>
        <v>土地使用年限（年）</v>
      </c>
      <c r="AA10" s="1680">
        <f t="shared" si="3"/>
        <v>1</v>
      </c>
      <c r="AB10" s="1680">
        <f t="shared" si="4"/>
        <v>1</v>
      </c>
      <c r="AC10" s="1680">
        <f t="shared" si="5"/>
        <v>1</v>
      </c>
    </row>
    <row r="11" spans="1:29" ht="15">
      <c r="A11" s="1698"/>
      <c r="B11" s="1691" t="s">
        <v>2266</v>
      </c>
      <c r="C11" s="1699">
        <v>3.2</v>
      </c>
      <c r="D11" s="1693">
        <v>100</v>
      </c>
      <c r="E11" s="1700">
        <v>3.2</v>
      </c>
      <c r="F11" s="1695">
        <f>LOOKUP(E11,68:68,69:69)-LOOKUP(C11,68:68,69:69)+100</f>
        <v>100</v>
      </c>
      <c r="G11" s="1699">
        <v>3.2</v>
      </c>
      <c r="H11" s="1693">
        <f>LOOKUP(G11,68:68,69:69)-LOOKUP(C11,68:68,69:69)+100</f>
        <v>100</v>
      </c>
      <c r="I11" s="1699">
        <v>3.2</v>
      </c>
      <c r="J11" s="1693">
        <f>LOOKUP(I11,68:68,69:69)-LOOKUP(C11,68:68,69:69)+100</f>
        <v>100</v>
      </c>
      <c r="K11" s="1696"/>
      <c r="L11" s="2995"/>
      <c r="M11" s="2992"/>
      <c r="N11" s="2992"/>
      <c r="O11" s="2992"/>
      <c r="P11" s="3444"/>
      <c r="Q11" s="1631" t="str">
        <f t="shared" si="6"/>
        <v>容积率</v>
      </c>
      <c r="R11" s="1677" t="s">
        <v>28</v>
      </c>
      <c r="S11" s="1678">
        <f t="shared" si="0"/>
        <v>100</v>
      </c>
      <c r="T11" s="1677" t="s">
        <v>28</v>
      </c>
      <c r="U11" s="1678">
        <f t="shared" si="1"/>
        <v>100</v>
      </c>
      <c r="V11" s="1677" t="s">
        <v>28</v>
      </c>
      <c r="W11" s="1678">
        <f t="shared" si="2"/>
        <v>100</v>
      </c>
      <c r="X11" s="1679"/>
      <c r="Y11" s="3338"/>
      <c r="Z11" s="1689" t="str">
        <f t="shared" si="7"/>
        <v>容积率</v>
      </c>
      <c r="AA11" s="1680">
        <f t="shared" si="3"/>
        <v>1</v>
      </c>
      <c r="AB11" s="1680">
        <f t="shared" si="4"/>
        <v>1</v>
      </c>
      <c r="AC11" s="1680">
        <f t="shared" si="5"/>
        <v>1</v>
      </c>
    </row>
    <row r="12" spans="1:29" s="1681" customFormat="1" ht="15">
      <c r="A12" s="1701"/>
      <c r="B12" s="1702">
        <v>111</v>
      </c>
      <c r="C12" s="1703"/>
      <c r="D12" s="1704">
        <v>100</v>
      </c>
      <c r="E12" s="1703"/>
      <c r="F12" s="1695">
        <f>SUMIF(70:70,E12,71:71)-SUMIF(70:70,C12,71:71)+100</f>
        <v>100</v>
      </c>
      <c r="G12" s="1703"/>
      <c r="H12" s="1693">
        <f>SUMIF(70:70,G12,71:71)-SUMIF(70:70,C12,71:71)+100</f>
        <v>100</v>
      </c>
      <c r="I12" s="1703"/>
      <c r="J12" s="1693">
        <f>SUMIF(70:70,I12,71:71)-SUMIF(70:70,C12,71:71)+100</f>
        <v>100</v>
      </c>
      <c r="K12" s="1705"/>
      <c r="L12" s="2991"/>
      <c r="M12" s="2964"/>
      <c r="N12" s="2964"/>
      <c r="O12" s="2964"/>
      <c r="P12" s="3444"/>
      <c r="Q12" s="1631">
        <f t="shared" si="6"/>
        <v>111</v>
      </c>
      <c r="R12" s="1677" t="s">
        <v>28</v>
      </c>
      <c r="S12" s="1678">
        <f t="shared" si="0"/>
        <v>100</v>
      </c>
      <c r="T12" s="1677" t="s">
        <v>28</v>
      </c>
      <c r="U12" s="1678">
        <f t="shared" si="1"/>
        <v>100</v>
      </c>
      <c r="V12" s="1677" t="s">
        <v>28</v>
      </c>
      <c r="W12" s="1678">
        <f t="shared" si="2"/>
        <v>100</v>
      </c>
      <c r="X12" s="1679"/>
      <c r="Y12" s="3338"/>
      <c r="Z12" s="1689">
        <f t="shared" si="7"/>
        <v>111</v>
      </c>
      <c r="AA12" s="1680">
        <f>D12/F12</f>
        <v>1</v>
      </c>
      <c r="AB12" s="1680">
        <f>D12/H12</f>
        <v>1</v>
      </c>
      <c r="AC12" s="1680">
        <f>D12/J12</f>
        <v>1</v>
      </c>
    </row>
    <row r="13" spans="1:29" ht="15">
      <c r="A13" s="1698"/>
      <c r="B13" s="1702">
        <v>111</v>
      </c>
      <c r="C13" s="1706"/>
      <c r="D13" s="1707">
        <v>100</v>
      </c>
      <c r="E13" s="1706"/>
      <c r="F13" s="1695">
        <f>SUMIF(72:72,E13,73:73)-SUMIF(72:72,C13,73:73)+100</f>
        <v>100</v>
      </c>
      <c r="G13" s="1706"/>
      <c r="H13" s="1707">
        <f>SUMIF(72:72,G13,73:73)-SUMIF(72:72,C13,73:73)+100</f>
        <v>100</v>
      </c>
      <c r="I13" s="1706"/>
      <c r="J13" s="1707">
        <f>SUMIF(72:72,I13,73:73)-SUMIF(72:72,C13,73:73)+100</f>
        <v>100</v>
      </c>
      <c r="K13" s="1705"/>
      <c r="L13" s="2996"/>
      <c r="M13" s="2992"/>
      <c r="N13" s="2992"/>
      <c r="O13" s="2992"/>
      <c r="P13" s="3444"/>
      <c r="Q13" s="1631">
        <f t="shared" si="6"/>
        <v>111</v>
      </c>
      <c r="R13" s="1677" t="s">
        <v>28</v>
      </c>
      <c r="S13" s="1678">
        <f t="shared" si="0"/>
        <v>100</v>
      </c>
      <c r="T13" s="1677" t="s">
        <v>28</v>
      </c>
      <c r="U13" s="1678">
        <f t="shared" si="1"/>
        <v>100</v>
      </c>
      <c r="V13" s="1677" t="s">
        <v>28</v>
      </c>
      <c r="W13" s="1678">
        <f t="shared" si="2"/>
        <v>100</v>
      </c>
      <c r="X13" s="1679"/>
      <c r="Y13" s="3338"/>
      <c r="Z13" s="1689">
        <f t="shared" si="7"/>
        <v>111</v>
      </c>
      <c r="AA13" s="1680">
        <f t="shared" si="3"/>
        <v>1</v>
      </c>
      <c r="AB13" s="1680">
        <f t="shared" si="4"/>
        <v>1</v>
      </c>
      <c r="AC13" s="1680">
        <f t="shared" si="5"/>
        <v>1</v>
      </c>
    </row>
    <row r="14" spans="1:29" ht="15.75" thickBot="1">
      <c r="A14" s="1708"/>
      <c r="B14" s="1709">
        <v>111</v>
      </c>
      <c r="C14" s="1710"/>
      <c r="D14" s="1711">
        <v>100</v>
      </c>
      <c r="E14" s="1710"/>
      <c r="F14" s="1712">
        <f>SUMIF(74:74,E14,75:75)-SUMIF(74:74,C14,75:75)+100</f>
        <v>100</v>
      </c>
      <c r="G14" s="1710"/>
      <c r="H14" s="1711">
        <f>SUMIF(74:74,G14,75:75)-SUMIF(74:74,C14,75:75)+100</f>
        <v>100</v>
      </c>
      <c r="I14" s="1710"/>
      <c r="J14" s="1711">
        <f>SUMIF(74:74,I14,75:75)-SUMIF(74:74,C14,75:75)+100</f>
        <v>100</v>
      </c>
      <c r="K14" s="1705"/>
      <c r="L14" s="2996"/>
      <c r="M14" s="2992"/>
      <c r="N14" s="2992"/>
      <c r="O14" s="2992"/>
      <c r="P14" s="3444"/>
      <c r="Q14" s="1631">
        <f t="shared" si="6"/>
        <v>111</v>
      </c>
      <c r="R14" s="1677" t="s">
        <v>28</v>
      </c>
      <c r="S14" s="1678">
        <f t="shared" si="0"/>
        <v>100</v>
      </c>
      <c r="T14" s="1677" t="s">
        <v>28</v>
      </c>
      <c r="U14" s="1678">
        <f t="shared" si="1"/>
        <v>100</v>
      </c>
      <c r="V14" s="1677" t="s">
        <v>28</v>
      </c>
      <c r="W14" s="1678">
        <f t="shared" si="2"/>
        <v>100</v>
      </c>
      <c r="X14" s="1679"/>
      <c r="Y14" s="3338"/>
      <c r="Z14" s="1689">
        <f t="shared" si="7"/>
        <v>111</v>
      </c>
      <c r="AA14" s="1680">
        <f t="shared" si="3"/>
        <v>1</v>
      </c>
      <c r="AB14" s="1680">
        <f t="shared" si="4"/>
        <v>1</v>
      </c>
      <c r="AC14" s="1680">
        <f t="shared" si="5"/>
        <v>1</v>
      </c>
    </row>
    <row r="15" spans="1:29" ht="99.75">
      <c r="A15" s="1713" t="s">
        <v>2267</v>
      </c>
      <c r="B15" s="1714" t="s">
        <v>1704</v>
      </c>
      <c r="C15" s="1715" t="str">
        <f>估价对象房地状况!C3</f>
        <v>估价对象周边居住用地比例、居住小区规模和社区发展完善程度，综合评价居住社区成熟度一般</v>
      </c>
      <c r="D15" s="1716">
        <v>100</v>
      </c>
      <c r="E15" s="1717"/>
      <c r="F15" s="1718">
        <f>SUMIF(76:76,E16,77:77)-SUMIF(76:76,C16,77:77)+100</f>
        <v>100</v>
      </c>
      <c r="G15" s="1719"/>
      <c r="H15" s="1716">
        <f>SUMIF(76:76,G16,77:77)-SUMIF(76:76,C16,77:77)+100</f>
        <v>100</v>
      </c>
      <c r="I15" s="1717"/>
      <c r="J15" s="1716">
        <f>SUMIF(76:76,I16,77:77)-SUMIF(76:76,C16,77:77)+100</f>
        <v>100</v>
      </c>
      <c r="K15" s="1720"/>
      <c r="L15" s="2996"/>
      <c r="M15" s="2992"/>
      <c r="N15" s="2992"/>
      <c r="O15" s="2992"/>
      <c r="P15" s="3447" t="s">
        <v>2268</v>
      </c>
      <c r="Q15" s="1612" t="str">
        <f t="shared" si="6"/>
        <v>居住社区成熟度</v>
      </c>
      <c r="R15" s="1721" t="s">
        <v>28</v>
      </c>
      <c r="S15" s="1722">
        <f t="shared" si="0"/>
        <v>100</v>
      </c>
      <c r="T15" s="1721" t="s">
        <v>28</v>
      </c>
      <c r="U15" s="1722">
        <f t="shared" si="1"/>
        <v>100</v>
      </c>
      <c r="V15" s="1721" t="s">
        <v>28</v>
      </c>
      <c r="W15" s="1722">
        <f t="shared" si="2"/>
        <v>100</v>
      </c>
      <c r="X15" s="1662"/>
      <c r="Y15" s="3434" t="s">
        <v>2268</v>
      </c>
      <c r="Z15" s="1723" t="str">
        <f t="shared" si="7"/>
        <v>居住社区成熟度</v>
      </c>
      <c r="AA15" s="1724">
        <f t="shared" si="3"/>
        <v>1</v>
      </c>
      <c r="AB15" s="1724">
        <f t="shared" si="4"/>
        <v>1</v>
      </c>
      <c r="AC15" s="1724">
        <f t="shared" si="5"/>
        <v>1</v>
      </c>
    </row>
    <row r="16" spans="1:29" ht="15">
      <c r="A16" s="1698"/>
      <c r="B16" s="1725"/>
      <c r="C16" s="1726"/>
      <c r="D16" s="1727"/>
      <c r="E16" s="1728"/>
      <c r="F16" s="1729"/>
      <c r="G16" s="1730"/>
      <c r="H16" s="1731"/>
      <c r="I16" s="1728"/>
      <c r="J16" s="1727"/>
      <c r="K16" s="1732"/>
      <c r="L16" s="2996"/>
      <c r="M16" s="2992"/>
      <c r="N16" s="2992"/>
      <c r="O16" s="2992"/>
      <c r="P16" s="3448"/>
      <c r="Q16" s="1612"/>
      <c r="R16" s="1721"/>
      <c r="S16" s="1722"/>
      <c r="T16" s="1721"/>
      <c r="U16" s="1722"/>
      <c r="V16" s="1721"/>
      <c r="W16" s="1722"/>
      <c r="X16" s="1662"/>
      <c r="Y16" s="3435"/>
      <c r="Z16" s="1723"/>
      <c r="AA16" s="1724">
        <v>1</v>
      </c>
      <c r="AB16" s="1724">
        <v>1</v>
      </c>
      <c r="AC16" s="1724">
        <v>1</v>
      </c>
    </row>
    <row r="17" spans="1:29" ht="85.5">
      <c r="A17" s="1698"/>
      <c r="B17" s="1733" t="s">
        <v>1706</v>
      </c>
      <c r="C17" s="1734" t="str">
        <f>估价对象房地状况!C6</f>
        <v>估价对象周边道路状况、公共交通通达情况、停车便捷程度，综合评价交通便捷度较好</v>
      </c>
      <c r="D17" s="1731">
        <v>100</v>
      </c>
      <c r="E17" s="1735"/>
      <c r="F17" s="1736">
        <f>SUMIF(78:78,E18,79:79)-SUMIF(78:78,C18,79:79)+100</f>
        <v>100</v>
      </c>
      <c r="G17" s="1737"/>
      <c r="H17" s="1738">
        <f>SUMIF(78:78,G18,79:79)-SUMIF(78:78,C18,79:79)+100</f>
        <v>100</v>
      </c>
      <c r="I17" s="1735"/>
      <c r="J17" s="1738">
        <f>SUMIF(78:78,I18,79:79)-SUMIF(78:78,C18,79:79)+100</f>
        <v>100</v>
      </c>
      <c r="K17" s="1720"/>
      <c r="L17" s="2996"/>
      <c r="M17" s="2992"/>
      <c r="N17" s="2992"/>
      <c r="O17" s="2992"/>
      <c r="P17" s="3448"/>
      <c r="Q17" s="1612" t="str">
        <f>B17</f>
        <v>交通便捷度</v>
      </c>
      <c r="R17" s="1721" t="s">
        <v>28</v>
      </c>
      <c r="S17" s="1722">
        <f>F17</f>
        <v>100</v>
      </c>
      <c r="T17" s="1721" t="s">
        <v>28</v>
      </c>
      <c r="U17" s="1722">
        <f>H17</f>
        <v>100</v>
      </c>
      <c r="V17" s="1721" t="s">
        <v>28</v>
      </c>
      <c r="W17" s="1722">
        <f>J17</f>
        <v>100</v>
      </c>
      <c r="X17" s="1662"/>
      <c r="Y17" s="3435"/>
      <c r="Z17" s="1723" t="str">
        <f>Q17</f>
        <v>交通便捷度</v>
      </c>
      <c r="AA17" s="1724">
        <f t="shared" si="3"/>
        <v>1</v>
      </c>
      <c r="AB17" s="1724">
        <f t="shared" si="4"/>
        <v>1</v>
      </c>
      <c r="AC17" s="1724">
        <f t="shared" si="5"/>
        <v>1</v>
      </c>
    </row>
    <row r="18" spans="1:29" ht="15">
      <c r="A18" s="1698"/>
      <c r="B18" s="1739"/>
      <c r="C18" s="1740"/>
      <c r="D18" s="1731"/>
      <c r="E18" s="1741"/>
      <c r="F18" s="1736"/>
      <c r="G18" s="1742"/>
      <c r="H18" s="1727"/>
      <c r="I18" s="1741"/>
      <c r="J18" s="1727"/>
      <c r="K18" s="1732"/>
      <c r="L18" s="2996"/>
      <c r="M18" s="2992"/>
      <c r="N18" s="2992"/>
      <c r="O18" s="2992"/>
      <c r="P18" s="3448"/>
      <c r="Q18" s="1612"/>
      <c r="R18" s="1721"/>
      <c r="S18" s="1722"/>
      <c r="T18" s="1721"/>
      <c r="U18" s="1722"/>
      <c r="V18" s="1721"/>
      <c r="W18" s="1722"/>
      <c r="X18" s="1662"/>
      <c r="Y18" s="3435"/>
      <c r="Z18" s="1723"/>
      <c r="AA18" s="1724">
        <v>1</v>
      </c>
      <c r="AB18" s="1724">
        <v>1</v>
      </c>
      <c r="AC18" s="1724">
        <v>1</v>
      </c>
    </row>
    <row r="19" spans="1:29" ht="42.75">
      <c r="A19" s="1698"/>
      <c r="B19" s="1733" t="s">
        <v>1705</v>
      </c>
      <c r="C19" s="1734" t="str">
        <f>估价对象房地状况!C7</f>
        <v>估价对象所在区域公共配套设施齐备情况</v>
      </c>
      <c r="D19" s="1738">
        <v>100</v>
      </c>
      <c r="E19" s="1743"/>
      <c r="F19" s="1744">
        <f>SUMIF(80:80,E20,81:81)-SUMIF(80:80,C20,81:81)+100</f>
        <v>100</v>
      </c>
      <c r="G19" s="1745"/>
      <c r="H19" s="1731">
        <f>SUMIF(80:80,G20,81:81)-SUMIF(80:80,C20,81:81)+100</f>
        <v>100</v>
      </c>
      <c r="I19" s="1743"/>
      <c r="J19" s="1731">
        <f>SUMIF(80:80,I20,81:81)-SUMIF(80:80,C20,81:81)+100</f>
        <v>100</v>
      </c>
      <c r="K19" s="1720"/>
      <c r="L19" s="2996"/>
      <c r="M19" s="2992"/>
      <c r="N19" s="2992"/>
      <c r="O19" s="2992"/>
      <c r="P19" s="3448"/>
      <c r="Q19" s="1612" t="str">
        <f>B19</f>
        <v>公共配套设施</v>
      </c>
      <c r="R19" s="1721" t="s">
        <v>28</v>
      </c>
      <c r="S19" s="1722">
        <f>F19</f>
        <v>100</v>
      </c>
      <c r="T19" s="1721" t="s">
        <v>28</v>
      </c>
      <c r="U19" s="1722">
        <f>H19</f>
        <v>100</v>
      </c>
      <c r="V19" s="1721" t="s">
        <v>28</v>
      </c>
      <c r="W19" s="1722">
        <f>J19</f>
        <v>100</v>
      </c>
      <c r="X19" s="1662"/>
      <c r="Y19" s="3435"/>
      <c r="Z19" s="1723" t="str">
        <f>Q19</f>
        <v>公共配套设施</v>
      </c>
      <c r="AA19" s="1724">
        <f t="shared" si="3"/>
        <v>1</v>
      </c>
      <c r="AB19" s="1724">
        <f t="shared" si="4"/>
        <v>1</v>
      </c>
      <c r="AC19" s="1724">
        <f t="shared" si="5"/>
        <v>1</v>
      </c>
    </row>
    <row r="20" spans="1:29" ht="15">
      <c r="A20" s="1698"/>
      <c r="B20" s="1739"/>
      <c r="C20" s="1726"/>
      <c r="D20" s="1727"/>
      <c r="E20" s="1728"/>
      <c r="F20" s="1729"/>
      <c r="G20" s="1730"/>
      <c r="H20" s="1727"/>
      <c r="I20" s="1728"/>
      <c r="J20" s="1727"/>
      <c r="K20" s="1732"/>
      <c r="L20" s="2996"/>
      <c r="M20" s="2992"/>
      <c r="N20" s="2992"/>
      <c r="O20" s="2992"/>
      <c r="P20" s="3448"/>
      <c r="Q20" s="1612"/>
      <c r="R20" s="1721"/>
      <c r="S20" s="1722"/>
      <c r="T20" s="1721"/>
      <c r="U20" s="1722"/>
      <c r="V20" s="1721"/>
      <c r="W20" s="1722"/>
      <c r="X20" s="1662"/>
      <c r="Y20" s="3435"/>
      <c r="Z20" s="1723"/>
      <c r="AA20" s="1724">
        <v>1</v>
      </c>
      <c r="AB20" s="1724">
        <v>1</v>
      </c>
      <c r="AC20" s="1724">
        <v>1</v>
      </c>
    </row>
    <row r="21" spans="1:29" ht="28.5">
      <c r="A21" s="1698"/>
      <c r="B21" s="1746" t="s">
        <v>1707</v>
      </c>
      <c r="C21" s="1734" t="str">
        <f>估价对象房地状况!C8</f>
        <v>估价对象所在区域基础设施水平</v>
      </c>
      <c r="D21" s="1738">
        <v>100</v>
      </c>
      <c r="E21" s="1743"/>
      <c r="F21" s="1744">
        <f>SUMIF(82:82,E22,83:83)-SUMIF(82:82,C22,83:83)+100</f>
        <v>100</v>
      </c>
      <c r="G21" s="1745"/>
      <c r="H21" s="1731">
        <f>SUMIF(82:82,G22,83:83)-SUMIF(82:82,C22,83:83)+100</f>
        <v>100</v>
      </c>
      <c r="I21" s="1743"/>
      <c r="J21" s="1731">
        <f>SUMIF(82:82,I22,83:83)-SUMIF(82:82,C22,83:83)+100</f>
        <v>100</v>
      </c>
      <c r="K21" s="1720"/>
      <c r="L21" s="2996"/>
      <c r="M21" s="2992"/>
      <c r="N21" s="2992"/>
      <c r="O21" s="2992"/>
      <c r="P21" s="3448"/>
      <c r="Q21" s="1612" t="str">
        <f>B21</f>
        <v>基础设施水平</v>
      </c>
      <c r="R21" s="1721" t="s">
        <v>28</v>
      </c>
      <c r="S21" s="1722">
        <f>F21</f>
        <v>100</v>
      </c>
      <c r="T21" s="1721" t="s">
        <v>28</v>
      </c>
      <c r="U21" s="1722">
        <f>H21</f>
        <v>100</v>
      </c>
      <c r="V21" s="1721" t="s">
        <v>28</v>
      </c>
      <c r="W21" s="1722">
        <f>J21</f>
        <v>100</v>
      </c>
      <c r="X21" s="1662"/>
      <c r="Y21" s="3435"/>
      <c r="Z21" s="1723" t="str">
        <f>Q21</f>
        <v>基础设施水平</v>
      </c>
      <c r="AA21" s="1724">
        <f t="shared" ref="AA21" si="8">D21/F21</f>
        <v>1</v>
      </c>
      <c r="AB21" s="1724">
        <f t="shared" ref="AB21" si="9">D21/H21</f>
        <v>1</v>
      </c>
      <c r="AC21" s="1724">
        <f t="shared" ref="AC21" si="10">D21/J21</f>
        <v>1</v>
      </c>
    </row>
    <row r="22" spans="1:29" ht="15">
      <c r="A22" s="1698"/>
      <c r="B22" s="1746"/>
      <c r="C22" s="1740"/>
      <c r="D22" s="1727"/>
      <c r="E22" s="1726"/>
      <c r="F22" s="1729"/>
      <c r="G22" s="1726"/>
      <c r="H22" s="1727"/>
      <c r="I22" s="1726"/>
      <c r="J22" s="1727"/>
      <c r="K22" s="1747"/>
      <c r="L22" s="2996"/>
      <c r="M22" s="2992"/>
      <c r="N22" s="2992"/>
      <c r="O22" s="2992"/>
      <c r="P22" s="3448"/>
      <c r="Q22" s="1612"/>
      <c r="R22" s="1721"/>
      <c r="S22" s="1722"/>
      <c r="T22" s="1721"/>
      <c r="U22" s="1722"/>
      <c r="V22" s="1721"/>
      <c r="W22" s="1722"/>
      <c r="X22" s="1662"/>
      <c r="Y22" s="3435"/>
      <c r="Z22" s="1723"/>
      <c r="AA22" s="1724">
        <v>1</v>
      </c>
      <c r="AB22" s="1724">
        <v>1</v>
      </c>
      <c r="AC22" s="1724">
        <v>1</v>
      </c>
    </row>
    <row r="23" spans="1:29" ht="57">
      <c r="A23" s="1698"/>
      <c r="B23" s="1733" t="s">
        <v>1708</v>
      </c>
      <c r="C23" s="1734" t="str">
        <f>估价对象房地状况!C9</f>
        <v>区域自然环境：；人文环境；综合评价环境状况一般</v>
      </c>
      <c r="D23" s="1731">
        <v>100</v>
      </c>
      <c r="E23" s="1735"/>
      <c r="F23" s="1736">
        <f>SUMIF(84:84,E24,85:85)-SUMIF(84:84,C24,85:85)+100</f>
        <v>100</v>
      </c>
      <c r="G23" s="1737"/>
      <c r="H23" s="1731">
        <f>SUMIF(84:84,G24,85:85)-SUMIF(84:84,C24,85:85)+100</f>
        <v>100</v>
      </c>
      <c r="I23" s="1735"/>
      <c r="J23" s="1731">
        <f>SUMIF(84:84,I24,85:85)-SUMIF(84:84,C24,85:85)+100</f>
        <v>100</v>
      </c>
      <c r="K23" s="1720"/>
      <c r="L23" s="2996"/>
      <c r="M23" s="2992"/>
      <c r="N23" s="2992"/>
      <c r="O23" s="2992"/>
      <c r="P23" s="3448"/>
      <c r="Q23" s="1612" t="str">
        <f>B23</f>
        <v>自然及人文环境</v>
      </c>
      <c r="R23" s="1721" t="s">
        <v>28</v>
      </c>
      <c r="S23" s="1722">
        <f>F23</f>
        <v>100</v>
      </c>
      <c r="T23" s="1721" t="s">
        <v>28</v>
      </c>
      <c r="U23" s="1722">
        <f>H23</f>
        <v>100</v>
      </c>
      <c r="V23" s="1721" t="s">
        <v>28</v>
      </c>
      <c r="W23" s="1722">
        <f>J23</f>
        <v>100</v>
      </c>
      <c r="X23" s="1662"/>
      <c r="Y23" s="3435"/>
      <c r="Z23" s="1723" t="str">
        <f>Q23</f>
        <v>自然及人文环境</v>
      </c>
      <c r="AA23" s="1724">
        <f t="shared" si="3"/>
        <v>1</v>
      </c>
      <c r="AB23" s="1724">
        <f t="shared" si="4"/>
        <v>1</v>
      </c>
      <c r="AC23" s="1724">
        <f t="shared" si="5"/>
        <v>1</v>
      </c>
    </row>
    <row r="24" spans="1:29" ht="15">
      <c r="A24" s="1698"/>
      <c r="B24" s="1739"/>
      <c r="C24" s="1726"/>
      <c r="D24" s="1727"/>
      <c r="E24" s="1728"/>
      <c r="F24" s="1729"/>
      <c r="G24" s="1730"/>
      <c r="H24" s="1727"/>
      <c r="I24" s="1728"/>
      <c r="J24" s="1727"/>
      <c r="K24" s="1732"/>
      <c r="L24" s="2996"/>
      <c r="M24" s="2992"/>
      <c r="N24" s="2992"/>
      <c r="O24" s="2992"/>
      <c r="P24" s="3448"/>
      <c r="Q24" s="1612"/>
      <c r="R24" s="1721"/>
      <c r="S24" s="1722"/>
      <c r="T24" s="1721"/>
      <c r="U24" s="1722"/>
      <c r="V24" s="1721"/>
      <c r="W24" s="1722"/>
      <c r="X24" s="1662"/>
      <c r="Y24" s="3435"/>
      <c r="Z24" s="1723"/>
      <c r="AA24" s="1724">
        <v>1</v>
      </c>
      <c r="AB24" s="1724">
        <v>1</v>
      </c>
      <c r="AC24" s="1724">
        <v>1</v>
      </c>
    </row>
    <row r="25" spans="1:29" ht="15">
      <c r="A25" s="1698"/>
      <c r="B25" s="1691" t="s">
        <v>2269</v>
      </c>
      <c r="C25" s="3164"/>
      <c r="D25" s="1707">
        <v>100</v>
      </c>
      <c r="E25" s="3162"/>
      <c r="F25" s="1750">
        <f>SUMIF(86:86,E25,87:87)-SUMIF(86:86,C25,87:87)+100</f>
        <v>100</v>
      </c>
      <c r="G25" s="3163"/>
      <c r="H25" s="1707">
        <f>SUMIF(86:86,G25,87:87)-SUMIF(86:86,C25,87:87)+100</f>
        <v>100</v>
      </c>
      <c r="I25" s="3162"/>
      <c r="J25" s="1707">
        <f>SUMIF(86:86,I25,87:87)-SUMIF(86:86,C25,87:87)+100</f>
        <v>100</v>
      </c>
      <c r="K25" s="1696">
        <v>4</v>
      </c>
      <c r="L25" s="2996"/>
      <c r="M25" s="2992"/>
      <c r="N25" s="2992"/>
      <c r="O25" s="2992"/>
      <c r="P25" s="3448"/>
      <c r="Q25" s="1612" t="str">
        <f t="shared" ref="Q25:Q46" si="11">B25</f>
        <v>楼层-1</v>
      </c>
      <c r="R25" s="1721" t="s">
        <v>28</v>
      </c>
      <c r="S25" s="1722">
        <f>F25</f>
        <v>100</v>
      </c>
      <c r="T25" s="1721" t="s">
        <v>28</v>
      </c>
      <c r="U25" s="1722">
        <f>H25</f>
        <v>100</v>
      </c>
      <c r="V25" s="1721" t="s">
        <v>28</v>
      </c>
      <c r="W25" s="1722">
        <f>J25</f>
        <v>100</v>
      </c>
      <c r="X25" s="1662"/>
      <c r="Y25" s="3435"/>
      <c r="Z25" s="1723" t="str">
        <f>Q25</f>
        <v>楼层-1</v>
      </c>
      <c r="AA25" s="1724">
        <f t="shared" si="3"/>
        <v>1</v>
      </c>
      <c r="AB25" s="1724">
        <f t="shared" si="4"/>
        <v>1</v>
      </c>
      <c r="AC25" s="1724">
        <f t="shared" si="5"/>
        <v>1</v>
      </c>
    </row>
    <row r="26" spans="1:29" ht="15">
      <c r="A26" s="1698"/>
      <c r="B26" s="1691" t="s">
        <v>2270</v>
      </c>
      <c r="C26" s="3164" t="s">
        <v>2928</v>
      </c>
      <c r="D26" s="1707">
        <v>100</v>
      </c>
      <c r="E26" s="3162" t="s">
        <v>2929</v>
      </c>
      <c r="F26" s="1750">
        <f>SUMIF(88:88,E26,89:89)-SUMIF(88:88,C26,89:89)+100</f>
        <v>98</v>
      </c>
      <c r="G26" s="3163" t="s">
        <v>2930</v>
      </c>
      <c r="H26" s="1707">
        <f>SUMIF(88:88,G26,89:89)-SUMIF(88:88,C26,89:89)+100</f>
        <v>98</v>
      </c>
      <c r="I26" s="3162" t="s">
        <v>2928</v>
      </c>
      <c r="J26" s="1707">
        <f>SUMIF(88:88,I26,89:89)-SUMIF(88:88,C26,89:89)+100</f>
        <v>100</v>
      </c>
      <c r="K26" s="1696">
        <v>2</v>
      </c>
      <c r="L26" s="2996"/>
      <c r="M26" s="2992"/>
      <c r="N26" s="2992"/>
      <c r="O26" s="2992"/>
      <c r="P26" s="3448"/>
      <c r="Q26" s="1612" t="str">
        <f t="shared" si="11"/>
        <v>朝向</v>
      </c>
      <c r="R26" s="1721" t="s">
        <v>28</v>
      </c>
      <c r="S26" s="1722">
        <f>F26</f>
        <v>98</v>
      </c>
      <c r="T26" s="1721" t="s">
        <v>28</v>
      </c>
      <c r="U26" s="1722">
        <f>H26</f>
        <v>98</v>
      </c>
      <c r="V26" s="1721" t="s">
        <v>28</v>
      </c>
      <c r="W26" s="1722">
        <f>J26</f>
        <v>100</v>
      </c>
      <c r="X26" s="1662"/>
      <c r="Y26" s="3435"/>
      <c r="Z26" s="1723" t="str">
        <f>Q26</f>
        <v>朝向</v>
      </c>
      <c r="AA26" s="1724">
        <f t="shared" si="3"/>
        <v>1.0204081632653061</v>
      </c>
      <c r="AB26" s="1724">
        <f t="shared" si="4"/>
        <v>1.0204081632653061</v>
      </c>
      <c r="AC26" s="1724">
        <f t="shared" si="5"/>
        <v>1</v>
      </c>
    </row>
    <row r="27" spans="1:29" s="1681" customFormat="1" ht="15">
      <c r="A27" s="1701"/>
      <c r="B27" s="1702" t="s">
        <v>2271</v>
      </c>
      <c r="C27" s="1703"/>
      <c r="D27" s="1752">
        <v>100</v>
      </c>
      <c r="E27" s="1753"/>
      <c r="F27" s="1754">
        <f>SUMIF(90:90,E27,91:91)-SUMIF(90:90,C27,91:91)+100</f>
        <v>100</v>
      </c>
      <c r="G27" s="1755"/>
      <c r="H27" s="1752">
        <f>SUMIF(90:90,G27,91:91)-SUMIF(90:90,C27,91:91)+100</f>
        <v>100</v>
      </c>
      <c r="I27" s="1753"/>
      <c r="J27" s="1752">
        <f>SUMIF(90:90,I27,91:91)-SUMIF(90:90,C27,91:91)+100</f>
        <v>100</v>
      </c>
      <c r="K27" s="1705"/>
      <c r="L27" s="2991"/>
      <c r="M27" s="2964"/>
      <c r="N27" s="2964"/>
      <c r="O27" s="2964"/>
      <c r="P27" s="3448"/>
      <c r="Q27" s="1631" t="str">
        <f t="shared" si="11"/>
        <v>道路级别</v>
      </c>
      <c r="R27" s="1677" t="s">
        <v>28</v>
      </c>
      <c r="S27" s="1678">
        <f>F27</f>
        <v>100</v>
      </c>
      <c r="T27" s="1677" t="s">
        <v>28</v>
      </c>
      <c r="U27" s="1678">
        <f>H27</f>
        <v>100</v>
      </c>
      <c r="V27" s="1677" t="s">
        <v>28</v>
      </c>
      <c r="W27" s="1678">
        <f>J27</f>
        <v>100</v>
      </c>
      <c r="X27" s="1679"/>
      <c r="Y27" s="3435"/>
      <c r="Z27" s="1689" t="str">
        <f>Q27</f>
        <v>道路级别</v>
      </c>
      <c r="AA27" s="1724">
        <f>D27/F27</f>
        <v>1</v>
      </c>
      <c r="AB27" s="1724">
        <f>D27/H27</f>
        <v>1</v>
      </c>
      <c r="AC27" s="1724">
        <f>D27/J27</f>
        <v>1</v>
      </c>
    </row>
    <row r="28" spans="1:29" ht="15">
      <c r="A28" s="1698"/>
      <c r="B28" s="3167" t="s">
        <v>2954</v>
      </c>
      <c r="C28" s="3175" t="s">
        <v>2959</v>
      </c>
      <c r="D28" s="1707">
        <v>100</v>
      </c>
      <c r="E28" s="3175" t="s">
        <v>2955</v>
      </c>
      <c r="F28" s="1750">
        <f>SUMIF(92:92,E28,93:93)-SUMIF(92:92,C28,93:93)+100</f>
        <v>95</v>
      </c>
      <c r="G28" s="3175" t="s">
        <v>2956</v>
      </c>
      <c r="H28" s="1707">
        <f>SUMIF(92:92,G28,93:93)-SUMIF(92:92,C28,93:93)+100</f>
        <v>100</v>
      </c>
      <c r="I28" s="3175" t="s">
        <v>2957</v>
      </c>
      <c r="J28" s="1707">
        <f>SUMIF(92:92,I28,93:93)-SUMIF(92:92,C28,93:93)+100</f>
        <v>105</v>
      </c>
      <c r="K28" s="1705"/>
      <c r="L28" s="2996"/>
      <c r="M28" s="2992"/>
      <c r="N28" s="2992"/>
      <c r="O28" s="2992"/>
      <c r="P28" s="3448"/>
      <c r="Q28" s="1612" t="str">
        <f t="shared" si="11"/>
        <v>楼层</v>
      </c>
      <c r="R28" s="1721" t="s">
        <v>28</v>
      </c>
      <c r="S28" s="1722">
        <f t="shared" ref="S28:S46" si="12">F28</f>
        <v>95</v>
      </c>
      <c r="T28" s="1721" t="s">
        <v>28</v>
      </c>
      <c r="U28" s="1722">
        <f t="shared" ref="U28:U46" si="13">H28</f>
        <v>100</v>
      </c>
      <c r="V28" s="1721" t="s">
        <v>28</v>
      </c>
      <c r="W28" s="1722">
        <f t="shared" ref="W28:W46" si="14">J28</f>
        <v>105</v>
      </c>
      <c r="X28" s="1662"/>
      <c r="Y28" s="3435"/>
      <c r="Z28" s="1723" t="str">
        <f t="shared" ref="Z28:Z46" si="15">Q28</f>
        <v>楼层</v>
      </c>
      <c r="AA28" s="1724">
        <f t="shared" si="3"/>
        <v>1.0526315789473684</v>
      </c>
      <c r="AB28" s="1724">
        <f t="shared" si="4"/>
        <v>1</v>
      </c>
      <c r="AC28" s="1724">
        <f t="shared" si="5"/>
        <v>0.95238095238095233</v>
      </c>
    </row>
    <row r="29" spans="1:29" ht="15">
      <c r="A29" s="1698"/>
      <c r="B29" s="1756">
        <v>111</v>
      </c>
      <c r="C29" s="1706"/>
      <c r="D29" s="1707">
        <v>100</v>
      </c>
      <c r="E29" s="1706"/>
      <c r="F29" s="1750">
        <f>SUMIF(94:94,E29,95:95)-SUMIF(94:94,C29,95:95)+100</f>
        <v>100</v>
      </c>
      <c r="G29" s="1706"/>
      <c r="H29" s="1707">
        <f>SUMIF(94:94,G29,95:95)-SUMIF(94:94,C29,95:95)+100</f>
        <v>100</v>
      </c>
      <c r="I29" s="1706"/>
      <c r="J29" s="1707">
        <f>SUMIF(94:94,I29,95:95)-SUMIF(94:94,C29,95:95)+100</f>
        <v>100</v>
      </c>
      <c r="K29" s="1705"/>
      <c r="L29" s="2996"/>
      <c r="M29" s="2992"/>
      <c r="N29" s="2992"/>
      <c r="O29" s="2992"/>
      <c r="P29" s="3448"/>
      <c r="Q29" s="1612">
        <f t="shared" si="11"/>
        <v>111</v>
      </c>
      <c r="R29" s="1721" t="s">
        <v>28</v>
      </c>
      <c r="S29" s="1722">
        <f t="shared" si="12"/>
        <v>100</v>
      </c>
      <c r="T29" s="1721" t="s">
        <v>28</v>
      </c>
      <c r="U29" s="1722">
        <f t="shared" si="13"/>
        <v>100</v>
      </c>
      <c r="V29" s="1721" t="s">
        <v>28</v>
      </c>
      <c r="W29" s="1722">
        <f t="shared" si="14"/>
        <v>100</v>
      </c>
      <c r="X29" s="1662"/>
      <c r="Y29" s="3435"/>
      <c r="Z29" s="1723">
        <f t="shared" si="15"/>
        <v>111</v>
      </c>
      <c r="AA29" s="1724">
        <f t="shared" si="3"/>
        <v>1</v>
      </c>
      <c r="AB29" s="1724">
        <f t="shared" si="4"/>
        <v>1</v>
      </c>
      <c r="AC29" s="1724">
        <f t="shared" si="5"/>
        <v>1</v>
      </c>
    </row>
    <row r="30" spans="1:29" ht="15">
      <c r="A30" s="1698"/>
      <c r="B30" s="1756">
        <v>111</v>
      </c>
      <c r="C30" s="1706"/>
      <c r="D30" s="1707">
        <v>100</v>
      </c>
      <c r="E30" s="1706"/>
      <c r="F30" s="1750">
        <f>SUMIF(96:96,E30,97:97)-SUMIF(96:96,C30,97:97)+100</f>
        <v>100</v>
      </c>
      <c r="G30" s="1706"/>
      <c r="H30" s="1707">
        <f>SUMIF(96:96,G30,97:97)-SUMIF(96:96,C30,97:97)+100</f>
        <v>100</v>
      </c>
      <c r="I30" s="1706"/>
      <c r="J30" s="1707">
        <f>SUMIF(96:96,I30,97:97)-SUMIF(96:96,C30,97:97)+100</f>
        <v>100</v>
      </c>
      <c r="K30" s="1705"/>
      <c r="L30" s="2996"/>
      <c r="M30" s="2992"/>
      <c r="N30" s="2992"/>
      <c r="O30" s="2992"/>
      <c r="P30" s="3448"/>
      <c r="Q30" s="1612">
        <f t="shared" si="11"/>
        <v>111</v>
      </c>
      <c r="R30" s="1721" t="s">
        <v>28</v>
      </c>
      <c r="S30" s="1722">
        <f t="shared" si="12"/>
        <v>100</v>
      </c>
      <c r="T30" s="1721" t="s">
        <v>28</v>
      </c>
      <c r="U30" s="1722">
        <f t="shared" si="13"/>
        <v>100</v>
      </c>
      <c r="V30" s="1721" t="s">
        <v>28</v>
      </c>
      <c r="W30" s="1722">
        <f t="shared" si="14"/>
        <v>100</v>
      </c>
      <c r="X30" s="1662"/>
      <c r="Y30" s="3435"/>
      <c r="Z30" s="1723">
        <f t="shared" si="15"/>
        <v>111</v>
      </c>
      <c r="AA30" s="1724">
        <f t="shared" si="3"/>
        <v>1</v>
      </c>
      <c r="AB30" s="1724">
        <f t="shared" si="4"/>
        <v>1</v>
      </c>
      <c r="AC30" s="1724">
        <f t="shared" si="5"/>
        <v>1</v>
      </c>
    </row>
    <row r="31" spans="1:29" ht="15.75" thickBot="1">
      <c r="A31" s="1708"/>
      <c r="B31" s="1756">
        <v>111</v>
      </c>
      <c r="C31" s="1710"/>
      <c r="D31" s="1711">
        <v>100</v>
      </c>
      <c r="E31" s="1710"/>
      <c r="F31" s="1712">
        <f>SUMIF(98:98,E31,99:99)-SUMIF(98:98,C31,99:99)+100</f>
        <v>100</v>
      </c>
      <c r="G31" s="1710"/>
      <c r="H31" s="1711">
        <f>SUMIF(98:98,G31,99:99)-SUMIF(98:98,C31,99:99)+100</f>
        <v>100</v>
      </c>
      <c r="I31" s="1710"/>
      <c r="J31" s="1711">
        <f>SUMIF(98:98,I31,99:99)-SUMIF(98:98,C31,99:99)+100</f>
        <v>100</v>
      </c>
      <c r="K31" s="1705"/>
      <c r="L31" s="2996"/>
      <c r="M31" s="2992"/>
      <c r="N31" s="2992"/>
      <c r="O31" s="2992"/>
      <c r="P31" s="3448"/>
      <c r="Q31" s="1612">
        <f t="shared" si="11"/>
        <v>111</v>
      </c>
      <c r="R31" s="1721" t="s">
        <v>28</v>
      </c>
      <c r="S31" s="1722">
        <f t="shared" si="12"/>
        <v>100</v>
      </c>
      <c r="T31" s="1721" t="s">
        <v>28</v>
      </c>
      <c r="U31" s="1722">
        <f t="shared" si="13"/>
        <v>100</v>
      </c>
      <c r="V31" s="1721" t="s">
        <v>28</v>
      </c>
      <c r="W31" s="1722">
        <f t="shared" si="14"/>
        <v>100</v>
      </c>
      <c r="X31" s="1662"/>
      <c r="Y31" s="3435"/>
      <c r="Z31" s="1723">
        <f t="shared" si="15"/>
        <v>111</v>
      </c>
      <c r="AA31" s="1724">
        <f t="shared" si="3"/>
        <v>1</v>
      </c>
      <c r="AB31" s="1724">
        <f t="shared" si="4"/>
        <v>1</v>
      </c>
      <c r="AC31" s="1724">
        <f t="shared" si="5"/>
        <v>1</v>
      </c>
    </row>
    <row r="32" spans="1:29" ht="15">
      <c r="A32" s="1713" t="s">
        <v>2272</v>
      </c>
      <c r="B32" s="1683" t="s">
        <v>2273</v>
      </c>
      <c r="C32" s="1757"/>
      <c r="D32" s="1758">
        <v>100</v>
      </c>
      <c r="E32" s="1759"/>
      <c r="F32" s="1750">
        <f>SUMIF(100:100,E32,101:101)-SUMIF(100:100,C32,101:101)+100</f>
        <v>100</v>
      </c>
      <c r="G32" s="1757"/>
      <c r="H32" s="1758">
        <f>SUMIF(100:100,G32,101:101)-SUMIF(100:100,C32,101:101)+100</f>
        <v>100</v>
      </c>
      <c r="I32" s="1759"/>
      <c r="J32" s="1707">
        <f>SUMIF(100:100,I32,101:101)-SUMIF(100:100,C32,101:101)+100</f>
        <v>100</v>
      </c>
      <c r="K32" s="1696"/>
      <c r="L32" s="2996"/>
      <c r="M32" s="2992"/>
      <c r="N32" s="2992"/>
      <c r="O32" s="2992"/>
      <c r="P32" s="3436" t="s">
        <v>2274</v>
      </c>
      <c r="Q32" s="1612" t="str">
        <f t="shared" si="11"/>
        <v>建筑类型</v>
      </c>
      <c r="R32" s="1721" t="s">
        <v>28</v>
      </c>
      <c r="S32" s="1722">
        <f t="shared" si="12"/>
        <v>100</v>
      </c>
      <c r="T32" s="1721" t="s">
        <v>28</v>
      </c>
      <c r="U32" s="1722">
        <f t="shared" si="13"/>
        <v>100</v>
      </c>
      <c r="V32" s="1721" t="s">
        <v>28</v>
      </c>
      <c r="W32" s="1722">
        <f t="shared" si="14"/>
        <v>100</v>
      </c>
      <c r="X32" s="1662"/>
      <c r="Y32" s="3439" t="s">
        <v>2274</v>
      </c>
      <c r="Z32" s="1723" t="str">
        <f t="shared" si="15"/>
        <v>建筑类型</v>
      </c>
      <c r="AA32" s="1724">
        <f t="shared" si="3"/>
        <v>1</v>
      </c>
      <c r="AB32" s="1724">
        <f t="shared" si="4"/>
        <v>1</v>
      </c>
      <c r="AC32" s="1724">
        <f t="shared" si="5"/>
        <v>1</v>
      </c>
    </row>
    <row r="33" spans="1:29" s="1767" customFormat="1" ht="15">
      <c r="A33" s="1760"/>
      <c r="B33" s="1691" t="s">
        <v>2275</v>
      </c>
      <c r="C33" s="1761">
        <v>366.17</v>
      </c>
      <c r="D33" s="1693">
        <v>100</v>
      </c>
      <c r="E33" s="1700">
        <v>222.64</v>
      </c>
      <c r="F33" s="1695">
        <f>LOOKUP(E33,103:103,104:104)-LOOKUP(C33,103:103,104:104)+100</f>
        <v>102</v>
      </c>
      <c r="G33" s="1699">
        <v>291.31</v>
      </c>
      <c r="H33" s="1693">
        <f>LOOKUP(G33,103:103,104:104)-LOOKUP(C33,103:103,104:104)+100</f>
        <v>102</v>
      </c>
      <c r="I33" s="1700">
        <v>366.17</v>
      </c>
      <c r="J33" s="1693">
        <f>LOOKUP(I33,103:103,104:104)-LOOKUP(C33,103:103,104:104)+100</f>
        <v>100</v>
      </c>
      <c r="K33" s="1705"/>
      <c r="L33" s="2995"/>
      <c r="M33" s="2055"/>
      <c r="N33" s="2055"/>
      <c r="O33" s="2055"/>
      <c r="P33" s="3437"/>
      <c r="Q33" s="1762" t="str">
        <f t="shared" si="11"/>
        <v>项目建筑规模</v>
      </c>
      <c r="R33" s="1763" t="s">
        <v>28</v>
      </c>
      <c r="S33" s="1764">
        <f t="shared" si="12"/>
        <v>102</v>
      </c>
      <c r="T33" s="1763" t="s">
        <v>28</v>
      </c>
      <c r="U33" s="1764">
        <f t="shared" si="13"/>
        <v>102</v>
      </c>
      <c r="V33" s="1763" t="s">
        <v>28</v>
      </c>
      <c r="W33" s="1764">
        <f t="shared" si="14"/>
        <v>100</v>
      </c>
      <c r="X33" s="1765"/>
      <c r="Y33" s="3439"/>
      <c r="Z33" s="1766" t="str">
        <f t="shared" si="15"/>
        <v>项目建筑规模</v>
      </c>
      <c r="AA33" s="1724">
        <f t="shared" si="3"/>
        <v>0.98039215686274506</v>
      </c>
      <c r="AB33" s="1724">
        <f t="shared" si="4"/>
        <v>0.98039215686274506</v>
      </c>
      <c r="AC33" s="1724">
        <f t="shared" si="5"/>
        <v>1</v>
      </c>
    </row>
    <row r="34" spans="1:29" ht="15">
      <c r="A34" s="1768"/>
      <c r="B34" s="1691" t="s">
        <v>2276</v>
      </c>
      <c r="C34" s="1769"/>
      <c r="D34" s="1707">
        <v>100</v>
      </c>
      <c r="E34" s="1770"/>
      <c r="F34" s="1750">
        <f>SUMIF(105:105,E34,106:106)-SUMIF(105:105,C34,106:106)+100</f>
        <v>100</v>
      </c>
      <c r="G34" s="1769"/>
      <c r="H34" s="1707">
        <f>SUMIF(105:105,G34,106:106)-SUMIF(105:105,C34,106:106)+100</f>
        <v>100</v>
      </c>
      <c r="I34" s="1770"/>
      <c r="J34" s="1707">
        <f>SUMIF(105:105,I34,106:106)-SUMIF(105:105,C34,106:106)+100</f>
        <v>100</v>
      </c>
      <c r="K34" s="1696"/>
      <c r="L34" s="2996"/>
      <c r="M34" s="2992"/>
      <c r="N34" s="2992"/>
      <c r="O34" s="2992"/>
      <c r="P34" s="3437"/>
      <c r="Q34" s="1612" t="str">
        <f t="shared" si="11"/>
        <v>建筑结构</v>
      </c>
      <c r="R34" s="1721" t="s">
        <v>28</v>
      </c>
      <c r="S34" s="1722">
        <f t="shared" si="12"/>
        <v>100</v>
      </c>
      <c r="T34" s="1721" t="s">
        <v>28</v>
      </c>
      <c r="U34" s="1722">
        <f t="shared" si="13"/>
        <v>100</v>
      </c>
      <c r="V34" s="1721" t="s">
        <v>28</v>
      </c>
      <c r="W34" s="1722">
        <f t="shared" si="14"/>
        <v>100</v>
      </c>
      <c r="X34" s="1662"/>
      <c r="Y34" s="3439"/>
      <c r="Z34" s="1723" t="str">
        <f t="shared" si="15"/>
        <v>建筑结构</v>
      </c>
      <c r="AA34" s="1724">
        <f t="shared" si="3"/>
        <v>1</v>
      </c>
      <c r="AB34" s="1724">
        <f t="shared" si="4"/>
        <v>1</v>
      </c>
      <c r="AC34" s="1724">
        <f t="shared" si="5"/>
        <v>1</v>
      </c>
    </row>
    <row r="35" spans="1:29" ht="15">
      <c r="A35" s="1768"/>
      <c r="B35" s="1691" t="s">
        <v>2277</v>
      </c>
      <c r="C35" s="1751"/>
      <c r="D35" s="1707">
        <v>100</v>
      </c>
      <c r="E35" s="1749"/>
      <c r="F35" s="1750">
        <f>SUMIF(107:107,E35,108:108)-SUMIF(107:107,C35,108:108)+100</f>
        <v>100</v>
      </c>
      <c r="G35" s="1751"/>
      <c r="H35" s="1707">
        <f>SUMIF(107:107,G35,108:108)-SUMIF(107:107,C35,108:108)+100</f>
        <v>100</v>
      </c>
      <c r="I35" s="1749"/>
      <c r="J35" s="1707">
        <f>SUMIF(107:107,I35,108:108)-SUMIF(107:107,C35,108:108)+100</f>
        <v>100</v>
      </c>
      <c r="K35" s="1696"/>
      <c r="L35" s="2996"/>
      <c r="M35" s="2992"/>
      <c r="N35" s="2992"/>
      <c r="O35" s="2992"/>
      <c r="P35" s="3437"/>
      <c r="Q35" s="1612" t="str">
        <f t="shared" si="11"/>
        <v>建筑品质</v>
      </c>
      <c r="R35" s="1721" t="s">
        <v>28</v>
      </c>
      <c r="S35" s="1722">
        <f t="shared" si="12"/>
        <v>100</v>
      </c>
      <c r="T35" s="1721" t="s">
        <v>28</v>
      </c>
      <c r="U35" s="1722">
        <f t="shared" si="13"/>
        <v>100</v>
      </c>
      <c r="V35" s="1721" t="s">
        <v>28</v>
      </c>
      <c r="W35" s="1722">
        <f t="shared" si="14"/>
        <v>100</v>
      </c>
      <c r="X35" s="1662"/>
      <c r="Y35" s="3439"/>
      <c r="Z35" s="1723" t="str">
        <f t="shared" si="15"/>
        <v>建筑品质</v>
      </c>
      <c r="AA35" s="1724">
        <f t="shared" si="3"/>
        <v>1</v>
      </c>
      <c r="AB35" s="1724">
        <f t="shared" si="4"/>
        <v>1</v>
      </c>
      <c r="AC35" s="1724">
        <f t="shared" si="5"/>
        <v>1</v>
      </c>
    </row>
    <row r="36" spans="1:29" ht="15">
      <c r="A36" s="1768"/>
      <c r="B36" s="1691" t="s">
        <v>2278</v>
      </c>
      <c r="C36" s="1751"/>
      <c r="D36" s="1707">
        <v>100</v>
      </c>
      <c r="E36" s="1749"/>
      <c r="F36" s="1750">
        <f>SUMIF(109:109,E36,110:110)-SUMIF(109:109,C36,110:110)+100</f>
        <v>100</v>
      </c>
      <c r="G36" s="1751"/>
      <c r="H36" s="1707">
        <f>SUMIF(109:109,G36,110:110)-SUMIF(109:109,C36,110:110)+100</f>
        <v>100</v>
      </c>
      <c r="I36" s="1749"/>
      <c r="J36" s="1707">
        <f>SUMIF(109:109,I36,110:110)-SUMIF(109:109,C36,110:110)+100</f>
        <v>100</v>
      </c>
      <c r="K36" s="1696"/>
      <c r="L36" s="2996"/>
      <c r="M36" s="2992"/>
      <c r="N36" s="2992"/>
      <c r="O36" s="2992"/>
      <c r="P36" s="3437"/>
      <c r="Q36" s="1612" t="str">
        <f t="shared" si="11"/>
        <v>公共部分装修</v>
      </c>
      <c r="R36" s="1721" t="s">
        <v>28</v>
      </c>
      <c r="S36" s="1722">
        <f t="shared" si="12"/>
        <v>100</v>
      </c>
      <c r="T36" s="1721" t="s">
        <v>28</v>
      </c>
      <c r="U36" s="1722">
        <f t="shared" si="13"/>
        <v>100</v>
      </c>
      <c r="V36" s="1721" t="s">
        <v>28</v>
      </c>
      <c r="W36" s="1722">
        <f t="shared" si="14"/>
        <v>100</v>
      </c>
      <c r="X36" s="1662"/>
      <c r="Y36" s="3439"/>
      <c r="Z36" s="1723" t="str">
        <f t="shared" si="15"/>
        <v>公共部分装修</v>
      </c>
      <c r="AA36" s="1724">
        <f t="shared" si="3"/>
        <v>1</v>
      </c>
      <c r="AB36" s="1724">
        <f t="shared" si="4"/>
        <v>1</v>
      </c>
      <c r="AC36" s="1724">
        <f t="shared" si="5"/>
        <v>1</v>
      </c>
    </row>
    <row r="37" spans="1:29" s="1681" customFormat="1" ht="15">
      <c r="A37" s="1771"/>
      <c r="B37" s="1691" t="s">
        <v>2279</v>
      </c>
      <c r="C37" s="1772">
        <f>'数据-取费表'!E20</f>
        <v>0.82</v>
      </c>
      <c r="D37" s="1693">
        <v>100</v>
      </c>
      <c r="E37" s="1773">
        <f>C37</f>
        <v>0.82</v>
      </c>
      <c r="F37" s="1695">
        <f>LOOKUP(E37,112:112,113:113)-LOOKUP(C37,112:112,113:113)+100</f>
        <v>100</v>
      </c>
      <c r="G37" s="1774">
        <f>C37</f>
        <v>0.82</v>
      </c>
      <c r="H37" s="1693">
        <f>LOOKUP(G37,112:112,113:113)-LOOKUP(C37,112:112,113:113)+100</f>
        <v>100</v>
      </c>
      <c r="I37" s="1773">
        <f>C37</f>
        <v>0.82</v>
      </c>
      <c r="J37" s="1693">
        <f>LOOKUP(I37,112:112,113:113)-LOOKUP(C37,112:112,113:113)+100</f>
        <v>100</v>
      </c>
      <c r="K37" s="1696"/>
      <c r="L37" s="2991"/>
      <c r="M37" s="2964"/>
      <c r="N37" s="2964"/>
      <c r="O37" s="2964"/>
      <c r="P37" s="3437"/>
      <c r="Q37" s="1631" t="str">
        <f t="shared" si="11"/>
        <v>成新度</v>
      </c>
      <c r="R37" s="1677" t="s">
        <v>28</v>
      </c>
      <c r="S37" s="1678">
        <f t="shared" si="12"/>
        <v>100</v>
      </c>
      <c r="T37" s="1677" t="s">
        <v>28</v>
      </c>
      <c r="U37" s="1678">
        <f t="shared" si="13"/>
        <v>100</v>
      </c>
      <c r="V37" s="1677" t="s">
        <v>28</v>
      </c>
      <c r="W37" s="1678">
        <f t="shared" si="14"/>
        <v>100</v>
      </c>
      <c r="X37" s="1679"/>
      <c r="Y37" s="3439"/>
      <c r="Z37" s="1689" t="str">
        <f t="shared" si="15"/>
        <v>成新度</v>
      </c>
      <c r="AA37" s="1680">
        <f t="shared" si="3"/>
        <v>1</v>
      </c>
      <c r="AB37" s="1680">
        <f t="shared" si="4"/>
        <v>1</v>
      </c>
      <c r="AC37" s="1680">
        <f t="shared" si="5"/>
        <v>1</v>
      </c>
    </row>
    <row r="38" spans="1:29" ht="15">
      <c r="A38" s="1768"/>
      <c r="B38" s="1691" t="s">
        <v>2280</v>
      </c>
      <c r="C38" s="1751"/>
      <c r="D38" s="1707">
        <v>100</v>
      </c>
      <c r="E38" s="1749"/>
      <c r="F38" s="1750">
        <f>SUMIF(114:114,E38,115:115)-SUMIF(114:114,C38,115:115)+100</f>
        <v>100</v>
      </c>
      <c r="G38" s="1751"/>
      <c r="H38" s="1707">
        <f>SUMIF(114:114,G38,115:115)-SUMIF(114:114,C38,115:115)+100</f>
        <v>100</v>
      </c>
      <c r="I38" s="1749"/>
      <c r="J38" s="1707">
        <f>SUMIF(114:114,I38,115:115)-SUMIF(114:114,C38,115:115)+100</f>
        <v>100</v>
      </c>
      <c r="K38" s="1696"/>
      <c r="L38" s="2996"/>
      <c r="M38" s="2992"/>
      <c r="N38" s="2992"/>
      <c r="O38" s="2992"/>
      <c r="P38" s="3437" t="s">
        <v>2274</v>
      </c>
      <c r="Q38" s="1612" t="str">
        <f t="shared" si="11"/>
        <v>物业管理</v>
      </c>
      <c r="R38" s="1721" t="s">
        <v>28</v>
      </c>
      <c r="S38" s="1722">
        <f t="shared" si="12"/>
        <v>100</v>
      </c>
      <c r="T38" s="1721" t="s">
        <v>28</v>
      </c>
      <c r="U38" s="1722">
        <f t="shared" si="13"/>
        <v>100</v>
      </c>
      <c r="V38" s="1721" t="s">
        <v>28</v>
      </c>
      <c r="W38" s="1722">
        <f t="shared" si="14"/>
        <v>100</v>
      </c>
      <c r="X38" s="1662"/>
      <c r="Y38" s="3439" t="s">
        <v>2274</v>
      </c>
      <c r="Z38" s="1723" t="str">
        <f t="shared" si="15"/>
        <v>物业管理</v>
      </c>
      <c r="AA38" s="1724">
        <f t="shared" si="3"/>
        <v>1</v>
      </c>
      <c r="AB38" s="1724">
        <f t="shared" si="4"/>
        <v>1</v>
      </c>
      <c r="AC38" s="1724">
        <f t="shared" si="5"/>
        <v>1</v>
      </c>
    </row>
    <row r="39" spans="1:29" ht="15">
      <c r="A39" s="1768"/>
      <c r="B39" s="1691" t="s">
        <v>2281</v>
      </c>
      <c r="C39" s="1751"/>
      <c r="D39" s="1707">
        <v>100</v>
      </c>
      <c r="E39" s="1749"/>
      <c r="F39" s="1750">
        <f>SUMIF(116:116,E39,117:117)-SUMIF(116:116,C39,117:117)+100</f>
        <v>100</v>
      </c>
      <c r="G39" s="1751"/>
      <c r="H39" s="1707">
        <f>SUMIF(116:116,G39,117:117)-SUMIF(116:116,C39,117:117)+100</f>
        <v>100</v>
      </c>
      <c r="I39" s="1749"/>
      <c r="J39" s="1707">
        <f>SUMIF(116:116,I39,117:117)-SUMIF(116:116,C39,117:117)+100</f>
        <v>100</v>
      </c>
      <c r="K39" s="1696"/>
      <c r="L39" s="2996"/>
      <c r="M39" s="2992"/>
      <c r="N39" s="2992"/>
      <c r="O39" s="2992"/>
      <c r="P39" s="3437"/>
      <c r="Q39" s="1612" t="str">
        <f t="shared" si="11"/>
        <v>市政基础设施</v>
      </c>
      <c r="R39" s="1721" t="s">
        <v>28</v>
      </c>
      <c r="S39" s="1722">
        <f t="shared" si="12"/>
        <v>100</v>
      </c>
      <c r="T39" s="1721" t="s">
        <v>28</v>
      </c>
      <c r="U39" s="1722">
        <f t="shared" si="13"/>
        <v>100</v>
      </c>
      <c r="V39" s="1721" t="s">
        <v>28</v>
      </c>
      <c r="W39" s="1722">
        <f t="shared" si="14"/>
        <v>100</v>
      </c>
      <c r="X39" s="1662"/>
      <c r="Y39" s="3439"/>
      <c r="Z39" s="1723" t="str">
        <f t="shared" si="15"/>
        <v>市政基础设施</v>
      </c>
      <c r="AA39" s="1724">
        <f t="shared" si="3"/>
        <v>1</v>
      </c>
      <c r="AB39" s="1724">
        <f t="shared" si="4"/>
        <v>1</v>
      </c>
      <c r="AC39" s="1724">
        <f t="shared" si="5"/>
        <v>1</v>
      </c>
    </row>
    <row r="40" spans="1:29" ht="15">
      <c r="A40" s="1768"/>
      <c r="B40" s="1691" t="s">
        <v>2282</v>
      </c>
      <c r="C40" s="1751"/>
      <c r="D40" s="1707">
        <v>100</v>
      </c>
      <c r="E40" s="1749"/>
      <c r="F40" s="1750">
        <f>SUMIF(118:118,E40,119:119)-SUMIF(118:118,C40,119:119)+100</f>
        <v>100</v>
      </c>
      <c r="G40" s="1751"/>
      <c r="H40" s="1707">
        <f>SUMIF(118:118,G40,119:119)-SUMIF(118:118,C40,119:119)+100</f>
        <v>100</v>
      </c>
      <c r="I40" s="1749"/>
      <c r="J40" s="1707">
        <f>SUMIF(118:118,I40,119:119)-SUMIF(118:118,C40,119:119)+100</f>
        <v>100</v>
      </c>
      <c r="K40" s="1696"/>
      <c r="L40" s="2996"/>
      <c r="M40" s="2992"/>
      <c r="N40" s="2992"/>
      <c r="O40" s="2992"/>
      <c r="P40" s="3437"/>
      <c r="Q40" s="1612" t="str">
        <f t="shared" si="11"/>
        <v>房型</v>
      </c>
      <c r="R40" s="1721" t="s">
        <v>28</v>
      </c>
      <c r="S40" s="1722">
        <f t="shared" si="12"/>
        <v>100</v>
      </c>
      <c r="T40" s="1721" t="s">
        <v>28</v>
      </c>
      <c r="U40" s="1722">
        <f t="shared" si="13"/>
        <v>100</v>
      </c>
      <c r="V40" s="1721" t="s">
        <v>28</v>
      </c>
      <c r="W40" s="1722">
        <f t="shared" si="14"/>
        <v>100</v>
      </c>
      <c r="X40" s="1662"/>
      <c r="Y40" s="3439"/>
      <c r="Z40" s="1723" t="str">
        <f t="shared" si="15"/>
        <v>房型</v>
      </c>
      <c r="AA40" s="1724">
        <f t="shared" si="3"/>
        <v>1</v>
      </c>
      <c r="AB40" s="1724">
        <f t="shared" si="4"/>
        <v>1</v>
      </c>
      <c r="AC40" s="1724">
        <f t="shared" si="5"/>
        <v>1</v>
      </c>
    </row>
    <row r="41" spans="1:29" s="1767" customFormat="1" ht="28.5">
      <c r="A41" s="1760"/>
      <c r="B41" s="1691" t="s">
        <v>2283</v>
      </c>
      <c r="C41" s="1761"/>
      <c r="D41" s="1693">
        <v>100</v>
      </c>
      <c r="E41" s="1700"/>
      <c r="F41" s="1695">
        <f>SUMIF(120:120,E41,121:121)-SUMIF(120:120,C41,121:121)+100</f>
        <v>100</v>
      </c>
      <c r="G41" s="1699"/>
      <c r="H41" s="1693">
        <f>SUMIF(120:120,G41,121:121)-SUMIF(120:120,C41,121:121)+100</f>
        <v>100</v>
      </c>
      <c r="I41" s="1775"/>
      <c r="J41" s="1707">
        <f>SUMIF(120:120,I41,121:121)-SUMIF(120:120,C41,121:121)+100</f>
        <v>100</v>
      </c>
      <c r="K41" s="1705"/>
      <c r="L41" s="2995"/>
      <c r="M41" s="2055"/>
      <c r="N41" s="2055"/>
      <c r="O41" s="2055"/>
      <c r="P41" s="3437"/>
      <c r="Q41" s="1762" t="str">
        <f t="shared" si="11"/>
        <v>单套/主力户型建筑面积</v>
      </c>
      <c r="R41" s="1763" t="s">
        <v>28</v>
      </c>
      <c r="S41" s="1764">
        <f t="shared" si="12"/>
        <v>100</v>
      </c>
      <c r="T41" s="1763" t="s">
        <v>28</v>
      </c>
      <c r="U41" s="1764">
        <f t="shared" si="13"/>
        <v>100</v>
      </c>
      <c r="V41" s="1763" t="s">
        <v>28</v>
      </c>
      <c r="W41" s="1764">
        <f t="shared" si="14"/>
        <v>100</v>
      </c>
      <c r="X41" s="1765"/>
      <c r="Y41" s="3439"/>
      <c r="Z41" s="1766" t="str">
        <f t="shared" si="15"/>
        <v>单套/主力户型建筑面积</v>
      </c>
      <c r="AA41" s="1724">
        <f t="shared" si="3"/>
        <v>1</v>
      </c>
      <c r="AB41" s="1724">
        <f t="shared" si="4"/>
        <v>1</v>
      </c>
      <c r="AC41" s="1724">
        <f t="shared" si="5"/>
        <v>1</v>
      </c>
    </row>
    <row r="42" spans="1:29" ht="15">
      <c r="A42" s="1768"/>
      <c r="B42" s="1691" t="s">
        <v>2284</v>
      </c>
      <c r="C42" s="3163" t="s">
        <v>2934</v>
      </c>
      <c r="D42" s="1707">
        <v>100</v>
      </c>
      <c r="E42" s="3162" t="s">
        <v>2935</v>
      </c>
      <c r="F42" s="1750">
        <f>SUMIF(122:122,E42,123:123)-SUMIF(122:122,C42,123:123)+100</f>
        <v>102</v>
      </c>
      <c r="G42" s="3163" t="s">
        <v>2935</v>
      </c>
      <c r="H42" s="1707">
        <f>SUMIF(122:122,G42,123:123)-SUMIF(122:122,C42,123:123)+100</f>
        <v>102</v>
      </c>
      <c r="I42" s="3162" t="s">
        <v>2936</v>
      </c>
      <c r="J42" s="1707">
        <f>SUMIF(122:122,I42,123:123)-SUMIF(122:122,C42,123:123)+100</f>
        <v>102</v>
      </c>
      <c r="K42" s="1696">
        <v>2</v>
      </c>
      <c r="L42" s="2996"/>
      <c r="M42" s="2992"/>
      <c r="N42" s="2992"/>
      <c r="O42" s="2992"/>
      <c r="P42" s="3437"/>
      <c r="Q42" s="1612" t="str">
        <f t="shared" si="11"/>
        <v>内部装修</v>
      </c>
      <c r="R42" s="1721" t="s">
        <v>28</v>
      </c>
      <c r="S42" s="1722">
        <f t="shared" si="12"/>
        <v>102</v>
      </c>
      <c r="T42" s="1721" t="s">
        <v>28</v>
      </c>
      <c r="U42" s="1722">
        <f t="shared" si="13"/>
        <v>102</v>
      </c>
      <c r="V42" s="1721" t="s">
        <v>28</v>
      </c>
      <c r="W42" s="1722">
        <f t="shared" si="14"/>
        <v>102</v>
      </c>
      <c r="X42" s="1662"/>
      <c r="Y42" s="3439"/>
      <c r="Z42" s="1723" t="str">
        <f t="shared" si="15"/>
        <v>内部装修</v>
      </c>
      <c r="AA42" s="1724">
        <f t="shared" si="3"/>
        <v>0.98039215686274506</v>
      </c>
      <c r="AB42" s="1724">
        <f t="shared" si="4"/>
        <v>0.98039215686274506</v>
      </c>
      <c r="AC42" s="1724">
        <f t="shared" si="5"/>
        <v>0.98039215686274506</v>
      </c>
    </row>
    <row r="43" spans="1:29" ht="15">
      <c r="A43" s="1768"/>
      <c r="B43" s="1691" t="s">
        <v>2285</v>
      </c>
      <c r="C43" s="1751"/>
      <c r="D43" s="1707">
        <v>100</v>
      </c>
      <c r="E43" s="1749"/>
      <c r="F43" s="1750">
        <f>SUMIF(124:124,E43,125:125)-SUMIF(124:124,C43,125:125)+100</f>
        <v>100</v>
      </c>
      <c r="G43" s="1751"/>
      <c r="H43" s="1707">
        <f>SUMIF(124:124,G43,125:125)-SUMIF(124:124,C43,125:125)+100</f>
        <v>100</v>
      </c>
      <c r="I43" s="1749"/>
      <c r="J43" s="1707">
        <f>SUMIF(124:124,I43,125:125)-SUMIF(124:124,C43,125:125)+100</f>
        <v>100</v>
      </c>
      <c r="K43" s="1696"/>
      <c r="L43" s="2996"/>
      <c r="M43" s="2992"/>
      <c r="N43" s="2992"/>
      <c r="O43" s="2992"/>
      <c r="P43" s="3437"/>
      <c r="Q43" s="1612" t="str">
        <f t="shared" si="11"/>
        <v>内部装修维护情况</v>
      </c>
      <c r="R43" s="1721" t="s">
        <v>28</v>
      </c>
      <c r="S43" s="1722">
        <f t="shared" si="12"/>
        <v>100</v>
      </c>
      <c r="T43" s="1721" t="s">
        <v>28</v>
      </c>
      <c r="U43" s="1722">
        <f t="shared" si="13"/>
        <v>100</v>
      </c>
      <c r="V43" s="1721" t="s">
        <v>28</v>
      </c>
      <c r="W43" s="1722">
        <f t="shared" si="14"/>
        <v>100</v>
      </c>
      <c r="X43" s="1662"/>
      <c r="Y43" s="3439"/>
      <c r="Z43" s="1723" t="str">
        <f t="shared" si="15"/>
        <v>内部装修维护情况</v>
      </c>
      <c r="AA43" s="1724">
        <f t="shared" si="3"/>
        <v>1</v>
      </c>
      <c r="AB43" s="1724">
        <f t="shared" si="4"/>
        <v>1</v>
      </c>
      <c r="AC43" s="1724">
        <f t="shared" si="5"/>
        <v>1</v>
      </c>
    </row>
    <row r="44" spans="1:29" s="1681" customFormat="1" ht="15">
      <c r="A44" s="1771"/>
      <c r="B44" s="3167" t="s">
        <v>2926</v>
      </c>
      <c r="C44" s="3166"/>
      <c r="D44" s="1693">
        <v>100</v>
      </c>
      <c r="E44" s="3166"/>
      <c r="F44" s="1695">
        <f>SUMIF(126:126,E44,127:127)-SUMIF(126:126,C44,127:127)+100</f>
        <v>100</v>
      </c>
      <c r="G44" s="3166"/>
      <c r="H44" s="1693">
        <f>SUMIF(126:126,G44,127:127)-SUMIF(126:126,C44,127:127)+100</f>
        <v>100</v>
      </c>
      <c r="I44" s="3166"/>
      <c r="J44" s="1693">
        <f>SUMIF(126:126,I44,127:127)-SUMIF(126:126,C44,127:127)+100</f>
        <v>100</v>
      </c>
      <c r="K44" s="1705"/>
      <c r="L44" s="2991"/>
      <c r="M44" s="2964"/>
      <c r="N44" s="2964"/>
      <c r="O44" s="2964"/>
      <c r="P44" s="3437"/>
      <c r="Q44" s="1631" t="str">
        <f t="shared" si="11"/>
        <v>楼层</v>
      </c>
      <c r="R44" s="1677" t="s">
        <v>28</v>
      </c>
      <c r="S44" s="1678">
        <f t="shared" si="12"/>
        <v>100</v>
      </c>
      <c r="T44" s="1677" t="s">
        <v>28</v>
      </c>
      <c r="U44" s="1678">
        <f t="shared" si="13"/>
        <v>100</v>
      </c>
      <c r="V44" s="1677" t="s">
        <v>28</v>
      </c>
      <c r="W44" s="1678">
        <f t="shared" si="14"/>
        <v>100</v>
      </c>
      <c r="X44" s="1679"/>
      <c r="Y44" s="3439"/>
      <c r="Z44" s="1689" t="str">
        <f t="shared" si="15"/>
        <v>楼层</v>
      </c>
      <c r="AA44" s="1680">
        <f t="shared" si="3"/>
        <v>1</v>
      </c>
      <c r="AB44" s="1680">
        <f t="shared" si="4"/>
        <v>1</v>
      </c>
      <c r="AC44" s="1680">
        <f t="shared" si="5"/>
        <v>1</v>
      </c>
    </row>
    <row r="45" spans="1:29" ht="15">
      <c r="A45" s="1768"/>
      <c r="B45" s="1756">
        <v>111</v>
      </c>
      <c r="C45" s="1706"/>
      <c r="D45" s="1707">
        <v>100</v>
      </c>
      <c r="E45" s="1706"/>
      <c r="F45" s="1750">
        <f>SUMIF(128:128,E45,129:129)-SUMIF(128:128,C45,129:129)+100</f>
        <v>100</v>
      </c>
      <c r="G45" s="1706"/>
      <c r="H45" s="1707">
        <f>SUMIF(128:128,G45,129:129)-SUMIF(128:128,C45,129:129)+100</f>
        <v>100</v>
      </c>
      <c r="I45" s="1706"/>
      <c r="J45" s="1707">
        <f>SUMIF(128:128,I45,129:129)-SUMIF(128:128,C45,129:129)+100</f>
        <v>100</v>
      </c>
      <c r="K45" s="1705"/>
      <c r="L45" s="2996"/>
      <c r="M45" s="2992"/>
      <c r="N45" s="2992"/>
      <c r="O45" s="2992"/>
      <c r="P45" s="3437"/>
      <c r="Q45" s="1612">
        <f t="shared" si="11"/>
        <v>111</v>
      </c>
      <c r="R45" s="1721" t="s">
        <v>28</v>
      </c>
      <c r="S45" s="1722">
        <f t="shared" si="12"/>
        <v>100</v>
      </c>
      <c r="T45" s="1721" t="s">
        <v>28</v>
      </c>
      <c r="U45" s="1722">
        <f t="shared" si="13"/>
        <v>100</v>
      </c>
      <c r="V45" s="1721" t="s">
        <v>28</v>
      </c>
      <c r="W45" s="1722">
        <f t="shared" si="14"/>
        <v>100</v>
      </c>
      <c r="X45" s="1662"/>
      <c r="Y45" s="3439"/>
      <c r="Z45" s="1723">
        <f t="shared" si="15"/>
        <v>111</v>
      </c>
      <c r="AA45" s="1724">
        <f t="shared" si="3"/>
        <v>1</v>
      </c>
      <c r="AB45" s="1724">
        <f t="shared" si="4"/>
        <v>1</v>
      </c>
      <c r="AC45" s="1724">
        <f t="shared" si="5"/>
        <v>1</v>
      </c>
    </row>
    <row r="46" spans="1:29" ht="15.75" thickBot="1">
      <c r="A46" s="1776"/>
      <c r="B46" s="1709">
        <v>0.871</v>
      </c>
      <c r="C46" s="1710"/>
      <c r="D46" s="1711">
        <v>100</v>
      </c>
      <c r="E46" s="1710"/>
      <c r="F46" s="1712">
        <f>SUMIF(130:130,E46,131:131)-SUMIF(130:130,C46,131:131)+100</f>
        <v>100</v>
      </c>
      <c r="G46" s="1710"/>
      <c r="H46" s="1711">
        <f>SUMIF(130:130,G46,131:131)-SUMIF(130:130,C46,131:131)+100</f>
        <v>100</v>
      </c>
      <c r="I46" s="1710"/>
      <c r="J46" s="1711">
        <f>SUMIF(130:130,I46,131:131)-SUMIF(130:130,C46,131:131)+100</f>
        <v>100</v>
      </c>
      <c r="K46" s="1705"/>
      <c r="L46" s="2996"/>
      <c r="M46" s="2992"/>
      <c r="N46" s="2992"/>
      <c r="O46" s="2992"/>
      <c r="P46" s="3438"/>
      <c r="Q46" s="1612">
        <f t="shared" si="11"/>
        <v>0.871</v>
      </c>
      <c r="R46" s="1721" t="s">
        <v>27</v>
      </c>
      <c r="S46" s="1722">
        <f t="shared" si="12"/>
        <v>100</v>
      </c>
      <c r="T46" s="1721" t="s">
        <v>27</v>
      </c>
      <c r="U46" s="1722">
        <f t="shared" si="13"/>
        <v>100</v>
      </c>
      <c r="V46" s="1721" t="s">
        <v>27</v>
      </c>
      <c r="W46" s="1722">
        <f t="shared" si="14"/>
        <v>100</v>
      </c>
      <c r="X46" s="1662"/>
      <c r="Y46" s="3440"/>
      <c r="Z46" s="1723">
        <f t="shared" si="15"/>
        <v>0.871</v>
      </c>
      <c r="AA46" s="1724">
        <f t="shared" si="3"/>
        <v>1</v>
      </c>
      <c r="AB46" s="1724">
        <f t="shared" si="4"/>
        <v>1</v>
      </c>
      <c r="AC46" s="1724">
        <f t="shared" si="5"/>
        <v>1</v>
      </c>
    </row>
    <row r="47" spans="1:29" ht="15">
      <c r="A47" s="1777" t="s">
        <v>2286</v>
      </c>
      <c r="B47" s="1778"/>
      <c r="C47" s="1779" t="s">
        <v>26</v>
      </c>
      <c r="D47" s="1780"/>
      <c r="E47" s="1781">
        <f>ROUND(B46*114984,0)</f>
        <v>100151</v>
      </c>
      <c r="F47" s="1782"/>
      <c r="G47" s="1783">
        <f>ROUND(B46*109163,0)</f>
        <v>95081</v>
      </c>
      <c r="H47" s="1784"/>
      <c r="I47" s="1781">
        <f>ROUND(B46*103777,0)</f>
        <v>90390</v>
      </c>
      <c r="J47" s="1784"/>
      <c r="K47" s="1785"/>
      <c r="L47" s="2997"/>
      <c r="N47" s="2992"/>
      <c r="P47" s="3445" t="str">
        <f>A47</f>
        <v>成交单价（元/平方米）</v>
      </c>
      <c r="Q47" s="3445"/>
      <c r="R47" s="3446">
        <f>E47</f>
        <v>100151</v>
      </c>
      <c r="S47" s="3446"/>
      <c r="T47" s="3446">
        <f>G47</f>
        <v>95081</v>
      </c>
      <c r="U47" s="3446"/>
      <c r="V47" s="3446">
        <f>I47</f>
        <v>90390</v>
      </c>
      <c r="W47" s="3446"/>
      <c r="X47" s="1787"/>
      <c r="Y47" s="1788"/>
      <c r="Z47" s="1787"/>
      <c r="AA47" s="1787"/>
      <c r="AB47" s="1787"/>
      <c r="AC47" s="1787"/>
    </row>
    <row r="48" spans="1:29" ht="15.75" thickBot="1">
      <c r="A48" s="1789" t="s">
        <v>2287</v>
      </c>
      <c r="B48" s="1790"/>
      <c r="C48" s="1791">
        <f>R49</f>
        <v>93683</v>
      </c>
      <c r="D48" s="1792" t="s">
        <v>2742</v>
      </c>
      <c r="E48" s="1793">
        <f>R48</f>
        <v>103396</v>
      </c>
      <c r="F48" s="1794"/>
      <c r="G48" s="1791">
        <f>T48</f>
        <v>93254</v>
      </c>
      <c r="H48" s="1794"/>
      <c r="I48" s="1793">
        <f>V48</f>
        <v>84398</v>
      </c>
      <c r="J48" s="1794"/>
      <c r="K48" s="2507">
        <f>F48+H48+J48</f>
        <v>0</v>
      </c>
      <c r="L48" s="2997"/>
      <c r="P48" s="3445" t="str">
        <f>A48</f>
        <v>比较价值（元/平方米）</v>
      </c>
      <c r="Q48" s="3445"/>
      <c r="R48" s="3446">
        <f>IF(E1="售价",ROUND(PRODUCT(R47,AA7:AA46),0),ROUND(PRODUCT(R47,AA7:AA46),1))</f>
        <v>103396</v>
      </c>
      <c r="S48" s="3446"/>
      <c r="T48" s="3449">
        <f>IF(E1="售价",ROUND(PRODUCT(T47,AB7:AB46),0),ROUND(PRODUCT(T47,AB7:AB46),1))</f>
        <v>93254</v>
      </c>
      <c r="U48" s="3450"/>
      <c r="V48" s="3446">
        <f>IF(E1="售价",ROUND(PRODUCT(V47,AC7:AC46),0),ROUND(PRODUCT(V47,AC7:AC46),1))</f>
        <v>84398</v>
      </c>
      <c r="W48" s="3446"/>
      <c r="X48" s="1787"/>
      <c r="Y48" s="1787"/>
      <c r="Z48" s="1787"/>
      <c r="AA48" s="1787"/>
      <c r="AB48" s="1787"/>
      <c r="AC48" s="1787"/>
    </row>
    <row r="49" spans="1:29" ht="15.75" thickBot="1">
      <c r="A49" s="1795" t="s">
        <v>2288</v>
      </c>
      <c r="B49" s="1796"/>
      <c r="C49" s="1797">
        <f>R49</f>
        <v>93683</v>
      </c>
      <c r="D49" s="1798"/>
      <c r="E49" s="1798"/>
      <c r="F49" s="1798"/>
      <c r="G49" s="1798"/>
      <c r="H49" s="1798"/>
      <c r="I49" s="1798"/>
      <c r="J49" s="1798"/>
      <c r="K49" s="1799"/>
      <c r="L49" s="2997"/>
      <c r="P49" s="3451" t="str">
        <f>A49</f>
        <v>估价对象XX用房的比较价值（楼面单价，元/平方米）</v>
      </c>
      <c r="Q49" s="3452"/>
      <c r="R49" s="3453">
        <f>IF(E1="售价",ROUND(IF(D48="简单平均",AVERAGE(R48:V48),R48*F48+T48*H48+V48*J48),0),ROUND(IF(D48="简单平均",AVERAGE(R48:V48),R48*F48+T48*H48+V48*J48),1))</f>
        <v>93683</v>
      </c>
      <c r="S49" s="3453"/>
      <c r="T49" s="3453"/>
      <c r="U49" s="3453"/>
      <c r="V49" s="3453"/>
      <c r="W49" s="3453"/>
      <c r="X49" s="1787"/>
      <c r="Y49" s="1787"/>
      <c r="Z49" s="1787"/>
      <c r="AA49" s="1787"/>
      <c r="AB49" s="1787"/>
      <c r="AC49" s="1787"/>
    </row>
    <row r="50" spans="1:29">
      <c r="G50" s="3001"/>
    </row>
    <row r="52" spans="1:29" ht="13.5" customHeight="1">
      <c r="C52" s="383" t="s">
        <v>2289</v>
      </c>
      <c r="D52" s="1803"/>
      <c r="E52" s="1804">
        <f>IF(E47&lt;E48,E48/E47-1,E47/E48-1)</f>
        <v>3.2401074377689687E-2</v>
      </c>
      <c r="F52" s="1805" t="str">
        <f>IF(OR(E52&gt;=0.3,E52&lt;=-0.3),"超过30%","")</f>
        <v/>
      </c>
      <c r="G52" s="1804">
        <f>IF(G47&lt;G48,G48/G47-1,G47/G48-1)</f>
        <v>1.9591652904969115E-2</v>
      </c>
      <c r="H52" s="1805" t="str">
        <f>IF(OR(G52&gt;=0.3,G52&lt;=-0.3),"超过30%","")</f>
        <v/>
      </c>
      <c r="I52" s="1804">
        <f>IF(I47&lt;I48,I48/I47-1,I47/I48-1)</f>
        <v>7.0996943055522621E-2</v>
      </c>
      <c r="J52" s="1805" t="str">
        <f>IF(OR(I52&gt;=0.3,I52&lt;=-0.3),"超过30%","")</f>
        <v/>
      </c>
    </row>
    <row r="53" spans="1:29" ht="13.5" customHeight="1">
      <c r="C53" s="383" t="s">
        <v>2290</v>
      </c>
      <c r="D53" s="1806"/>
      <c r="E53" s="1804">
        <f>IF(E48&lt;G48,G48/E48-1,E48/G48-1)</f>
        <v>0.10875672893387955</v>
      </c>
      <c r="F53" s="1805" t="str">
        <f>IF(OR(E53&gt;=0.2,E53&lt;=-0.2),"超过20%","")</f>
        <v/>
      </c>
      <c r="G53" s="1804">
        <f>IF(G48&lt;I48,I48/G48-1,G48/I48-1)</f>
        <v>0.10493139647858962</v>
      </c>
      <c r="H53" s="1805" t="str">
        <f>IF(OR(G53&gt;=0.2,G53&lt;=-0.2),"超过20%","")</f>
        <v/>
      </c>
      <c r="I53" s="1804">
        <f>IF(I48&lt;E48,E48/I48-1,I48/E48-1)</f>
        <v>0.22510012085594444</v>
      </c>
      <c r="J53" s="1805" t="str">
        <f>IF(OR(I53&gt;=0.2,I53&lt;=-0.2),"超过20%","")</f>
        <v>超过20%</v>
      </c>
    </row>
    <row r="54" spans="1:29" s="1809" customFormat="1" ht="13.5" customHeight="1">
      <c r="C54" s="383" t="s">
        <v>2291</v>
      </c>
      <c r="D54" s="1806"/>
      <c r="E54" s="1804">
        <f>IF(E47&lt;G47,G47/E47-1,E47/G47-1)</f>
        <v>5.3322956216278694E-2</v>
      </c>
      <c r="F54" s="1805" t="str">
        <f>IF(OR(E54&gt;=0.3,E54&lt;=-0.3),"超过30%","")</f>
        <v/>
      </c>
      <c r="G54" s="1804">
        <f>IF(G47&lt;I47,I47/G47-1,G47/I47-1)</f>
        <v>5.1897333775860144E-2</v>
      </c>
      <c r="H54" s="1805" t="str">
        <f>IF(OR(G54&gt;=0.3,G54&lt;=-0.3),"超过30%","")</f>
        <v/>
      </c>
      <c r="I54" s="1804">
        <f>IF(I47&lt;E47,E47/I47-1,I47/E47-1)</f>
        <v>0.10798760924881079</v>
      </c>
      <c r="J54" s="1805" t="str">
        <f>IF(OR(I54&gt;=0.3,I54&lt;=-0.3),"超过30%","")</f>
        <v/>
      </c>
      <c r="K54" s="3004"/>
      <c r="L54" s="2998"/>
      <c r="P54" s="1808"/>
    </row>
    <row r="55" spans="1:29" s="1809" customFormat="1">
      <c r="B55" s="3002"/>
      <c r="C55" s="3003"/>
      <c r="K55" s="3004"/>
      <c r="L55" s="2998"/>
      <c r="P55" s="1808"/>
    </row>
    <row r="56" spans="1:29">
      <c r="B56" s="3002"/>
      <c r="C56" s="3003"/>
    </row>
    <row r="57" spans="1:29" ht="21.75" thickBot="1">
      <c r="A57" s="1812" t="s">
        <v>2292</v>
      </c>
      <c r="B57" s="1787"/>
      <c r="C57" s="1813"/>
      <c r="D57" s="1813"/>
      <c r="E57" s="1813"/>
      <c r="F57" s="1813"/>
      <c r="G57" s="1813"/>
      <c r="H57" s="1813"/>
      <c r="I57" s="1813"/>
      <c r="J57" s="1813"/>
      <c r="K57" s="1814"/>
      <c r="L57" s="2999"/>
      <c r="M57" s="3000"/>
      <c r="N57" s="3000"/>
      <c r="O57" s="3000"/>
      <c r="P57" s="1816"/>
      <c r="Q57" s="1817"/>
    </row>
    <row r="58" spans="1:29" s="1823" customFormat="1" ht="15">
      <c r="A58" s="1818" t="s">
        <v>2293</v>
      </c>
      <c r="B58" s="1819"/>
      <c r="C58" s="1820" t="str">
        <f>YEAR(C7)&amp;"-"&amp;MONTH(C7)</f>
        <v>2021-5</v>
      </c>
      <c r="D58" s="1821">
        <f>EDATE(C58,-1)</f>
        <v>44287</v>
      </c>
      <c r="E58" s="1821">
        <f t="shared" ref="E58:O58" si="16">EDATE(D58,-1)</f>
        <v>44256</v>
      </c>
      <c r="F58" s="1821">
        <f t="shared" si="16"/>
        <v>44228</v>
      </c>
      <c r="G58" s="1821">
        <f t="shared" si="16"/>
        <v>44197</v>
      </c>
      <c r="H58" s="1821">
        <f t="shared" si="16"/>
        <v>44166</v>
      </c>
      <c r="I58" s="1821">
        <f t="shared" si="16"/>
        <v>44136</v>
      </c>
      <c r="J58" s="1821">
        <f t="shared" si="16"/>
        <v>44105</v>
      </c>
      <c r="K58" s="1821">
        <f t="shared" si="16"/>
        <v>44075</v>
      </c>
      <c r="L58" s="1821">
        <f t="shared" si="16"/>
        <v>44044</v>
      </c>
      <c r="M58" s="1821">
        <f t="shared" si="16"/>
        <v>44013</v>
      </c>
      <c r="N58" s="1821">
        <f t="shared" si="16"/>
        <v>43983</v>
      </c>
      <c r="O58" s="1821">
        <f t="shared" si="16"/>
        <v>43952</v>
      </c>
      <c r="P58" s="1822"/>
    </row>
    <row r="59" spans="1:29" s="1681" customFormat="1" ht="15">
      <c r="A59" s="1824"/>
      <c r="B59" s="1825"/>
      <c r="C59" s="1826">
        <v>100</v>
      </c>
      <c r="D59" s="1827"/>
      <c r="E59" s="1827"/>
      <c r="F59" s="1827"/>
      <c r="G59" s="1827"/>
      <c r="H59" s="1827"/>
      <c r="I59" s="1827"/>
      <c r="J59" s="1827"/>
      <c r="K59" s="1827"/>
      <c r="L59" s="1827"/>
      <c r="M59" s="1828"/>
      <c r="N59" s="1827"/>
      <c r="O59" s="1828"/>
      <c r="P59" s="1829"/>
    </row>
    <row r="60" spans="1:29" s="1681" customFormat="1" ht="15.75" thickBot="1">
      <c r="A60" s="1830" t="s">
        <v>2294</v>
      </c>
      <c r="B60" s="1831"/>
      <c r="C60" s="1832"/>
      <c r="D60" s="1833"/>
      <c r="E60" s="1833"/>
      <c r="F60" s="1833"/>
      <c r="G60" s="1833"/>
      <c r="H60" s="1833"/>
      <c r="I60" s="1833"/>
      <c r="J60" s="1833"/>
      <c r="K60" s="1833"/>
      <c r="L60" s="1833"/>
      <c r="M60" s="1834"/>
      <c r="N60" s="1833"/>
      <c r="O60" s="1834"/>
      <c r="P60" s="1829"/>
      <c r="Q60" s="1817"/>
    </row>
    <row r="61" spans="1:29" s="1681" customFormat="1" ht="15">
      <c r="A61" s="1835" t="s">
        <v>2295</v>
      </c>
      <c r="B61" s="1825"/>
      <c r="C61" s="1836" t="s">
        <v>2296</v>
      </c>
      <c r="D61" s="409"/>
      <c r="E61" s="409"/>
      <c r="F61" s="409"/>
      <c r="G61" s="409"/>
      <c r="H61" s="409"/>
      <c r="I61" s="409"/>
      <c r="J61" s="409"/>
      <c r="K61" s="409"/>
      <c r="L61" s="409"/>
      <c r="M61" s="1837"/>
      <c r="N61" s="1838"/>
      <c r="O61" s="1838"/>
      <c r="P61" s="1839"/>
      <c r="Q61" s="1817"/>
    </row>
    <row r="62" spans="1:29" s="1681"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2297</v>
      </c>
      <c r="B63" s="1843" t="s">
        <v>2262</v>
      </c>
      <c r="C63" s="1844">
        <f>C9</f>
        <v>0</v>
      </c>
      <c r="D63" s="1845"/>
      <c r="E63" s="1845"/>
      <c r="F63" s="1845"/>
      <c r="G63" s="1845"/>
      <c r="H63" s="1845"/>
      <c r="I63" s="1845"/>
      <c r="J63" s="1845"/>
      <c r="K63" s="417"/>
      <c r="L63" s="417"/>
      <c r="M63" s="1846"/>
      <c r="N63" s="1847"/>
      <c r="O63" s="1847"/>
      <c r="P63" s="1848"/>
      <c r="Q63" s="1817"/>
    </row>
    <row r="64" spans="1:29" ht="15.75" thickBot="1">
      <c r="A64" s="1849"/>
      <c r="B64" s="1850"/>
      <c r="C64" s="1851">
        <v>100</v>
      </c>
      <c r="D64" s="1851"/>
      <c r="E64" s="1851"/>
      <c r="F64" s="1851"/>
      <c r="G64" s="1851"/>
      <c r="H64" s="1851"/>
      <c r="I64" s="1851"/>
      <c r="J64" s="1851"/>
      <c r="K64" s="1851"/>
      <c r="L64" s="1851"/>
      <c r="M64" s="1852"/>
      <c r="N64" s="1853"/>
      <c r="O64" s="1853"/>
      <c r="P64" s="1848"/>
      <c r="Q64" s="1817"/>
    </row>
    <row r="65" spans="1:17" ht="27.75" thickTop="1">
      <c r="A65" s="1849"/>
      <c r="B65" s="1854" t="s">
        <v>2265</v>
      </c>
      <c r="C65" s="1855" t="s">
        <v>2298</v>
      </c>
      <c r="D65" s="1855" t="s">
        <v>2299</v>
      </c>
      <c r="E65" s="1855" t="s">
        <v>2300</v>
      </c>
      <c r="F65" s="1855" t="s">
        <v>2301</v>
      </c>
      <c r="G65" s="1855" t="s">
        <v>2302</v>
      </c>
      <c r="H65" s="1855" t="s">
        <v>2303</v>
      </c>
      <c r="I65" s="1855" t="s">
        <v>2304</v>
      </c>
      <c r="J65" s="1855"/>
      <c r="K65" s="428"/>
      <c r="L65" s="428"/>
      <c r="M65" s="1856"/>
      <c r="N65" s="1847"/>
      <c r="O65" s="1847"/>
      <c r="P65" s="1848"/>
      <c r="Q65" s="1817"/>
    </row>
    <row r="66" spans="1:17" ht="15.75" thickBot="1">
      <c r="A66" s="1849"/>
      <c r="B66" s="1857"/>
      <c r="C66" s="1858">
        <v>100</v>
      </c>
      <c r="D66" s="1858">
        <f t="shared" ref="D66:I66" si="17">C66-$K10</f>
        <v>100</v>
      </c>
      <c r="E66" s="1858">
        <f t="shared" si="17"/>
        <v>100</v>
      </c>
      <c r="F66" s="1858">
        <f t="shared" si="17"/>
        <v>100</v>
      </c>
      <c r="G66" s="1858">
        <f t="shared" si="17"/>
        <v>100</v>
      </c>
      <c r="H66" s="1858">
        <f t="shared" si="17"/>
        <v>100</v>
      </c>
      <c r="I66" s="1858">
        <f t="shared" si="17"/>
        <v>100</v>
      </c>
      <c r="J66" s="1858"/>
      <c r="K66" s="1858"/>
      <c r="L66" s="1858"/>
      <c r="M66" s="1859"/>
      <c r="N66" s="1853"/>
      <c r="O66" s="1853"/>
      <c r="P66" s="1848"/>
      <c r="Q66" s="1817"/>
    </row>
    <row r="67" spans="1:17" ht="15.75" thickTop="1">
      <c r="A67" s="1849"/>
      <c r="B67" s="1860" t="s">
        <v>2266</v>
      </c>
      <c r="C67" s="1861" t="str">
        <f>C68&amp;"（含）"&amp;"-"&amp;D68</f>
        <v>0（含）-1</v>
      </c>
      <c r="D67" s="1861" t="str">
        <f t="shared" ref="D67:L67" si="18">D68&amp;"（含）"&amp;"-"&amp;E68</f>
        <v>1（含）-2</v>
      </c>
      <c r="E67" s="1861" t="str">
        <f t="shared" si="18"/>
        <v>2（含）-3</v>
      </c>
      <c r="F67" s="1861" t="str">
        <f t="shared" si="18"/>
        <v>3（含）-4</v>
      </c>
      <c r="G67" s="1861" t="str">
        <f t="shared" si="18"/>
        <v>4（含）-5</v>
      </c>
      <c r="H67" s="1861" t="str">
        <f t="shared" si="18"/>
        <v>5（含）-6</v>
      </c>
      <c r="I67" s="1861" t="str">
        <f t="shared" si="18"/>
        <v>6（含）-</v>
      </c>
      <c r="J67" s="1861" t="str">
        <f t="shared" si="18"/>
        <v>（含）-</v>
      </c>
      <c r="K67" s="1861" t="str">
        <f t="shared" si="18"/>
        <v>（含）-</v>
      </c>
      <c r="L67" s="1861" t="str">
        <f t="shared" si="18"/>
        <v>（含）-</v>
      </c>
      <c r="M67" s="1727" t="str">
        <f>M68&amp;"（含）"&amp;"-"&amp;P68</f>
        <v>（含）-</v>
      </c>
      <c r="N67" s="1853"/>
      <c r="O67" s="1853"/>
      <c r="P67" s="1848"/>
      <c r="Q67" s="1817"/>
    </row>
    <row r="68" spans="1:17" ht="15">
      <c r="A68" s="1849"/>
      <c r="B68" s="1862"/>
      <c r="C68" s="1863">
        <v>0</v>
      </c>
      <c r="D68" s="1863">
        <v>1</v>
      </c>
      <c r="E68" s="1863">
        <v>2</v>
      </c>
      <c r="F68" s="1863">
        <v>3</v>
      </c>
      <c r="G68" s="1863">
        <v>4</v>
      </c>
      <c r="H68" s="1863">
        <v>5</v>
      </c>
      <c r="I68" s="1863">
        <v>6</v>
      </c>
      <c r="J68" s="1863"/>
      <c r="K68" s="438"/>
      <c r="L68" s="438"/>
      <c r="M68" s="1864"/>
      <c r="N68" s="1847"/>
      <c r="O68" s="1847"/>
      <c r="P68" s="1848"/>
      <c r="Q68" s="1817"/>
    </row>
    <row r="69" spans="1:17" ht="15.75" thickBot="1">
      <c r="A69" s="1849"/>
      <c r="B69" s="1850"/>
      <c r="C69" s="1858">
        <v>100</v>
      </c>
      <c r="D69" s="1858">
        <f t="shared" ref="D69:M69" si="19">C69-$K11</f>
        <v>100</v>
      </c>
      <c r="E69" s="1858">
        <f t="shared" si="19"/>
        <v>100</v>
      </c>
      <c r="F69" s="1858">
        <f t="shared" si="19"/>
        <v>100</v>
      </c>
      <c r="G69" s="1858">
        <f t="shared" si="19"/>
        <v>100</v>
      </c>
      <c r="H69" s="1858">
        <f t="shared" si="19"/>
        <v>100</v>
      </c>
      <c r="I69" s="1858">
        <f t="shared" si="19"/>
        <v>100</v>
      </c>
      <c r="J69" s="1858">
        <f t="shared" si="19"/>
        <v>100</v>
      </c>
      <c r="K69" s="1858">
        <f t="shared" si="19"/>
        <v>100</v>
      </c>
      <c r="L69" s="1858">
        <f t="shared" si="19"/>
        <v>100</v>
      </c>
      <c r="M69" s="1859">
        <f t="shared" si="19"/>
        <v>100</v>
      </c>
      <c r="N69" s="1853"/>
      <c r="O69" s="1853"/>
      <c r="P69" s="1848"/>
      <c r="Q69" s="1817"/>
    </row>
    <row r="70" spans="1:17" s="1767"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7" customFormat="1" ht="15.75" thickBot="1">
      <c r="A71" s="1865"/>
      <c r="B71" s="1857"/>
      <c r="C71" s="1870"/>
      <c r="D71" s="1851"/>
      <c r="E71" s="1851"/>
      <c r="F71" s="1851"/>
      <c r="G71" s="1851"/>
      <c r="H71" s="1851"/>
      <c r="I71" s="1851"/>
      <c r="J71" s="1851"/>
      <c r="K71" s="1851"/>
      <c r="L71" s="1851"/>
      <c r="M71" s="1852"/>
      <c r="N71" s="1853"/>
      <c r="O71" s="1853"/>
      <c r="P71" s="1868"/>
      <c r="Q71" s="1869"/>
    </row>
    <row r="72" spans="1:17" s="1767"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7" customFormat="1" ht="15.75" thickBot="1">
      <c r="A73" s="1865"/>
      <c r="B73" s="1857"/>
      <c r="C73" s="1870"/>
      <c r="D73" s="1870"/>
      <c r="E73" s="1870"/>
      <c r="F73" s="1870"/>
      <c r="G73" s="1870"/>
      <c r="H73" s="1873"/>
      <c r="I73" s="1873"/>
      <c r="J73" s="1873"/>
      <c r="K73" s="1873"/>
      <c r="L73" s="1873"/>
      <c r="M73" s="1874"/>
      <c r="N73" s="1867"/>
      <c r="O73" s="1867"/>
      <c r="P73" s="1868"/>
      <c r="Q73" s="1869"/>
    </row>
    <row r="74" spans="1:17" s="1767"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7"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2267</v>
      </c>
      <c r="B76" s="1843" t="s">
        <v>2305</v>
      </c>
      <c r="C76" s="1881" t="s">
        <v>2306</v>
      </c>
      <c r="D76" s="1881" t="s">
        <v>2307</v>
      </c>
      <c r="E76" s="1881" t="s">
        <v>2308</v>
      </c>
      <c r="F76" s="1881" t="s">
        <v>2309</v>
      </c>
      <c r="G76" s="1881" t="s">
        <v>2310</v>
      </c>
      <c r="H76" s="1844"/>
      <c r="I76" s="1844"/>
      <c r="J76" s="1844"/>
      <c r="K76" s="463"/>
      <c r="L76" s="463"/>
      <c r="M76" s="1882"/>
      <c r="N76" s="1847"/>
      <c r="O76" s="1847"/>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1853"/>
      <c r="O77" s="1853"/>
      <c r="P77" s="1848"/>
      <c r="Q77" s="1817"/>
    </row>
    <row r="78" spans="1:17" ht="15.75" thickTop="1">
      <c r="A78" s="1849"/>
      <c r="B78" s="1854" t="s">
        <v>2311</v>
      </c>
      <c r="C78" s="579" t="s">
        <v>2306</v>
      </c>
      <c r="D78" s="579" t="s">
        <v>2307</v>
      </c>
      <c r="E78" s="579" t="s">
        <v>2308</v>
      </c>
      <c r="F78" s="579" t="s">
        <v>2309</v>
      </c>
      <c r="G78" s="579" t="s">
        <v>2310</v>
      </c>
      <c r="H78" s="1855"/>
      <c r="I78" s="1855"/>
      <c r="J78" s="1855"/>
      <c r="K78" s="428"/>
      <c r="L78" s="428"/>
      <c r="M78" s="1856"/>
      <c r="N78" s="1847"/>
      <c r="O78" s="1847"/>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1853"/>
      <c r="O79" s="1853"/>
      <c r="P79" s="1848"/>
      <c r="Q79" s="1817"/>
    </row>
    <row r="80" spans="1:17" ht="15.75" thickTop="1">
      <c r="A80" s="1849"/>
      <c r="B80" s="1854" t="s">
        <v>2312</v>
      </c>
      <c r="C80" s="579" t="s">
        <v>2306</v>
      </c>
      <c r="D80" s="579" t="s">
        <v>2307</v>
      </c>
      <c r="E80" s="579" t="s">
        <v>2308</v>
      </c>
      <c r="F80" s="579" t="s">
        <v>2309</v>
      </c>
      <c r="G80" s="579" t="s">
        <v>2310</v>
      </c>
      <c r="H80" s="1855"/>
      <c r="I80" s="1855"/>
      <c r="J80" s="1855"/>
      <c r="K80" s="428"/>
      <c r="L80" s="428"/>
      <c r="M80" s="1856"/>
      <c r="N80" s="1847"/>
      <c r="O80" s="1847"/>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1853"/>
      <c r="O81" s="1853"/>
      <c r="P81" s="1848"/>
      <c r="Q81" s="1817"/>
    </row>
    <row r="82" spans="1:17" ht="15.75" thickTop="1">
      <c r="A82" s="1849"/>
      <c r="B82" s="1860" t="s">
        <v>1707</v>
      </c>
      <c r="C82" s="1855" t="s">
        <v>2313</v>
      </c>
      <c r="D82" s="1855" t="s">
        <v>2314</v>
      </c>
      <c r="E82" s="1855" t="s">
        <v>2315</v>
      </c>
      <c r="F82" s="1855" t="s">
        <v>2316</v>
      </c>
      <c r="G82" s="1855" t="s">
        <v>2317</v>
      </c>
      <c r="H82" s="1855"/>
      <c r="I82" s="1855"/>
      <c r="J82" s="1855"/>
      <c r="K82" s="1855"/>
      <c r="L82" s="1855"/>
      <c r="M82" s="1883"/>
      <c r="N82" s="1853"/>
      <c r="O82" s="1853"/>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1"/>
      <c r="N83" s="1853"/>
      <c r="O83" s="1853"/>
      <c r="P83" s="1848"/>
      <c r="Q83" s="1817"/>
    </row>
    <row r="84" spans="1:17" ht="15.75" thickTop="1">
      <c r="A84" s="1849"/>
      <c r="B84" s="1854" t="s">
        <v>2318</v>
      </c>
      <c r="C84" s="579" t="s">
        <v>2306</v>
      </c>
      <c r="D84" s="579" t="s">
        <v>2307</v>
      </c>
      <c r="E84" s="579" t="s">
        <v>2308</v>
      </c>
      <c r="F84" s="579" t="s">
        <v>2309</v>
      </c>
      <c r="G84" s="579" t="s">
        <v>2310</v>
      </c>
      <c r="H84" s="1855"/>
      <c r="I84" s="1855"/>
      <c r="J84" s="1855"/>
      <c r="K84" s="428"/>
      <c r="L84" s="428"/>
      <c r="M84" s="1856"/>
      <c r="N84" s="1847"/>
      <c r="O84" s="1847"/>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1853"/>
      <c r="O85" s="1853"/>
      <c r="P85" s="1848"/>
      <c r="Q85" s="1817"/>
    </row>
    <row r="86" spans="1:17" s="1681" customFormat="1" ht="15.75" thickTop="1">
      <c r="A86" s="1885"/>
      <c r="B86" s="1854" t="s">
        <v>2319</v>
      </c>
      <c r="C86" s="3165"/>
      <c r="D86" s="468"/>
      <c r="E86" s="468"/>
      <c r="F86" s="468"/>
      <c r="G86" s="468"/>
      <c r="H86" s="468"/>
      <c r="I86" s="468"/>
      <c r="J86" s="468"/>
      <c r="K86" s="468"/>
      <c r="L86" s="468"/>
      <c r="M86" s="1886"/>
      <c r="N86" s="1838"/>
      <c r="O86" s="1838"/>
      <c r="P86" s="1848"/>
      <c r="Q86" s="1817"/>
    </row>
    <row r="87" spans="1:17" s="1681" customFormat="1" ht="15.75" thickBot="1">
      <c r="A87" s="1885"/>
      <c r="B87" s="1857"/>
      <c r="C87" s="1887">
        <v>100</v>
      </c>
      <c r="D87" s="1858">
        <f>$C$87-($C$86-D86)*$K$25</f>
        <v>100</v>
      </c>
      <c r="E87" s="1858">
        <f t="shared" ref="E87:M87" si="20">$C$87-($C$86-E86)*$K$25</f>
        <v>100</v>
      </c>
      <c r="F87" s="1858">
        <f t="shared" si="20"/>
        <v>100</v>
      </c>
      <c r="G87" s="1858">
        <f t="shared" si="20"/>
        <v>100</v>
      </c>
      <c r="H87" s="1858">
        <f t="shared" si="20"/>
        <v>100</v>
      </c>
      <c r="I87" s="1858">
        <f t="shared" si="20"/>
        <v>100</v>
      </c>
      <c r="J87" s="1858">
        <f t="shared" si="20"/>
        <v>100</v>
      </c>
      <c r="K87" s="1858">
        <f t="shared" si="20"/>
        <v>100</v>
      </c>
      <c r="L87" s="1858">
        <f t="shared" si="20"/>
        <v>100</v>
      </c>
      <c r="M87" s="1858">
        <f t="shared" si="20"/>
        <v>100</v>
      </c>
      <c r="N87" s="1853"/>
      <c r="O87" s="1853"/>
      <c r="P87" s="1848"/>
      <c r="Q87" s="1817"/>
    </row>
    <row r="88" spans="1:17" s="1681" customFormat="1" ht="15.75" thickTop="1">
      <c r="A88" s="1885"/>
      <c r="B88" s="1854" t="s">
        <v>2320</v>
      </c>
      <c r="C88" s="3165" t="s">
        <v>2932</v>
      </c>
      <c r="D88" s="3165" t="s">
        <v>2928</v>
      </c>
      <c r="E88" s="3165" t="s">
        <v>2930</v>
      </c>
      <c r="F88" s="1888"/>
      <c r="G88" s="468"/>
      <c r="H88" s="468"/>
      <c r="I88" s="468"/>
      <c r="J88" s="468"/>
      <c r="K88" s="468"/>
      <c r="L88" s="468"/>
      <c r="M88" s="1886"/>
      <c r="N88" s="1838"/>
      <c r="O88" s="1838"/>
      <c r="P88" s="1848"/>
      <c r="Q88" s="1817"/>
    </row>
    <row r="89" spans="1:17" s="1681" customFormat="1" ht="15.75" thickBot="1">
      <c r="A89" s="1885"/>
      <c r="B89" s="1857"/>
      <c r="C89" s="1887">
        <v>100</v>
      </c>
      <c r="D89" s="1858">
        <f t="shared" ref="D89:M89" si="21">C89-$K26</f>
        <v>98</v>
      </c>
      <c r="E89" s="1858">
        <f t="shared" si="21"/>
        <v>96</v>
      </c>
      <c r="F89" s="1858">
        <f t="shared" si="21"/>
        <v>94</v>
      </c>
      <c r="G89" s="1858">
        <f t="shared" si="21"/>
        <v>92</v>
      </c>
      <c r="H89" s="1858">
        <f t="shared" si="21"/>
        <v>90</v>
      </c>
      <c r="I89" s="1858">
        <f t="shared" si="21"/>
        <v>88</v>
      </c>
      <c r="J89" s="1858">
        <f t="shared" si="21"/>
        <v>86</v>
      </c>
      <c r="K89" s="1858">
        <f t="shared" si="21"/>
        <v>84</v>
      </c>
      <c r="L89" s="1858">
        <f t="shared" si="21"/>
        <v>82</v>
      </c>
      <c r="M89" s="1858">
        <f t="shared" si="21"/>
        <v>80</v>
      </c>
      <c r="N89" s="1853"/>
      <c r="O89" s="1853"/>
      <c r="P89" s="1848"/>
      <c r="Q89" s="1817"/>
    </row>
    <row r="90" spans="1:17" s="1767" customFormat="1" ht="15.75" thickTop="1">
      <c r="A90" s="1865"/>
      <c r="B90" s="1854" t="str">
        <f>B27</f>
        <v>道路级别</v>
      </c>
      <c r="C90" s="468"/>
      <c r="D90" s="468"/>
      <c r="E90" s="468"/>
      <c r="F90" s="468"/>
      <c r="G90" s="468"/>
      <c r="H90" s="443"/>
      <c r="I90" s="443"/>
      <c r="J90" s="443"/>
      <c r="K90" s="443"/>
      <c r="L90" s="443"/>
      <c r="M90" s="1866"/>
      <c r="N90" s="1867"/>
      <c r="O90" s="1867"/>
      <c r="P90" s="1868"/>
      <c r="Q90" s="1869"/>
    </row>
    <row r="91" spans="1:17" s="1767" customFormat="1" ht="15.75" thickBot="1">
      <c r="A91" s="1865"/>
      <c r="B91" s="1857"/>
      <c r="C91" s="1870"/>
      <c r="D91" s="1870"/>
      <c r="E91" s="1870"/>
      <c r="F91" s="1870"/>
      <c r="G91" s="1870"/>
      <c r="H91" s="1873"/>
      <c r="I91" s="1873"/>
      <c r="J91" s="1873"/>
      <c r="K91" s="1873"/>
      <c r="L91" s="1873"/>
      <c r="M91" s="1874"/>
      <c r="N91" s="1867"/>
      <c r="O91" s="1867"/>
      <c r="P91" s="1868"/>
      <c r="Q91" s="1869"/>
    </row>
    <row r="92" spans="1:17" ht="15.75" thickTop="1">
      <c r="A92" s="1849"/>
      <c r="B92" s="1854" t="str">
        <f>B28</f>
        <v>楼层</v>
      </c>
      <c r="C92" s="3165" t="s">
        <v>2958</v>
      </c>
      <c r="D92" s="3165" t="s">
        <v>2959</v>
      </c>
      <c r="E92" s="3165" t="s">
        <v>2960</v>
      </c>
      <c r="F92" s="468"/>
      <c r="G92" s="1574"/>
      <c r="H92" s="1574"/>
      <c r="I92" s="1574"/>
      <c r="J92" s="1574"/>
      <c r="K92" s="473"/>
      <c r="L92" s="473"/>
      <c r="M92" s="1889"/>
      <c r="N92" s="1847"/>
      <c r="O92" s="1847"/>
      <c r="P92" s="1848"/>
      <c r="Q92" s="1817"/>
    </row>
    <row r="93" spans="1:17" ht="15.75" thickBot="1">
      <c r="A93" s="1849"/>
      <c r="B93" s="1857"/>
      <c r="C93" s="1870">
        <v>100</v>
      </c>
      <c r="D93" s="1851">
        <v>95</v>
      </c>
      <c r="E93" s="1851">
        <v>90</v>
      </c>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4"/>
      <c r="H94" s="1574"/>
      <c r="I94" s="1574"/>
      <c r="J94" s="1574"/>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4"/>
      <c r="H96" s="1574"/>
      <c r="I96" s="1574"/>
      <c r="J96" s="1574"/>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2272</v>
      </c>
      <c r="B100" s="1843" t="s">
        <v>2321</v>
      </c>
      <c r="C100" s="1845"/>
      <c r="D100" s="1845"/>
      <c r="E100" s="1845"/>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2">C101-$K32</f>
        <v>100</v>
      </c>
      <c r="E101" s="1858">
        <f t="shared" si="22"/>
        <v>100</v>
      </c>
      <c r="F101" s="1858">
        <f t="shared" si="22"/>
        <v>100</v>
      </c>
      <c r="G101" s="1858">
        <f t="shared" si="22"/>
        <v>100</v>
      </c>
      <c r="H101" s="1858">
        <f t="shared" si="22"/>
        <v>100</v>
      </c>
      <c r="I101" s="1858">
        <f t="shared" si="22"/>
        <v>100</v>
      </c>
      <c r="J101" s="1858">
        <f t="shared" si="22"/>
        <v>100</v>
      </c>
      <c r="K101" s="1858">
        <f t="shared" si="22"/>
        <v>100</v>
      </c>
      <c r="L101" s="1858">
        <f t="shared" si="22"/>
        <v>100</v>
      </c>
      <c r="M101" s="1858">
        <f t="shared" si="22"/>
        <v>100</v>
      </c>
      <c r="N101" s="1853"/>
      <c r="O101" s="1853"/>
      <c r="P101" s="1848"/>
      <c r="Q101" s="1817"/>
    </row>
    <row r="102" spans="1:17" ht="15.75" thickTop="1">
      <c r="A102" s="1849"/>
      <c r="B102" s="1854" t="s">
        <v>2322</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v>
      </c>
      <c r="I102" s="579" t="str">
        <f t="shared" si="23"/>
        <v>(含)-</v>
      </c>
      <c r="J102" s="579" t="str">
        <f t="shared" si="23"/>
        <v>(含)-</v>
      </c>
      <c r="K102" s="579" t="str">
        <f t="shared" si="23"/>
        <v>(含)-</v>
      </c>
      <c r="L102" s="579" t="str">
        <f t="shared" si="23"/>
        <v>(含)-</v>
      </c>
      <c r="M102" s="579" t="str">
        <f>M103&amp;"(含)"&amp;"-"&amp;P103</f>
        <v>(含)-</v>
      </c>
      <c r="N102" s="1838"/>
      <c r="O102" s="1838"/>
      <c r="P102" s="1848"/>
      <c r="Q102" s="1817"/>
    </row>
    <row r="103" spans="1:17" s="1767" customFormat="1">
      <c r="A103" s="1895"/>
      <c r="B103" s="1896"/>
      <c r="C103" s="1897">
        <v>0</v>
      </c>
      <c r="D103" s="1897">
        <v>100</v>
      </c>
      <c r="E103" s="1897">
        <v>200</v>
      </c>
      <c r="F103" s="1897">
        <v>300</v>
      </c>
      <c r="G103" s="1897">
        <v>400</v>
      </c>
      <c r="H103" s="1897">
        <v>500</v>
      </c>
      <c r="I103" s="1897"/>
      <c r="J103" s="485"/>
      <c r="K103" s="485"/>
      <c r="L103" s="485"/>
      <c r="M103" s="1898"/>
      <c r="N103" s="1867"/>
      <c r="O103" s="1867"/>
      <c r="P103" s="1868"/>
      <c r="Q103" s="1869"/>
    </row>
    <row r="104" spans="1:17" s="1767" customFormat="1" ht="15.75" thickBot="1">
      <c r="A104" s="1865"/>
      <c r="B104" s="1857"/>
      <c r="C104" s="1870">
        <v>96</v>
      </c>
      <c r="D104" s="1851">
        <v>98</v>
      </c>
      <c r="E104" s="1851">
        <v>100</v>
      </c>
      <c r="F104" s="1851">
        <v>98</v>
      </c>
      <c r="G104" s="1851">
        <v>96</v>
      </c>
      <c r="H104" s="1851">
        <v>94</v>
      </c>
      <c r="I104" s="1851"/>
      <c r="J104" s="1851"/>
      <c r="K104" s="1851"/>
      <c r="L104" s="1851"/>
      <c r="M104" s="1851"/>
      <c r="N104" s="1853"/>
      <c r="O104" s="1853"/>
      <c r="P104" s="1868"/>
      <c r="Q104" s="1869"/>
    </row>
    <row r="105" spans="1:17" ht="15" thickTop="1">
      <c r="A105" s="1899"/>
      <c r="B105" s="1854" t="s">
        <v>2323</v>
      </c>
      <c r="C105" s="468"/>
      <c r="D105" s="468"/>
      <c r="E105" s="1574"/>
      <c r="F105" s="1574"/>
      <c r="G105" s="1574"/>
      <c r="H105" s="1574"/>
      <c r="I105" s="1574"/>
      <c r="J105" s="1574"/>
      <c r="K105" s="473"/>
      <c r="L105" s="473"/>
      <c r="M105" s="1889"/>
      <c r="N105" s="1847"/>
      <c r="O105" s="1847"/>
      <c r="P105" s="1848"/>
      <c r="Q105" s="1817"/>
    </row>
    <row r="106" spans="1:17" ht="15.75" thickBot="1">
      <c r="A106" s="1849"/>
      <c r="B106" s="1857"/>
      <c r="C106" s="1858">
        <v>100</v>
      </c>
      <c r="D106" s="1858">
        <f t="shared" ref="D106:M106" si="24">C106-$K34</f>
        <v>100</v>
      </c>
      <c r="E106" s="1858">
        <f t="shared" si="24"/>
        <v>100</v>
      </c>
      <c r="F106" s="1858">
        <f t="shared" si="24"/>
        <v>100</v>
      </c>
      <c r="G106" s="1858">
        <f t="shared" si="24"/>
        <v>100</v>
      </c>
      <c r="H106" s="1858">
        <f t="shared" si="24"/>
        <v>100</v>
      </c>
      <c r="I106" s="1858">
        <f t="shared" si="24"/>
        <v>100</v>
      </c>
      <c r="J106" s="1858">
        <f t="shared" si="24"/>
        <v>100</v>
      </c>
      <c r="K106" s="1858">
        <f t="shared" si="24"/>
        <v>100</v>
      </c>
      <c r="L106" s="1858">
        <f t="shared" si="24"/>
        <v>100</v>
      </c>
      <c r="M106" s="1858">
        <f t="shared" si="24"/>
        <v>100</v>
      </c>
      <c r="N106" s="1853"/>
      <c r="O106" s="1853"/>
      <c r="P106" s="1848"/>
      <c r="Q106" s="1817"/>
    </row>
    <row r="107" spans="1:17" ht="15" thickTop="1">
      <c r="A107" s="1899"/>
      <c r="B107" s="1854" t="s">
        <v>2324</v>
      </c>
      <c r="C107" s="1574"/>
      <c r="D107" s="1574"/>
      <c r="E107" s="1574"/>
      <c r="F107" s="1574"/>
      <c r="G107" s="1574"/>
      <c r="H107" s="1574"/>
      <c r="I107" s="1574"/>
      <c r="J107" s="1574"/>
      <c r="K107" s="473"/>
      <c r="L107" s="473"/>
      <c r="M107" s="1889"/>
      <c r="N107" s="1847"/>
      <c r="O107" s="1847"/>
      <c r="P107" s="1848"/>
      <c r="Q107" s="1817"/>
    </row>
    <row r="108" spans="1:17" ht="15.75" thickBot="1">
      <c r="A108" s="1849"/>
      <c r="B108" s="1857"/>
      <c r="C108" s="1858">
        <v>100</v>
      </c>
      <c r="D108" s="1858">
        <f t="shared" ref="D108:M108" si="25">C108-$K35</f>
        <v>100</v>
      </c>
      <c r="E108" s="1858">
        <f t="shared" si="25"/>
        <v>100</v>
      </c>
      <c r="F108" s="1858">
        <f t="shared" si="25"/>
        <v>100</v>
      </c>
      <c r="G108" s="1858">
        <f t="shared" si="25"/>
        <v>100</v>
      </c>
      <c r="H108" s="1858">
        <f t="shared" si="25"/>
        <v>100</v>
      </c>
      <c r="I108" s="1858">
        <f t="shared" si="25"/>
        <v>100</v>
      </c>
      <c r="J108" s="1858">
        <f t="shared" si="25"/>
        <v>100</v>
      </c>
      <c r="K108" s="1858">
        <f t="shared" si="25"/>
        <v>100</v>
      </c>
      <c r="L108" s="1858">
        <f t="shared" si="25"/>
        <v>100</v>
      </c>
      <c r="M108" s="1858">
        <f t="shared" si="25"/>
        <v>100</v>
      </c>
      <c r="N108" s="1853"/>
      <c r="O108" s="1853"/>
      <c r="P108" s="1848"/>
      <c r="Q108" s="1817"/>
    </row>
    <row r="109" spans="1:17" ht="15" thickTop="1">
      <c r="A109" s="1899"/>
      <c r="B109" s="1854" t="s">
        <v>2325</v>
      </c>
      <c r="C109" s="468"/>
      <c r="D109" s="468"/>
      <c r="E109" s="468"/>
      <c r="F109" s="1574"/>
      <c r="G109" s="1574"/>
      <c r="H109" s="1574"/>
      <c r="I109" s="1574"/>
      <c r="J109" s="1574"/>
      <c r="K109" s="473"/>
      <c r="L109" s="473"/>
      <c r="M109" s="1889"/>
      <c r="N109" s="1847"/>
      <c r="O109" s="1847"/>
      <c r="P109" s="1848"/>
      <c r="Q109" s="1817"/>
    </row>
    <row r="110" spans="1:17" ht="15.75" thickBot="1">
      <c r="A110" s="1849"/>
      <c r="B110" s="1857"/>
      <c r="C110" s="1858">
        <v>100</v>
      </c>
      <c r="D110" s="1858">
        <f t="shared" ref="D110:M110" si="26">C110-$K36</f>
        <v>100</v>
      </c>
      <c r="E110" s="1858">
        <f t="shared" si="26"/>
        <v>100</v>
      </c>
      <c r="F110" s="1858">
        <f t="shared" si="26"/>
        <v>100</v>
      </c>
      <c r="G110" s="1858">
        <f t="shared" si="26"/>
        <v>100</v>
      </c>
      <c r="H110" s="1858">
        <f t="shared" si="26"/>
        <v>100</v>
      </c>
      <c r="I110" s="1858">
        <f t="shared" si="26"/>
        <v>100</v>
      </c>
      <c r="J110" s="1858">
        <f t="shared" si="26"/>
        <v>100</v>
      </c>
      <c r="K110" s="1858">
        <f t="shared" si="26"/>
        <v>100</v>
      </c>
      <c r="L110" s="1858">
        <f t="shared" si="26"/>
        <v>100</v>
      </c>
      <c r="M110" s="1858">
        <f t="shared" si="26"/>
        <v>100</v>
      </c>
      <c r="N110" s="1853"/>
      <c r="O110" s="1853"/>
      <c r="P110" s="1848"/>
      <c r="Q110" s="1817"/>
    </row>
    <row r="111" spans="1:17" s="1767" customFormat="1" ht="15" thickTop="1">
      <c r="A111" s="1895"/>
      <c r="B111" s="1854"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7"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7" customFormat="1" ht="15.75" thickBot="1">
      <c r="A113" s="1865"/>
      <c r="B113" s="1857"/>
      <c r="C113" s="1887">
        <v>100</v>
      </c>
      <c r="D113" s="1858">
        <f>C113+$K37</f>
        <v>100</v>
      </c>
      <c r="E113" s="1858">
        <f>D113+$K37</f>
        <v>100</v>
      </c>
      <c r="F113" s="1858">
        <f>E113+$K37</f>
        <v>100</v>
      </c>
      <c r="G113" s="1858">
        <f>F113+$K37</f>
        <v>100</v>
      </c>
      <c r="H113" s="1858">
        <f>G113+$K37</f>
        <v>100</v>
      </c>
      <c r="I113" s="1887"/>
      <c r="J113" s="1903"/>
      <c r="K113" s="1903"/>
      <c r="L113" s="1903"/>
      <c r="M113" s="1904"/>
      <c r="N113" s="1867"/>
      <c r="O113" s="1867"/>
      <c r="P113" s="1868"/>
      <c r="Q113" s="1869"/>
    </row>
    <row r="114" spans="1:17" ht="15" thickTop="1">
      <c r="A114" s="1899"/>
      <c r="B114" s="1854" t="s">
        <v>2327</v>
      </c>
      <c r="C114" s="468"/>
      <c r="D114" s="468"/>
      <c r="E114" s="1574"/>
      <c r="F114" s="1574"/>
      <c r="G114" s="1574"/>
      <c r="H114" s="1574"/>
      <c r="I114" s="1574"/>
      <c r="J114" s="1574"/>
      <c r="K114" s="473"/>
      <c r="L114" s="473"/>
      <c r="M114" s="1889"/>
      <c r="N114" s="1847"/>
      <c r="O114" s="1847"/>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8">
        <f t="shared" si="27"/>
        <v>100</v>
      </c>
      <c r="N115" s="1853"/>
      <c r="O115" s="1853"/>
      <c r="P115" s="1848"/>
      <c r="Q115" s="1817"/>
    </row>
    <row r="116" spans="1:17" ht="15" thickTop="1">
      <c r="A116" s="1899"/>
      <c r="B116" s="1854" t="s">
        <v>2328</v>
      </c>
      <c r="C116" s="468"/>
      <c r="D116" s="468"/>
      <c r="E116" s="468"/>
      <c r="F116" s="468"/>
      <c r="G116" s="468"/>
      <c r="H116" s="1574"/>
      <c r="I116" s="1574"/>
      <c r="J116" s="1574"/>
      <c r="K116" s="473"/>
      <c r="L116" s="473"/>
      <c r="M116" s="1889"/>
      <c r="N116" s="1847"/>
      <c r="O116" s="1847"/>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1853"/>
      <c r="O117" s="1853"/>
      <c r="P117" s="1848"/>
      <c r="Q117" s="1817"/>
    </row>
    <row r="118" spans="1:17" ht="15" thickTop="1">
      <c r="A118" s="1899"/>
      <c r="B118" s="1854" t="s">
        <v>2329</v>
      </c>
      <c r="C118" s="1574"/>
      <c r="D118" s="1574"/>
      <c r="E118" s="1574"/>
      <c r="F118" s="1574"/>
      <c r="G118" s="1574"/>
      <c r="H118" s="1574"/>
      <c r="I118" s="1574"/>
      <c r="J118" s="1574"/>
      <c r="K118" s="473"/>
      <c r="L118" s="473"/>
      <c r="M118" s="1889"/>
      <c r="N118" s="1847"/>
      <c r="O118" s="1847"/>
      <c r="P118" s="1848"/>
      <c r="Q118" s="1817"/>
    </row>
    <row r="119" spans="1:17" ht="15.75" thickBot="1">
      <c r="A119" s="1849"/>
      <c r="B119" s="1857"/>
      <c r="C119" s="1858">
        <v>100</v>
      </c>
      <c r="D119" s="1858">
        <f t="shared" ref="D119:M119" si="28">C119-$K40</f>
        <v>100</v>
      </c>
      <c r="E119" s="1858">
        <f t="shared" si="28"/>
        <v>100</v>
      </c>
      <c r="F119" s="1858">
        <f t="shared" si="28"/>
        <v>100</v>
      </c>
      <c r="G119" s="1858">
        <f t="shared" si="28"/>
        <v>100</v>
      </c>
      <c r="H119" s="1858">
        <f t="shared" si="28"/>
        <v>100</v>
      </c>
      <c r="I119" s="1858">
        <f t="shared" si="28"/>
        <v>100</v>
      </c>
      <c r="J119" s="1858">
        <f t="shared" si="28"/>
        <v>100</v>
      </c>
      <c r="K119" s="1858">
        <f t="shared" si="28"/>
        <v>100</v>
      </c>
      <c r="L119" s="1858">
        <f t="shared" si="28"/>
        <v>100</v>
      </c>
      <c r="M119" s="1858">
        <f t="shared" si="28"/>
        <v>100</v>
      </c>
      <c r="N119" s="1853"/>
      <c r="O119" s="1853"/>
      <c r="P119" s="1848"/>
      <c r="Q119" s="1817"/>
    </row>
    <row r="120" spans="1:17" s="1767" customFormat="1" ht="28.5" thickTop="1">
      <c r="A120" s="1895"/>
      <c r="B120" s="1854" t="s">
        <v>2283</v>
      </c>
      <c r="C120" s="468"/>
      <c r="D120" s="468"/>
      <c r="E120" s="468"/>
      <c r="F120" s="468"/>
      <c r="G120" s="468"/>
      <c r="H120" s="468"/>
      <c r="I120" s="468"/>
      <c r="J120" s="468"/>
      <c r="K120" s="468"/>
      <c r="L120" s="468"/>
      <c r="M120" s="1886"/>
      <c r="N120" s="1867"/>
      <c r="O120" s="1867"/>
      <c r="P120" s="1868"/>
      <c r="Q120" s="1869"/>
    </row>
    <row r="121" spans="1:17" s="1767"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2330</v>
      </c>
      <c r="C122" s="3165" t="s">
        <v>2935</v>
      </c>
      <c r="D122" s="3165" t="s">
        <v>2934</v>
      </c>
      <c r="E122" s="3165" t="s">
        <v>2937</v>
      </c>
      <c r="F122" s="3170" t="s">
        <v>2939</v>
      </c>
      <c r="G122" s="1574"/>
      <c r="H122" s="1574"/>
      <c r="I122" s="1574"/>
      <c r="J122" s="1574"/>
      <c r="K122" s="473"/>
      <c r="L122" s="473"/>
      <c r="M122" s="1889"/>
      <c r="N122" s="1847"/>
      <c r="O122" s="1847"/>
      <c r="P122" s="1848"/>
      <c r="Q122" s="1817"/>
    </row>
    <row r="123" spans="1:17" ht="15.75" thickBot="1">
      <c r="A123" s="1849"/>
      <c r="B123" s="1857"/>
      <c r="C123" s="1858">
        <v>100</v>
      </c>
      <c r="D123" s="1858">
        <f t="shared" ref="D123:M123" si="29">C123-$K42</f>
        <v>98</v>
      </c>
      <c r="E123" s="1858">
        <f t="shared" si="29"/>
        <v>96</v>
      </c>
      <c r="F123" s="1858">
        <f t="shared" si="29"/>
        <v>94</v>
      </c>
      <c r="G123" s="1858">
        <f t="shared" si="29"/>
        <v>92</v>
      </c>
      <c r="H123" s="1858">
        <f t="shared" si="29"/>
        <v>90</v>
      </c>
      <c r="I123" s="1858">
        <f t="shared" si="29"/>
        <v>88</v>
      </c>
      <c r="J123" s="1858">
        <f t="shared" si="29"/>
        <v>86</v>
      </c>
      <c r="K123" s="1858">
        <f t="shared" si="29"/>
        <v>84</v>
      </c>
      <c r="L123" s="1858">
        <f t="shared" si="29"/>
        <v>82</v>
      </c>
      <c r="M123" s="1858">
        <f t="shared" si="29"/>
        <v>80</v>
      </c>
      <c r="N123" s="1853"/>
      <c r="O123" s="1853"/>
      <c r="P123" s="1848"/>
      <c r="Q123" s="1817"/>
    </row>
    <row r="124" spans="1:17" ht="15" thickTop="1">
      <c r="A124" s="1899"/>
      <c r="B124" s="1854" t="s">
        <v>2331</v>
      </c>
      <c r="C124" s="579" t="s">
        <v>2306</v>
      </c>
      <c r="D124" s="579" t="s">
        <v>2307</v>
      </c>
      <c r="E124" s="579" t="s">
        <v>2308</v>
      </c>
      <c r="F124" s="579" t="s">
        <v>2309</v>
      </c>
      <c r="G124" s="579" t="s">
        <v>2310</v>
      </c>
      <c r="H124" s="1855"/>
      <c r="I124" s="1855"/>
      <c r="J124" s="1855"/>
      <c r="K124" s="428"/>
      <c r="L124" s="428"/>
      <c r="M124" s="1856"/>
      <c r="N124" s="1847"/>
      <c r="O124" s="1847"/>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1853"/>
      <c r="O125" s="1853"/>
      <c r="P125" s="1848"/>
      <c r="Q125" s="1817"/>
    </row>
    <row r="126" spans="1:17" s="1767" customFormat="1" ht="15" thickTop="1">
      <c r="A126" s="1895"/>
      <c r="B126" s="1854" t="str">
        <f>B44</f>
        <v>楼层</v>
      </c>
      <c r="C126" s="3165" t="s">
        <v>2925</v>
      </c>
      <c r="D126" s="3165" t="s">
        <v>2924</v>
      </c>
      <c r="E126" s="3165" t="s">
        <v>2923</v>
      </c>
      <c r="F126" s="468"/>
      <c r="G126" s="468"/>
      <c r="H126" s="443"/>
      <c r="I126" s="443"/>
      <c r="J126" s="443"/>
      <c r="K126" s="443"/>
      <c r="L126" s="443"/>
      <c r="M126" s="1866"/>
      <c r="N126" s="1867"/>
      <c r="O126" s="1867"/>
      <c r="P126" s="1868"/>
      <c r="Q126" s="1869"/>
    </row>
    <row r="127" spans="1:17" s="1767" customFormat="1" ht="15.75" thickBot="1">
      <c r="A127" s="1865"/>
      <c r="B127" s="1857"/>
      <c r="C127" s="1870">
        <v>100</v>
      </c>
      <c r="D127" s="1851">
        <f>D93</f>
        <v>95</v>
      </c>
      <c r="E127" s="1851">
        <f>E93</f>
        <v>90</v>
      </c>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4"/>
      <c r="H128" s="1574"/>
      <c r="I128" s="1574"/>
      <c r="J128" s="1574"/>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0.871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69" t="s">
        <v>2332</v>
      </c>
    </row>
    <row r="137" spans="1:17" ht="15">
      <c r="B137" s="1907" t="s">
        <v>2333</v>
      </c>
      <c r="C137" s="1908"/>
      <c r="D137" s="1908"/>
      <c r="E137" s="1908"/>
      <c r="F137" s="1908"/>
      <c r="G137" s="1909"/>
      <c r="H137" s="1910"/>
      <c r="I137" s="1911" t="s">
        <v>2334</v>
      </c>
      <c r="J137" s="1908"/>
      <c r="K137" s="1912"/>
    </row>
    <row r="138" spans="1:17" ht="15">
      <c r="B138" s="1913"/>
      <c r="C138" s="1914" t="s">
        <v>2335</v>
      </c>
      <c r="D138" s="1914" t="s">
        <v>2336</v>
      </c>
      <c r="E138" s="1915" t="s">
        <v>2337</v>
      </c>
      <c r="F138" s="1916" t="s">
        <v>2338</v>
      </c>
      <c r="G138" s="1914" t="s">
        <v>2336</v>
      </c>
      <c r="H138" s="1917" t="s">
        <v>2337</v>
      </c>
      <c r="I138" s="1918"/>
      <c r="J138" s="1914" t="s">
        <v>2339</v>
      </c>
      <c r="K138" s="1917" t="s">
        <v>2340</v>
      </c>
    </row>
    <row r="139" spans="1:17" ht="15">
      <c r="B139" s="1919">
        <v>6</v>
      </c>
      <c r="C139" s="1920">
        <v>96</v>
      </c>
      <c r="D139" s="1921" t="s">
        <v>2341</v>
      </c>
      <c r="E139" s="1922">
        <v>100</v>
      </c>
      <c r="F139" s="1923">
        <v>102.5</v>
      </c>
      <c r="G139" s="1921" t="s">
        <v>2341</v>
      </c>
      <c r="H139" s="1924">
        <v>105</v>
      </c>
      <c r="I139" s="1925" t="s">
        <v>2342</v>
      </c>
      <c r="J139" s="1920">
        <v>20</v>
      </c>
      <c r="K139" s="1926">
        <f>C145/(J139-2)</f>
        <v>4.0555555555555553E-3</v>
      </c>
    </row>
    <row r="140" spans="1:17" ht="15">
      <c r="B140" s="1927">
        <v>5</v>
      </c>
      <c r="C140" s="1928">
        <v>100</v>
      </c>
      <c r="D140" s="1928"/>
      <c r="E140" s="1929"/>
      <c r="F140" s="1930">
        <v>102</v>
      </c>
      <c r="G140" s="1928"/>
      <c r="H140" s="1931"/>
      <c r="I140" s="1932" t="s">
        <v>2343</v>
      </c>
      <c r="J140" s="1933">
        <f>ROUNDUP((J139-1)/2,0)</f>
        <v>10</v>
      </c>
      <c r="K140" s="1934">
        <v>100</v>
      </c>
    </row>
    <row r="141" spans="1:17" ht="15">
      <c r="B141" s="1927">
        <v>4</v>
      </c>
      <c r="C141" s="1928">
        <v>102</v>
      </c>
      <c r="D141" s="1928"/>
      <c r="E141" s="1929"/>
      <c r="F141" s="1930">
        <v>101.5</v>
      </c>
      <c r="G141" s="1928"/>
      <c r="H141" s="1931"/>
      <c r="I141" s="1932" t="s">
        <v>2344</v>
      </c>
      <c r="J141" s="1933">
        <v>1</v>
      </c>
      <c r="K141" s="1935">
        <f>ROUND(100+(J141-J140)*K139*100,1)</f>
        <v>96.4</v>
      </c>
    </row>
    <row r="142" spans="1:17" ht="15">
      <c r="B142" s="1927">
        <v>3</v>
      </c>
      <c r="C142" s="1928">
        <v>103</v>
      </c>
      <c r="D142" s="1928"/>
      <c r="E142" s="1929"/>
      <c r="F142" s="1930">
        <v>101</v>
      </c>
      <c r="G142" s="1928"/>
      <c r="H142" s="1931"/>
      <c r="I142" s="1932" t="s">
        <v>2345</v>
      </c>
      <c r="J142" s="1933">
        <f>J139</f>
        <v>20</v>
      </c>
      <c r="K142" s="1936">
        <v>95</v>
      </c>
    </row>
    <row r="143" spans="1:17" ht="15">
      <c r="B143" s="1927">
        <v>2</v>
      </c>
      <c r="C143" s="1928">
        <v>100</v>
      </c>
      <c r="D143" s="1928"/>
      <c r="E143" s="1929"/>
      <c r="F143" s="1930">
        <v>100.5</v>
      </c>
      <c r="G143" s="1928"/>
      <c r="H143" s="1931"/>
      <c r="I143" s="1932" t="s">
        <v>2346</v>
      </c>
      <c r="J143" s="1928">
        <v>15</v>
      </c>
      <c r="K143" s="1935">
        <f>ROUND(100+(J143-J140)*K139*100,1)</f>
        <v>102</v>
      </c>
    </row>
    <row r="144" spans="1:17" ht="15">
      <c r="B144" s="1927">
        <v>1</v>
      </c>
      <c r="C144" s="1928">
        <v>98</v>
      </c>
      <c r="D144" s="1418" t="s">
        <v>2347</v>
      </c>
      <c r="E144" s="1929">
        <v>102</v>
      </c>
      <c r="F144" s="1937">
        <v>100</v>
      </c>
      <c r="G144" s="1418" t="s">
        <v>2347</v>
      </c>
      <c r="H144" s="1931">
        <v>105</v>
      </c>
      <c r="I144" s="1932" t="s">
        <v>2346</v>
      </c>
      <c r="J144" s="1928">
        <v>18</v>
      </c>
      <c r="K144" s="1935">
        <f>ROUND(100+(J144-J140)*K139*100,1)</f>
        <v>103.2</v>
      </c>
    </row>
    <row r="145" spans="2:11" ht="15.75" thickBot="1">
      <c r="B145" s="1938" t="s">
        <v>2348</v>
      </c>
      <c r="C145" s="1939">
        <f>ROUND(MAX(C139:C144)/MIN(C139:C144)-1,3)</f>
        <v>7.2999999999999995E-2</v>
      </c>
      <c r="D145" s="1940"/>
      <c r="E145" s="1940"/>
      <c r="F145" s="1570" t="s">
        <v>2349</v>
      </c>
      <c r="G145" s="1941"/>
      <c r="H145" s="1942"/>
      <c r="I145" s="1943" t="s">
        <v>2346</v>
      </c>
      <c r="J145" s="1944">
        <v>8</v>
      </c>
      <c r="K145" s="1945">
        <f>ROUND(100+(J145-J140)*K139*100,1)</f>
        <v>99.2</v>
      </c>
    </row>
    <row r="147" spans="2:11">
      <c r="B147" s="1569" t="s">
        <v>2350</v>
      </c>
    </row>
    <row r="148" spans="2:11">
      <c r="B148" s="1569" t="s">
        <v>2351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4" sqref="O24"/>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B22" zoomScale="80" zoomScaleNormal="80" zoomScaleSheetLayoutView="80" workbookViewId="0">
      <selection activeCell="B44" sqref="B4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2913</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24448575</v>
      </c>
      <c r="C2" s="79" t="str">
        <f>'数据-取费表'!B3</f>
        <v>元</v>
      </c>
      <c r="D2" s="1512" t="s">
        <v>1241</v>
      </c>
      <c r="E2" s="1178" t="e">
        <f ca="1">SUMIF(INDIRECT("'"&amp;G2&amp;"'"&amp;"!A:A"),"承租人权益价值",INDIRECT("'"&amp;G2&amp;"'"&amp;"!c:c"))</f>
        <v>#REF!</v>
      </c>
      <c r="F2" s="1513" t="str">
        <f>C2</f>
        <v>元</v>
      </c>
      <c r="G2" s="133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66768</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1918</v>
      </c>
      <c r="B5" s="89" t="s">
        <v>1919</v>
      </c>
      <c r="C5" s="111">
        <f>C6+C7+C8</f>
        <v>16071310</v>
      </c>
      <c r="D5" s="111" t="s">
        <v>1920</v>
      </c>
      <c r="E5" s="1164" t="s">
        <v>1921</v>
      </c>
      <c r="F5" s="1164"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3">
        <f>基准地价修正!B2</f>
        <v>15538790</v>
      </c>
      <c r="D6" s="1165"/>
      <c r="E6" s="1166"/>
      <c r="F6" s="116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473933</v>
      </c>
      <c r="D7" s="115"/>
      <c r="E7" s="1166"/>
      <c r="F7" s="116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58587</v>
      </c>
      <c r="D8" s="1168"/>
      <c r="E8" s="115"/>
      <c r="F8" s="1167"/>
      <c r="G8" s="1514" t="s">
        <v>2914</v>
      </c>
    </row>
    <row r="9" spans="1:123" s="91" customFormat="1" ht="13.5" customHeight="1">
      <c r="A9" s="993" t="s">
        <v>945</v>
      </c>
      <c r="B9" s="97" t="s">
        <v>1929</v>
      </c>
      <c r="C9" s="1169">
        <f>ROUND(D9*E9,0)</f>
        <v>58587</v>
      </c>
      <c r="D9" s="1170">
        <f>IF('数据-取费表'!B10="住宅",IF(B1="仅计算典型户型",'数据-取费表'!E5,'数据-取费表'!B5),0)</f>
        <v>366.17</v>
      </c>
      <c r="E9" s="1169">
        <f>'数据-取费表'!E11</f>
        <v>160</v>
      </c>
      <c r="F9" s="116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69">
        <f>ROUND(D10*E10,0)</f>
        <v>0</v>
      </c>
      <c r="D10" s="1170">
        <f>IF('数据-取费表'!B10&lt;&gt;"住宅",IF(B1="仅计算典型户型",'数据-取费表'!E5,'数据-取费表'!B5),0)</f>
        <v>0</v>
      </c>
      <c r="E10" s="1169">
        <f>'数据-取费表'!E12</f>
        <v>0</v>
      </c>
      <c r="F10" s="116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6"/>
      <c r="F11" s="116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1"/>
      <c r="F12" s="116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6"/>
      <c r="F13" s="116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6"/>
      <c r="F14" s="1166"/>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6"/>
      <c r="F15" s="1166"/>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6"/>
      <c r="F16" s="116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2"/>
      <c r="D17" s="1172"/>
      <c r="E17" s="1172"/>
      <c r="F17" s="1172"/>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6"/>
      <c r="F18" s="1167">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3">
        <f>IF(B1="仅计算典型户型",'数据-取费表'!E5,'数据-取费表'!B5)</f>
        <v>366.17</v>
      </c>
      <c r="E19" s="111">
        <f>'数据-取费表'!E15</f>
        <v>160</v>
      </c>
      <c r="F19" s="112"/>
      <c r="G19" s="1514" t="s">
        <v>2915</v>
      </c>
    </row>
    <row r="20" spans="1:123" s="91" customFormat="1" ht="13.5" customHeight="1">
      <c r="A20" s="120" t="s">
        <v>1942</v>
      </c>
      <c r="B20" s="89" t="s">
        <v>1943</v>
      </c>
      <c r="C20" s="99">
        <f>ROUND((C5+C19)*F20,0)</f>
        <v>321426</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1442597</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3">
        <f ca="1">ROUND(IF('数据-取费表'!B24&lt;=1,C5*F22*'数据-取费表'!B25,C5*(POWER((1+F22),'数据-取费表'!B25)-1)),0)</f>
        <v>1428615</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3">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3">
        <f ca="1">ROUND(IF('数据-取费表'!B24&lt;=1,C20*F22*'数据-取费表'!B25/2,C20*(POWER((1+F22),'数据-取费表'!B25/2)-1)),0)</f>
        <v>13982</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3278547</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3278547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22905055</v>
      </c>
      <c r="D31" s="1173"/>
      <c r="E31" s="111"/>
      <c r="F31" s="1174"/>
      <c r="G31" s="100" t="s">
        <v>1969</v>
      </c>
    </row>
    <row r="32" spans="1:123" s="88" customFormat="1" ht="15.75">
      <c r="A32" s="117" t="s">
        <v>1970</v>
      </c>
      <c r="B32" s="118"/>
      <c r="C32" s="1175"/>
      <c r="D32" s="1175"/>
      <c r="E32" s="1175"/>
      <c r="F32" s="1175"/>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1971</v>
      </c>
      <c r="B33" s="89" t="s">
        <v>1972</v>
      </c>
      <c r="C33" s="121">
        <f>SUM(C34:C38)</f>
        <v>1368011</v>
      </c>
      <c r="D33" s="99"/>
      <c r="E33" s="116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1171744</v>
      </c>
      <c r="D34" s="1165"/>
      <c r="E34" s="115"/>
      <c r="F34" s="1176" t="str">
        <f>IF('数据-取费表'!B26=0,"",'数据-取费表'!E20)</f>
        <v/>
      </c>
      <c r="G34" s="95"/>
    </row>
    <row r="35" spans="1:123" ht="13.5" customHeight="1">
      <c r="A35" s="92" t="s">
        <v>1925</v>
      </c>
      <c r="B35" s="93" t="s">
        <v>1974</v>
      </c>
      <c r="C35" s="115">
        <f>ROUND(C34*F35,0)</f>
        <v>46870</v>
      </c>
      <c r="D35" s="115"/>
      <c r="E35" s="115"/>
      <c r="F35" s="1177">
        <f>'数据-取费表'!E21</f>
        <v>0.04</v>
      </c>
      <c r="G35" s="95" t="s">
        <v>1975</v>
      </c>
    </row>
    <row r="36" spans="1:123" ht="24">
      <c r="A36" s="92" t="s">
        <v>1927</v>
      </c>
      <c r="B36" s="93" t="s">
        <v>1976</v>
      </c>
      <c r="C36" s="115">
        <f>ROUND(IF('数据-取费表'!B10="住宅",C34*F36,0),0)</f>
        <v>58587</v>
      </c>
      <c r="D36" s="115"/>
      <c r="E36" s="115"/>
      <c r="F36" s="1177">
        <f>'数据-取费表'!E22</f>
        <v>0.05</v>
      </c>
      <c r="G36" s="123" t="s">
        <v>1977</v>
      </c>
    </row>
    <row r="37" spans="1:123" s="122" customFormat="1" ht="13.5" customHeight="1">
      <c r="A37" s="92" t="s">
        <v>1958</v>
      </c>
      <c r="B37" s="93" t="s">
        <v>1978</v>
      </c>
      <c r="C37" s="115">
        <f>ROUND(E37*D37,0)</f>
        <v>73234</v>
      </c>
      <c r="D37" s="1165">
        <f>IF(B1="仅计算典型户型",'数据-取费表'!E5,'数据-取费表'!B5)</f>
        <v>366.17</v>
      </c>
      <c r="E37" s="115">
        <f>'数据-取费表'!E23</f>
        <v>200</v>
      </c>
      <c r="F37" s="1177"/>
      <c r="G37" s="124" t="s">
        <v>1979</v>
      </c>
    </row>
    <row r="38" spans="1:123" ht="13.5" customHeight="1">
      <c r="A38" s="92" t="s">
        <v>1980</v>
      </c>
      <c r="B38" s="93" t="s">
        <v>1981</v>
      </c>
      <c r="C38" s="115">
        <f>ROUND(C34*F38,0)</f>
        <v>17576</v>
      </c>
      <c r="D38" s="115"/>
      <c r="E38" s="115"/>
      <c r="F38" s="1177">
        <f>'数据-取费表'!E24</f>
        <v>1.4999999999999999E-2</v>
      </c>
      <c r="G38" s="95" t="s">
        <v>1975</v>
      </c>
    </row>
    <row r="39" spans="1:123" s="91" customFormat="1" ht="13.5" customHeight="1">
      <c r="A39" s="120" t="s">
        <v>1940</v>
      </c>
      <c r="B39" s="89" t="s">
        <v>1943</v>
      </c>
      <c r="C39" s="99">
        <f>ROUND(C33*F20,0)</f>
        <v>27360</v>
      </c>
      <c r="D39" s="99"/>
      <c r="E39" s="99"/>
      <c r="F39" s="2882">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0">
        <f>F21</f>
        <v>0.02</v>
      </c>
      <c r="D40" s="102" t="s">
        <v>1983</v>
      </c>
      <c r="E40" s="99"/>
      <c r="F40" s="2882">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60698</v>
      </c>
      <c r="D41" s="101">
        <f ca="1">C44</f>
        <v>8.9999999999999998E-4</v>
      </c>
      <c r="E41" s="102" t="s">
        <v>1983</v>
      </c>
      <c r="F41" s="2882">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59508</v>
      </c>
      <c r="D42" s="104"/>
      <c r="E42" s="104"/>
      <c r="F42" s="105"/>
      <c r="G42" s="3454" t="s">
        <v>1985</v>
      </c>
    </row>
    <row r="43" spans="1:123" ht="13.5" customHeight="1">
      <c r="A43" s="92" t="s">
        <v>1925</v>
      </c>
      <c r="B43" s="93" t="s">
        <v>1954</v>
      </c>
      <c r="C43" s="104">
        <f ca="1">ROUND(IF('数据-取费表'!B24&lt;=1,C39*F22*'数据-取费表'!B23/2,C39*(POWER((1+F22),'数据-取费表'!B23/2)-1)),0)</f>
        <v>1190</v>
      </c>
      <c r="D43" s="104"/>
      <c r="E43" s="104"/>
      <c r="F43" s="105"/>
      <c r="G43" s="3455"/>
    </row>
    <row r="44" spans="1:123" ht="13.5" customHeight="1">
      <c r="A44" s="92" t="s">
        <v>1927</v>
      </c>
      <c r="B44" s="93" t="s">
        <v>1956</v>
      </c>
      <c r="C44" s="104">
        <f ca="1">ROUND(IF('数据-取费表'!B24&lt;=1,C40*F22*'数据-取费表'!B23/2,C40*(POWER((1+F22),'数据-取费表'!B23/2)-1)),4)</f>
        <v>8.9999999999999998E-4</v>
      </c>
      <c r="D44" s="104"/>
      <c r="E44" s="104"/>
      <c r="F44" s="105"/>
      <c r="G44" s="3456"/>
    </row>
    <row r="45" spans="1:123" s="91" customFormat="1" ht="13.5" customHeight="1">
      <c r="A45" s="120" t="s">
        <v>1949</v>
      </c>
      <c r="B45" s="110" t="s">
        <v>1961</v>
      </c>
      <c r="C45" s="111">
        <f>C46</f>
        <v>279074</v>
      </c>
      <c r="D45" s="101">
        <f>C47</f>
        <v>4.0000000000000001E-3</v>
      </c>
      <c r="E45" s="102" t="s">
        <v>1983</v>
      </c>
      <c r="F45" s="2883">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279074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0">
        <f>ROUND(F30/(1+'数据-取费表'!F30),4)</f>
        <v>5.33E-2</v>
      </c>
      <c r="D48" s="102" t="s">
        <v>1983</v>
      </c>
      <c r="E48" s="99"/>
      <c r="F48" s="2882">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1882342</v>
      </c>
      <c r="D49" s="99"/>
      <c r="E49" s="99"/>
      <c r="F49" s="126"/>
      <c r="G49" s="100" t="s">
        <v>1993</v>
      </c>
    </row>
    <row r="50" spans="1:123" s="122" customFormat="1" ht="24">
      <c r="A50" s="994" t="s">
        <v>1994</v>
      </c>
      <c r="B50" s="89" t="s">
        <v>1995</v>
      </c>
      <c r="C50" s="99"/>
      <c r="D50" s="99"/>
      <c r="E50" s="99"/>
      <c r="F50" s="126">
        <f>IF('数据-取费表'!B26=0,'数据-取费表'!E20,1)</f>
        <v>0.82</v>
      </c>
      <c r="G50" s="113" t="s">
        <v>1996</v>
      </c>
    </row>
    <row r="51" spans="1:123" ht="16.5" customHeight="1">
      <c r="A51" s="994" t="s">
        <v>1997</v>
      </c>
      <c r="B51" s="89" t="s">
        <v>1998</v>
      </c>
      <c r="C51" s="99">
        <f ca="1">ROUND(C49*F50,0)</f>
        <v>1543520</v>
      </c>
      <c r="D51" s="99"/>
      <c r="E51" s="99"/>
      <c r="F51" s="126"/>
      <c r="G51" s="100" t="s">
        <v>1999</v>
      </c>
    </row>
    <row r="52" spans="1:123" s="88" customFormat="1" ht="16.5" thickBot="1">
      <c r="A52" s="127" t="s">
        <v>2000</v>
      </c>
      <c r="B52" s="128"/>
      <c r="C52" s="129">
        <f ca="1">C31+C51</f>
        <v>24448575</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2001</v>
      </c>
      <c r="C55" s="133"/>
    </row>
    <row r="56" spans="1:123">
      <c r="B56" s="135" t="s">
        <v>2002</v>
      </c>
      <c r="C56" s="136">
        <f ca="1">ROUND(C51/C52,3)</f>
        <v>6.3E-2</v>
      </c>
    </row>
    <row r="57" spans="1:123">
      <c r="B57" s="135" t="s">
        <v>2003</v>
      </c>
      <c r="C57" s="137">
        <f ca="1">1-C56</f>
        <v>0.93700000000000006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7"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38" t="str">
        <f>项目基本情况!B4</f>
        <v>韩亚银行（中国）有限公司北京分行</v>
      </c>
      <c r="C12" s="813"/>
    </row>
    <row r="13" spans="1:7">
      <c r="A13" s="903"/>
      <c r="B13" s="833"/>
      <c r="C13" s="813"/>
    </row>
    <row r="14" spans="1:7">
      <c r="A14" s="906" t="s">
        <v>940</v>
      </c>
      <c r="B14" s="905" t="s">
        <v>942</v>
      </c>
      <c r="C14" s="813"/>
    </row>
    <row r="15" spans="1:7">
      <c r="A15" s="903"/>
      <c r="B15" s="1338" t="s">
        <v>771</v>
      </c>
      <c r="C15" s="813"/>
    </row>
    <row r="16" spans="1:7">
      <c r="A16" s="903"/>
      <c r="B16" s="833"/>
      <c r="C16" s="813"/>
    </row>
    <row r="17" spans="1:5">
      <c r="A17" s="906" t="s">
        <v>940</v>
      </c>
      <c r="B17" s="905" t="s">
        <v>943</v>
      </c>
      <c r="C17" s="813"/>
    </row>
    <row r="18" spans="1:5" s="817" customFormat="1">
      <c r="A18" s="904"/>
      <c r="B18" s="1338" t="str">
        <f ca="1">CONCATENATE(项目基本情况!B3,"（注册号:",项目基本情况!C3,"）、",项目基本情况!D3,"（注册号:",项目基本情况!E3,")")</f>
        <v>（注册号:0）、郑燚（注册号:1120070131)</v>
      </c>
      <c r="C18" s="816"/>
      <c r="E18" s="816"/>
    </row>
    <row r="19" spans="1:5">
      <c r="A19" s="903"/>
      <c r="B19" s="833"/>
      <c r="C19" s="813"/>
    </row>
    <row r="20" spans="1:5">
      <c r="A20" s="906" t="s">
        <v>940</v>
      </c>
      <c r="B20" s="905" t="s">
        <v>944</v>
      </c>
      <c r="C20" s="813"/>
    </row>
    <row r="21" spans="1:5">
      <c r="A21" s="903"/>
      <c r="B21" s="1338"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2"/>
      <c r="E1" s="924"/>
      <c r="F1" s="924"/>
      <c r="G1" s="924"/>
      <c r="H1" s="924"/>
      <c r="I1" s="924"/>
      <c r="J1" s="924"/>
      <c r="K1" s="924"/>
    </row>
    <row r="2" spans="1:33" s="139" customFormat="1" ht="18" customHeight="1">
      <c r="A2" s="81" t="s">
        <v>1288</v>
      </c>
      <c r="B2" s="84">
        <f ca="1">IF(C2="元",C32,ROUND(C32/10000,0))</f>
        <v>8484068</v>
      </c>
      <c r="C2" s="1399" t="str">
        <f>'数据-取费表'!B3</f>
        <v>元</v>
      </c>
      <c r="D2" s="924"/>
      <c r="E2" s="924"/>
      <c r="F2" s="924"/>
      <c r="G2" s="924"/>
      <c r="H2" s="924"/>
      <c r="I2" s="924"/>
      <c r="J2" s="924"/>
      <c r="K2" s="924"/>
    </row>
    <row r="3" spans="1:33" s="139" customFormat="1" ht="18" customHeight="1" thickBot="1">
      <c r="A3" s="83" t="s">
        <v>1289</v>
      </c>
      <c r="B3" s="84">
        <f ca="1">ROUND(C32/IF(C1="仅计算典型户型",'数据-取费表'!E5,'数据-取费表'!B5),0)</f>
        <v>23170</v>
      </c>
      <c r="C3" s="1399" t="s">
        <v>1290</v>
      </c>
      <c r="D3" s="924"/>
      <c r="E3" s="924"/>
      <c r="F3" s="924"/>
      <c r="G3" s="924"/>
      <c r="H3" s="924"/>
      <c r="I3" s="924"/>
      <c r="J3" s="924"/>
      <c r="K3" s="924"/>
    </row>
    <row r="4" spans="1:33" s="143" customFormat="1" ht="16.5" customHeight="1">
      <c r="A4" s="140" t="s">
        <v>1291</v>
      </c>
      <c r="B4" s="141"/>
      <c r="C4" s="1121">
        <f>SUM(C8:K8)</f>
        <v>12815950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18"/>
      <c r="E6" s="1118"/>
      <c r="F6" s="1118"/>
      <c r="G6" s="1118"/>
      <c r="H6" s="1118"/>
      <c r="I6" s="1118"/>
      <c r="J6" s="1118"/>
      <c r="K6" s="111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366.17</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0" t="s">
        <v>1298</v>
      </c>
      <c r="B8" s="147" t="s">
        <v>1299</v>
      </c>
      <c r="C8" s="610">
        <f>C6*C7</f>
        <v>12815950</v>
      </c>
      <c r="D8" s="1120"/>
      <c r="E8" s="1120"/>
      <c r="F8" s="1118"/>
      <c r="G8" s="1118"/>
      <c r="H8" s="1118"/>
      <c r="I8" s="1118"/>
      <c r="J8" s="1118"/>
      <c r="K8" s="111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1171744</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46870</v>
      </c>
      <c r="D12" s="164"/>
      <c r="E12" s="34"/>
      <c r="F12" s="167">
        <f>'数据-取费表'!E21</f>
        <v>0.04</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58587</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13182</v>
      </c>
      <c r="D14" s="164">
        <f>IF(C1="仅计算典型户型",'数据-取费表'!E5,'数据-取费表'!B5)</f>
        <v>366.17</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17576</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1307959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366.17</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58587</v>
      </c>
      <c r="D19" s="164">
        <f>IF('数据-取费表'!B10="住宅",IF(C1="仅计算典型户型",'数据-取费表'!E5,'数据-取费表'!B5),0)</f>
        <v>366.17</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1307959</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26159</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46137</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276051</v>
      </c>
      <c r="D28" s="183">
        <f>C29</f>
        <v>0.20580000000000001</v>
      </c>
      <c r="E28" s="189" t="s">
        <v>12</v>
      </c>
      <c r="F28" s="200">
        <f>'数据-取费表'!E28</f>
        <v>0.2</v>
      </c>
      <c r="G28" s="185"/>
      <c r="H28" s="186"/>
      <c r="I28" s="186"/>
      <c r="J28" s="186"/>
      <c r="K28" s="187"/>
    </row>
    <row r="29" spans="1:33" s="204" customFormat="1" ht="13.5" customHeight="1">
      <c r="A29" s="996" t="s">
        <v>1342</v>
      </c>
      <c r="B29" s="202" t="s">
        <v>1343</v>
      </c>
      <c r="C29" s="193">
        <f>ROUND((1+C24)*F28,4)</f>
        <v>0.20580000000000001</v>
      </c>
      <c r="D29" s="193"/>
      <c r="E29" s="194"/>
      <c r="F29" s="203"/>
      <c r="G29" s="147" t="s">
        <v>1344</v>
      </c>
      <c r="H29" s="170"/>
      <c r="I29" s="170"/>
      <c r="J29" s="170"/>
      <c r="K29" s="171"/>
    </row>
    <row r="30" spans="1:33" s="204" customFormat="1" ht="13.5" customHeight="1">
      <c r="A30" s="996" t="s">
        <v>1345</v>
      </c>
      <c r="B30" s="202" t="s">
        <v>1346</v>
      </c>
      <c r="C30" s="205">
        <f>ROUND((C21+C22+C23)*F28,0)</f>
        <v>276051</v>
      </c>
      <c r="D30" s="193"/>
      <c r="E30" s="206"/>
      <c r="F30" s="203"/>
      <c r="G30" s="147"/>
      <c r="H30" s="170"/>
      <c r="I30" s="170"/>
      <c r="J30" s="170"/>
      <c r="K30" s="171"/>
    </row>
    <row r="31" spans="1:33" s="182" customFormat="1" ht="13.5" customHeight="1" thickBot="1">
      <c r="A31" s="1401" t="s">
        <v>1347</v>
      </c>
      <c r="B31" s="177" t="s">
        <v>1348</v>
      </c>
      <c r="C31" s="207">
        <f>ROUND(C4*F31/(1+'数据-取费表'!F30),0)</f>
        <v>683517</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8484068</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1" t="s">
        <v>2745</v>
      </c>
      <c r="E1" s="1622" t="s">
        <v>1241</v>
      </c>
      <c r="F1" s="1623"/>
      <c r="G1" s="1624" t="e">
        <f>MATCH(C1,'数据-取费表'!A19:A19,0)+5</f>
        <v>#N/A</v>
      </c>
      <c r="H1" s="2981"/>
      <c r="I1" s="925"/>
      <c r="J1" s="925"/>
      <c r="K1" s="926"/>
      <c r="L1" s="925"/>
      <c r="M1" s="925"/>
      <c r="N1" s="658"/>
      <c r="O1" s="658"/>
      <c r="P1" s="658"/>
      <c r="Q1" s="103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-1597633</v>
      </c>
      <c r="C2" s="1515" t="str">
        <f>'数据-取费表'!B3</f>
        <v>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-2182</v>
      </c>
      <c r="C3" s="1515"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29" t="s">
        <v>2723</v>
      </c>
      <c r="E5" s="927"/>
      <c r="F5" s="1054"/>
      <c r="G5" s="951"/>
      <c r="H5" s="232">
        <v>1</v>
      </c>
      <c r="I5" s="233" t="s">
        <v>2012</v>
      </c>
      <c r="J5" s="234">
        <f ca="1">J6+J10+J12</f>
        <v>0</v>
      </c>
      <c r="K5" s="1516" t="s">
        <v>2013</v>
      </c>
      <c r="L5" s="927"/>
      <c r="M5" s="1054"/>
    </row>
    <row r="6" spans="1:37" ht="18" customHeight="1">
      <c r="A6" s="1055" t="s">
        <v>2014</v>
      </c>
      <c r="B6" s="1438" t="s">
        <v>2015</v>
      </c>
      <c r="C6" s="234">
        <f>ROUND(F6*F8*F7*(1-F9),0)</f>
        <v>0</v>
      </c>
      <c r="D6" s="36" t="s">
        <v>2699</v>
      </c>
      <c r="E6" s="235" t="s">
        <v>2016</v>
      </c>
      <c r="F6" s="236">
        <f>'数据-取费表'!B30</f>
        <v>0</v>
      </c>
      <c r="G6" s="951"/>
      <c r="H6" s="1055" t="s">
        <v>2014</v>
      </c>
      <c r="I6" s="1438" t="s">
        <v>2015</v>
      </c>
      <c r="J6" s="234">
        <f>ROUND(M6*M8*M7*(1-M9),0)</f>
        <v>0</v>
      </c>
      <c r="K6" s="36" t="s">
        <v>2699</v>
      </c>
      <c r="L6" s="235" t="s">
        <v>2016</v>
      </c>
      <c r="M6" s="236">
        <f>'数据-取费表'!B37</f>
        <v>0</v>
      </c>
    </row>
    <row r="7" spans="1:37" ht="18" customHeight="1">
      <c r="A7" s="1117"/>
      <c r="B7" s="238"/>
      <c r="C7" s="239"/>
      <c r="D7" s="240"/>
      <c r="E7" s="235" t="s">
        <v>2017</v>
      </c>
      <c r="F7" s="236">
        <f>IF('数据-取费表'!B42="",IF(D1="仅计算典型户型",'数据-取费表'!E5,'数据-取费表'!B5),'数据-取费表'!B42)</f>
        <v>732.34</v>
      </c>
      <c r="G7" s="951"/>
      <c r="H7" s="237"/>
      <c r="I7" s="238"/>
      <c r="J7" s="239"/>
      <c r="K7" s="240"/>
      <c r="L7" s="235" t="s">
        <v>2017</v>
      </c>
      <c r="M7" s="236">
        <f>IF('数据-取费表'!B42="",IF(D1="仅计算典型户型",'数据-取费表'!E5,'数据-取费表'!B5),'数据-取费表'!B42)</f>
        <v>732.34</v>
      </c>
    </row>
    <row r="8" spans="1:37" ht="18" customHeight="1">
      <c r="A8" s="1117"/>
      <c r="B8" s="238"/>
      <c r="C8" s="239"/>
      <c r="D8" s="240"/>
      <c r="E8" s="235" t="s">
        <v>2018</v>
      </c>
      <c r="F8" s="236">
        <f>'数据-取费表'!B43</f>
        <v>365</v>
      </c>
      <c r="G8" s="951"/>
      <c r="H8" s="237"/>
      <c r="I8" s="238"/>
      <c r="J8" s="239"/>
      <c r="K8" s="240"/>
      <c r="L8" s="235" t="s">
        <v>2019</v>
      </c>
      <c r="M8" s="236">
        <f>'数据-取费表'!B43</f>
        <v>365</v>
      </c>
    </row>
    <row r="9" spans="1:37" ht="18" customHeight="1">
      <c r="A9" s="1117"/>
      <c r="B9" s="238"/>
      <c r="C9" s="239"/>
      <c r="D9" s="244"/>
      <c r="E9" s="235" t="s">
        <v>2020</v>
      </c>
      <c r="F9" s="245">
        <f>'数据-取费表'!B33</f>
        <v>0.1</v>
      </c>
      <c r="G9" s="951"/>
      <c r="H9" s="237"/>
      <c r="I9" s="238"/>
      <c r="J9" s="1057"/>
      <c r="K9" s="43"/>
      <c r="L9" s="246" t="s">
        <v>2020</v>
      </c>
      <c r="M9" s="245">
        <f>'数据-取费表'!B39</f>
        <v>0</v>
      </c>
    </row>
    <row r="10" spans="1:37" ht="18" customHeight="1">
      <c r="A10" s="1055" t="s">
        <v>2021</v>
      </c>
      <c r="B10" s="1517" t="s">
        <v>2022</v>
      </c>
      <c r="C10" s="1056">
        <f ca="1">ROUND(IF(F10="押一",C6/12*F11,IF(F10="押二",C6/12*2*F11,IF(F10="押三",C6/12*3*F11,C11*F11))),0)</f>
        <v>0</v>
      </c>
      <c r="D10" s="1518" t="s">
        <v>2705</v>
      </c>
      <c r="E10" s="246" t="s">
        <v>2023</v>
      </c>
      <c r="F10" s="1519" t="s">
        <v>2024</v>
      </c>
      <c r="G10" s="951"/>
      <c r="H10" s="1055" t="s">
        <v>2021</v>
      </c>
      <c r="I10" s="1517" t="s">
        <v>2022</v>
      </c>
      <c r="J10" s="1056">
        <f ca="1">ROUND(IF(M10="押一",J6/12*M11,IF(M10="押二",J6/12*2*M11,IF(M10="押三",J6/12*3*M11,J11*M11))),0)</f>
        <v>0</v>
      </c>
      <c r="K10" s="36" t="s">
        <v>2705</v>
      </c>
      <c r="L10" s="246" t="s">
        <v>2023</v>
      </c>
      <c r="M10" s="1519"/>
    </row>
    <row r="11" spans="1:37" s="257" customFormat="1" ht="18" customHeight="1">
      <c r="A11" s="263"/>
      <c r="B11" s="1520" t="s">
        <v>2025</v>
      </c>
      <c r="C11" s="1089"/>
      <c r="D11" s="240"/>
      <c r="E11" s="246" t="s">
        <v>2026</v>
      </c>
      <c r="F11" s="247">
        <f ca="1">'数据-取费表'!B31</f>
        <v>1.4999999999999999E-2</v>
      </c>
      <c r="G11" s="952"/>
      <c r="H11" s="241"/>
      <c r="I11" s="1520" t="s">
        <v>2027</v>
      </c>
      <c r="J11" s="1089"/>
      <c r="K11" s="240"/>
      <c r="L11" s="246" t="s">
        <v>2026</v>
      </c>
      <c r="M11" s="247">
        <f ca="1">'数据-取费表'!B31</f>
        <v>1.4999999999999999E-2</v>
      </c>
      <c r="N11" s="657"/>
      <c r="O11" s="657"/>
      <c r="P11" s="657"/>
      <c r="Q11" s="103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4" t="s">
        <v>2028</v>
      </c>
      <c r="B12" s="1521" t="s">
        <v>2029</v>
      </c>
      <c r="C12" s="1095"/>
      <c r="D12" s="1522"/>
      <c r="E12" s="1101"/>
      <c r="F12" s="1096"/>
      <c r="G12" s="951"/>
      <c r="H12" s="1094" t="s">
        <v>2028</v>
      </c>
      <c r="I12" s="1521" t="s">
        <v>2029</v>
      </c>
      <c r="J12" s="1095"/>
      <c r="K12" s="1111"/>
      <c r="L12" s="1101"/>
      <c r="M12" s="1112"/>
    </row>
    <row r="13" spans="1:37" s="257" customFormat="1" ht="18" customHeight="1" thickTop="1">
      <c r="A13" s="1090">
        <v>2</v>
      </c>
      <c r="B13" s="1091" t="s">
        <v>2030</v>
      </c>
      <c r="C13" s="243">
        <f ca="1">ROUND(C29*F13,0)</f>
        <v>3087042</v>
      </c>
      <c r="D13" s="1092" t="s">
        <v>2031</v>
      </c>
      <c r="E13" s="1092" t="s">
        <v>2032</v>
      </c>
      <c r="F13" s="1093">
        <f>'数据-取费表'!E20</f>
        <v>0.82</v>
      </c>
      <c r="G13" s="952"/>
      <c r="H13" s="1090">
        <v>2</v>
      </c>
      <c r="I13" s="1091" t="s">
        <v>2030</v>
      </c>
      <c r="J13" s="1057">
        <f ca="1">ROUND(J14*J15,0)</f>
        <v>0</v>
      </c>
      <c r="K13" s="1097" t="s">
        <v>2031</v>
      </c>
      <c r="L13" s="1109"/>
      <c r="M13" s="1110"/>
      <c r="N13" s="657"/>
      <c r="O13" s="657"/>
      <c r="P13" s="657"/>
      <c r="Q13" s="103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2343488</v>
      </c>
      <c r="D14" s="1326" t="s">
        <v>2035</v>
      </c>
      <c r="E14" s="1327"/>
      <c r="F14" s="799"/>
      <c r="G14" s="952"/>
      <c r="H14" s="253" t="s">
        <v>2014</v>
      </c>
      <c r="I14" s="235" t="s">
        <v>2036</v>
      </c>
      <c r="J14" s="13">
        <f ca="1">C29</f>
        <v>3764685</v>
      </c>
      <c r="K14" s="12"/>
      <c r="L14" s="251"/>
      <c r="M14" s="252"/>
      <c r="N14" s="657"/>
      <c r="O14" s="657"/>
      <c r="P14" s="657"/>
      <c r="Q14" s="103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93740</v>
      </c>
      <c r="D15" s="255" t="s">
        <v>2039</v>
      </c>
      <c r="E15" s="255" t="s">
        <v>2040</v>
      </c>
      <c r="F15" s="256">
        <f>'数据-取费表'!E21</f>
        <v>0.04</v>
      </c>
      <c r="G15" s="951"/>
      <c r="H15" s="1100" t="s">
        <v>2041</v>
      </c>
      <c r="I15" s="1101" t="s">
        <v>2042</v>
      </c>
      <c r="J15" s="1113">
        <f>'数据-取费表'!B40</f>
        <v>0</v>
      </c>
      <c r="K15" s="1114"/>
      <c r="L15" s="1115"/>
      <c r="M15" s="1116"/>
    </row>
    <row r="16" spans="1:37" s="257" customFormat="1" ht="18" customHeight="1" thickTop="1">
      <c r="A16" s="253" t="s">
        <v>2043</v>
      </c>
      <c r="B16" s="235" t="s">
        <v>2044</v>
      </c>
      <c r="C16" s="13">
        <f>ROUND(C14*F16,0)</f>
        <v>117174</v>
      </c>
      <c r="D16" s="235" t="s">
        <v>2039</v>
      </c>
      <c r="E16" s="235" t="s">
        <v>2040</v>
      </c>
      <c r="F16" s="258">
        <f>IF('数据-取费表'!B10="住宅",'数据-取费表'!E22,0)</f>
        <v>0.05</v>
      </c>
      <c r="G16" s="952"/>
      <c r="H16" s="1090" t="s">
        <v>14</v>
      </c>
      <c r="I16" s="1091" t="s">
        <v>2045</v>
      </c>
      <c r="J16" s="243">
        <f ca="1">ROUND(J17+J22+J23+J24,0)</f>
        <v>88093</v>
      </c>
      <c r="K16" s="1097" t="s">
        <v>2046</v>
      </c>
      <c r="L16" s="1098"/>
      <c r="M16" s="1099"/>
      <c r="N16" s="657"/>
      <c r="O16" s="657"/>
      <c r="P16" s="657"/>
      <c r="Q16" s="103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146468</v>
      </c>
      <c r="D17" s="235" t="s">
        <v>2049</v>
      </c>
      <c r="E17" s="235" t="s">
        <v>2050</v>
      </c>
      <c r="F17" s="15">
        <f>'数据-取费表'!E23</f>
        <v>200</v>
      </c>
      <c r="G17" s="952"/>
      <c r="H17" s="253" t="s">
        <v>2051</v>
      </c>
      <c r="I17" s="235" t="s">
        <v>2052</v>
      </c>
      <c r="J17" s="2821">
        <f ca="1">ROUND(IF(AND(项目基本情况!B7="自然人",项目基本情况!B6="北京市"),J6*M17/(1+'数据-取费表'!F30),J18+J19+J20),0)</f>
        <v>31623</v>
      </c>
      <c r="K17" s="1326" t="s">
        <v>2053</v>
      </c>
      <c r="L17" s="1329" t="s">
        <v>2054</v>
      </c>
      <c r="M17" s="2820" t="str">
        <f>IF(项目基本情况!B7="企业","——",IF('数据-取费表'!B10="住宅",IF(M6*M7*M8/12/(1+'数据-取费表'!F30)&gt;100000,4%,2.5%),IF(M6*M7*M8/12/(1+'数据-取费表'!F30)&gt;100000,12%,7%)))</f>
        <v>——</v>
      </c>
      <c r="N17" s="657"/>
      <c r="O17" s="657"/>
      <c r="P17" s="657"/>
      <c r="Q17" s="103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35152</v>
      </c>
      <c r="D18" s="235" t="s">
        <v>2039</v>
      </c>
      <c r="E18" s="235" t="s">
        <v>2040</v>
      </c>
      <c r="F18" s="258">
        <f>'数据-取费表'!E24</f>
        <v>1.4999999999999999E-2</v>
      </c>
      <c r="G18" s="951"/>
      <c r="H18" s="253" t="s">
        <v>2057</v>
      </c>
      <c r="I18" s="235" t="s">
        <v>2058</v>
      </c>
      <c r="J18" s="13">
        <f>IF(项目基本情况!B7="自然人","——",ROUND(J6*M18/(1+'数据-取费表'!F30),0))</f>
        <v>0</v>
      </c>
      <c r="K18" s="1329" t="s">
        <v>2725</v>
      </c>
      <c r="L18" s="235" t="s">
        <v>2040</v>
      </c>
      <c r="M18" s="258">
        <f>'数据-取费表'!E29</f>
        <v>5.6000000000000001E-2</v>
      </c>
    </row>
    <row r="19" spans="1:37" s="257" customFormat="1" ht="18" customHeight="1">
      <c r="A19" s="253" t="s">
        <v>2051</v>
      </c>
      <c r="B19" s="235" t="s">
        <v>2059</v>
      </c>
      <c r="C19" s="13">
        <f>SUM(C14:C18)</f>
        <v>2736022</v>
      </c>
      <c r="D19" s="33" t="s">
        <v>2060</v>
      </c>
      <c r="E19" s="1331"/>
      <c r="F19" s="15"/>
      <c r="G19" s="952"/>
      <c r="H19" s="253" t="s">
        <v>2037</v>
      </c>
      <c r="I19" s="235" t="s">
        <v>2061</v>
      </c>
      <c r="J19" s="13">
        <f ca="1">IF(项目基本情况!B7="自然人","——",IF(K19="按租金收入计税",ROUND(J6*M19/(1+'数据-取费表'!F30),0),ROUND(C29*M19*0.7,0)))</f>
        <v>31623</v>
      </c>
      <c r="K19" s="1433"/>
      <c r="L19" s="235" t="s">
        <v>2040</v>
      </c>
      <c r="M19" s="258">
        <f>IF(K19="按租金收入计税",'数据-取费表'!E39,'数据-取费表'!E38)</f>
        <v>1.2E-2</v>
      </c>
      <c r="N19" s="657"/>
      <c r="O19" s="657"/>
      <c r="P19" s="657"/>
      <c r="Q19" s="103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54720</v>
      </c>
      <c r="D20" s="259" t="s">
        <v>2064</v>
      </c>
      <c r="E20" s="235" t="s">
        <v>2065</v>
      </c>
      <c r="F20" s="258">
        <f>'数据-取费表'!E25</f>
        <v>0.02</v>
      </c>
      <c r="G20" s="952"/>
      <c r="H20" s="253" t="s">
        <v>2043</v>
      </c>
      <c r="I20" s="36" t="s">
        <v>2066</v>
      </c>
      <c r="J20" s="14">
        <f>IF(项目基本情况!B7="自然人","——",ROUND(M20*M21,0))</f>
        <v>0</v>
      </c>
      <c r="K20" s="261" t="s">
        <v>2067</v>
      </c>
      <c r="L20" s="235" t="s">
        <v>2068</v>
      </c>
      <c r="M20" s="262">
        <f>'数据-取费表'!E40</f>
        <v>18</v>
      </c>
      <c r="N20" s="657"/>
      <c r="O20" s="657"/>
      <c r="P20" s="657"/>
      <c r="Q20" s="103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1"/>
      <c r="F22" s="15"/>
      <c r="G22" s="951"/>
      <c r="H22" s="253" t="s">
        <v>2041</v>
      </c>
      <c r="I22" s="235" t="s">
        <v>2076</v>
      </c>
      <c r="J22" s="13">
        <f ca="1">ROUND(J14*M22,0)</f>
        <v>56470</v>
      </c>
      <c r="K22" s="1329"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121397</v>
      </c>
      <c r="D23" s="1429"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29"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29" t="str">
        <f>IF(F23&lt;=1,"销售费用×利率×(建设周期÷2)","销售费用×((1+利率)^(建设周期÷2)-1)")</f>
        <v>销售费用×((1+利率)^(建设周期÷2)-1)</v>
      </c>
      <c r="E24" s="235" t="s">
        <v>2085</v>
      </c>
      <c r="F24" s="267">
        <f ca="1">'数据-取费表'!E27</f>
        <v>4.3499999999999997E-2</v>
      </c>
      <c r="G24" s="952"/>
      <c r="H24" s="1100" t="s">
        <v>2074</v>
      </c>
      <c r="I24" s="1101" t="s">
        <v>2063</v>
      </c>
      <c r="J24" s="1102">
        <f ca="1">ROUND(J5*M24,0)</f>
        <v>0</v>
      </c>
      <c r="K24" s="1103" t="s">
        <v>2086</v>
      </c>
      <c r="L24" s="1101" t="s">
        <v>2082</v>
      </c>
      <c r="M24" s="1096">
        <f>'数据-取费表'!B47</f>
        <v>0.02</v>
      </c>
      <c r="N24" s="657"/>
      <c r="O24" s="657"/>
      <c r="P24" s="657"/>
      <c r="Q24" s="103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1"/>
      <c r="F25" s="15"/>
      <c r="G25" s="952"/>
      <c r="H25" s="1090" t="s">
        <v>22</v>
      </c>
      <c r="I25" s="1105" t="s">
        <v>2090</v>
      </c>
      <c r="J25" s="243">
        <f ca="1">J5-J16</f>
        <v>-88093</v>
      </c>
      <c r="K25" s="1106" t="s">
        <v>2091</v>
      </c>
      <c r="L25" s="1107"/>
      <c r="M25" s="1108"/>
      <c r="N25" s="657"/>
      <c r="O25" s="657"/>
      <c r="P25" s="657"/>
      <c r="Q25" s="103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558148</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4.0000000000000001E-3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0" t="s">
        <v>2107</v>
      </c>
      <c r="B29" s="1101" t="s">
        <v>2108</v>
      </c>
      <c r="C29" s="1102">
        <f ca="1">ROUND((C19+C20+C23+C26)/(1-F21-C24-C27-C28),0)</f>
        <v>3764685</v>
      </c>
      <c r="D29" s="1103"/>
      <c r="E29" s="1101"/>
      <c r="F29" s="1104"/>
      <c r="G29" s="652"/>
      <c r="H29" s="271" t="s">
        <v>24</v>
      </c>
      <c r="I29" s="272" t="s">
        <v>2109</v>
      </c>
      <c r="J29" s="273">
        <f ca="1">ROUND(J26/(1+F40)^F41,0)</f>
        <v>0</v>
      </c>
      <c r="K29" s="274" t="s">
        <v>2110</v>
      </c>
      <c r="L29" s="275"/>
      <c r="M29" s="276">
        <f>IF(D1="仅计算典型户型",'数据-取费表'!E5,'数据-取费表'!B5)</f>
        <v>732.34</v>
      </c>
    </row>
    <row r="30" spans="1:37" ht="18" customHeight="1" thickTop="1">
      <c r="A30" s="1090" t="s">
        <v>14</v>
      </c>
      <c r="B30" s="1091" t="s">
        <v>2111</v>
      </c>
      <c r="C30" s="243">
        <f ca="1">ROUND(C31+C36+C37+C38,0)</f>
        <v>61101</v>
      </c>
      <c r="D30" s="1097" t="s">
        <v>2112</v>
      </c>
      <c r="E30" s="1098"/>
      <c r="F30" s="1099"/>
      <c r="G30" s="652"/>
      <c r="H30" s="931"/>
      <c r="I30" s="932"/>
      <c r="J30" s="933"/>
      <c r="K30" s="934"/>
      <c r="L30" s="935"/>
      <c r="M30" s="936"/>
    </row>
    <row r="31" spans="1:37" ht="18" customHeight="1">
      <c r="A31" s="253" t="s">
        <v>2014</v>
      </c>
      <c r="B31" s="235" t="s">
        <v>2052</v>
      </c>
      <c r="C31" s="2821">
        <f>ROUND(IF(AND(项目基本情况!B7="自然人",项目基本情况!B6="北京市"),C6*F31/(1+'数据-取费表'!F30),C32+C33+C34),0)</f>
        <v>0</v>
      </c>
      <c r="D31" s="1326" t="s">
        <v>2113</v>
      </c>
      <c r="E31" s="1329" t="s">
        <v>2114</v>
      </c>
      <c r="F31" s="2820"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0</v>
      </c>
      <c r="D32" s="1329" t="s">
        <v>2724</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0</v>
      </c>
      <c r="D33" s="1433" t="s">
        <v>2886</v>
      </c>
      <c r="E33" s="235" t="s">
        <v>2040</v>
      </c>
      <c r="F33" s="258">
        <f>IF(D33="按票据","——",IF(D33="按租金收入计税",'数据-取费表'!E39,'数据-取费表'!E38))</f>
        <v>0.12</v>
      </c>
      <c r="G33" s="652"/>
      <c r="H33" s="943"/>
      <c r="I33" s="278" t="s">
        <v>2117</v>
      </c>
      <c r="J33" s="279"/>
      <c r="K33" s="944"/>
      <c r="L33" s="943"/>
      <c r="M33" s="943"/>
    </row>
    <row r="34" spans="1:18" ht="18" customHeight="1">
      <c r="A34" s="1055" t="s">
        <v>2043</v>
      </c>
      <c r="B34" s="36" t="s">
        <v>2066</v>
      </c>
      <c r="C34" s="14">
        <f>IF(项目基本情况!B7="自然人","——",ROUND(F34*F35,0))</f>
        <v>0</v>
      </c>
      <c r="D34" s="261" t="s">
        <v>2067</v>
      </c>
      <c r="E34" s="235" t="s">
        <v>2068</v>
      </c>
      <c r="F34" s="262">
        <f>'数据-取费表'!E40</f>
        <v>18</v>
      </c>
      <c r="G34" s="652"/>
      <c r="H34" s="931"/>
      <c r="I34" s="280" t="s">
        <v>2118</v>
      </c>
      <c r="J34" s="281">
        <f ca="1">ROUND(C13*J35,0)</f>
        <v>262399</v>
      </c>
      <c r="K34" s="945"/>
      <c r="L34" s="946"/>
      <c r="M34" s="946"/>
    </row>
    <row r="35" spans="1:18" ht="24.6" customHeight="1">
      <c r="A35" s="1059"/>
      <c r="B35" s="244"/>
      <c r="C35" s="17"/>
      <c r="D35" s="264"/>
      <c r="E35" s="235" t="s">
        <v>2073</v>
      </c>
      <c r="F35" s="236">
        <f>IF(D1="仅计算典型户型",'数据-取费表'!E6,'数据-取费表'!B6)</f>
        <v>0</v>
      </c>
      <c r="G35" s="652" t="s">
        <v>2813</v>
      </c>
      <c r="H35" s="931"/>
      <c r="I35" s="282" t="s">
        <v>2119</v>
      </c>
      <c r="J35" s="283">
        <f>'数据-取费表'!B18</f>
        <v>8.5000000000000006E-2</v>
      </c>
      <c r="K35" s="944"/>
      <c r="L35" s="943"/>
      <c r="M35" s="943"/>
    </row>
    <row r="36" spans="1:18" ht="18" customHeight="1">
      <c r="A36" s="1058" t="s">
        <v>2021</v>
      </c>
      <c r="B36" s="235" t="s">
        <v>2120</v>
      </c>
      <c r="C36" s="13">
        <f ca="1">ROUND(C29*F36,0)</f>
        <v>56470</v>
      </c>
      <c r="D36" s="1329"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4631</v>
      </c>
      <c r="D37" s="1329" t="s">
        <v>2081</v>
      </c>
      <c r="E37" s="235" t="s">
        <v>2082</v>
      </c>
      <c r="F37" s="266">
        <f>'数据-取费表'!B46</f>
        <v>1.5E-3</v>
      </c>
      <c r="G37" s="652"/>
      <c r="H37" s="943"/>
      <c r="I37" s="132" t="s">
        <v>2123</v>
      </c>
      <c r="J37" s="286"/>
      <c r="K37" s="947"/>
      <c r="L37" s="943"/>
      <c r="M37" s="943"/>
    </row>
    <row r="38" spans="1:18" ht="18" customHeight="1" thickBot="1">
      <c r="A38" s="1100" t="s">
        <v>2074</v>
      </c>
      <c r="B38" s="1101" t="s">
        <v>2063</v>
      </c>
      <c r="C38" s="1102">
        <f ca="1">ROUND(C5*F38,0)</f>
        <v>0</v>
      </c>
      <c r="D38" s="1103" t="s">
        <v>2086</v>
      </c>
      <c r="E38" s="1101" t="s">
        <v>2082</v>
      </c>
      <c r="F38" s="1096">
        <f>'数据-取费表'!B47</f>
        <v>0.02</v>
      </c>
      <c r="G38" s="652"/>
      <c r="H38" s="943"/>
      <c r="I38" s="280" t="s">
        <v>2124</v>
      </c>
      <c r="J38" s="136">
        <f ca="1">ROUND(J34/C39,3)</f>
        <v>-4.2949999999999999</v>
      </c>
      <c r="K38" s="948"/>
      <c r="L38" s="943"/>
      <c r="M38" s="943"/>
    </row>
    <row r="39" spans="1:18" ht="18" customHeight="1" thickTop="1">
      <c r="A39" s="1090" t="s">
        <v>22</v>
      </c>
      <c r="B39" s="1105" t="s">
        <v>2125</v>
      </c>
      <c r="C39" s="243">
        <f ca="1">C5-C30</f>
        <v>-61101</v>
      </c>
      <c r="D39" s="1106" t="s">
        <v>2126</v>
      </c>
      <c r="E39" s="1107"/>
      <c r="F39" s="1108"/>
      <c r="G39" s="652"/>
      <c r="H39" s="943"/>
      <c r="I39" s="280" t="s">
        <v>2127</v>
      </c>
      <c r="J39" s="136">
        <f ca="1">1-J38</f>
        <v>5.2949999999999999</v>
      </c>
      <c r="K39" s="948"/>
      <c r="L39" s="943"/>
      <c r="M39" s="943"/>
    </row>
    <row r="40" spans="1:18" s="652" customFormat="1" ht="18" customHeight="1">
      <c r="A40" s="232" t="s">
        <v>23</v>
      </c>
      <c r="B40" s="233" t="s">
        <v>2128</v>
      </c>
      <c r="C40" s="234">
        <f ca="1">ROUND(C39*(1-((1+F42)/(1+F40))^F41)/(F40-F42),0)</f>
        <v>-1597633</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1" t="s">
        <v>2708</v>
      </c>
      <c r="F41" s="270">
        <f>IF('数据-取费表'!B29="租赁期内按合同租金",'数据-取费表'!B35,IF(E41="收益年期(n)",'数据-取费表'!B34,'数据-取费表'!B13))</f>
        <v>53.19</v>
      </c>
      <c r="H41" s="950"/>
      <c r="I41" s="135" t="s">
        <v>2002</v>
      </c>
      <c r="J41" s="136">
        <f ca="1">ROUND(C13/C40,3)</f>
        <v>-1.9319999999999999</v>
      </c>
      <c r="K41" s="947"/>
      <c r="L41" s="950"/>
      <c r="M41" s="950"/>
      <c r="Q41" s="656"/>
    </row>
    <row r="42" spans="1:18" s="652" customFormat="1" ht="18" customHeight="1">
      <c r="A42" s="241"/>
      <c r="B42" s="242"/>
      <c r="C42" s="243"/>
      <c r="D42" s="264"/>
      <c r="E42" s="235" t="s">
        <v>2106</v>
      </c>
      <c r="F42" s="245">
        <f>'数据-取费表'!B32</f>
        <v>2.5000000000000001E-2</v>
      </c>
      <c r="H42" s="950"/>
      <c r="I42" s="135" t="s">
        <v>2003</v>
      </c>
      <c r="J42" s="137">
        <f ca="1">1-J41</f>
        <v>2.9319999999999999</v>
      </c>
      <c r="K42" s="947"/>
      <c r="L42" s="950"/>
      <c r="M42" s="950"/>
      <c r="Q42" s="656"/>
    </row>
    <row r="43" spans="1:18" s="652" customFormat="1" ht="18" customHeight="1" thickBot="1">
      <c r="A43" s="271" t="s">
        <v>24</v>
      </c>
      <c r="B43" s="272" t="s">
        <v>2131</v>
      </c>
      <c r="C43" s="273">
        <f ca="1">ROUND(C40/F43,0)</f>
        <v>-2182</v>
      </c>
      <c r="D43" s="274" t="s">
        <v>2132</v>
      </c>
      <c r="E43" s="275" t="s">
        <v>2133</v>
      </c>
      <c r="F43" s="276">
        <f>IF(D1="仅计算典型户型",'数据-取费表'!E5,'数据-取费表'!B5)</f>
        <v>732.34</v>
      </c>
      <c r="G43" s="654"/>
      <c r="H43" s="950"/>
      <c r="I43" s="950"/>
      <c r="J43" s="950"/>
      <c r="K43" s="947"/>
      <c r="L43" s="950"/>
      <c r="M43" s="950"/>
      <c r="O43" s="1039" t="s">
        <v>2134</v>
      </c>
      <c r="P43" s="1040"/>
      <c r="Q43" s="1036"/>
      <c r="R43" s="1040"/>
    </row>
    <row r="44" spans="1:18" s="652" customFormat="1" ht="18" customHeight="1" thickBot="1">
      <c r="A44" s="649"/>
      <c r="B44" s="649"/>
      <c r="C44" s="651"/>
      <c r="D44" s="649"/>
      <c r="E44" s="649"/>
      <c r="F44" s="649"/>
      <c r="G44" s="654"/>
      <c r="K44" s="653"/>
      <c r="O44" s="1041" t="s">
        <v>2135</v>
      </c>
      <c r="P44" s="1042" t="s">
        <v>2136</v>
      </c>
      <c r="Q44" s="1043" t="s">
        <v>2137</v>
      </c>
      <c r="R44" s="1044" t="s">
        <v>2138</v>
      </c>
    </row>
    <row r="45" spans="1:18" s="652" customFormat="1" ht="18" customHeight="1" thickBot="1">
      <c r="A45" s="649"/>
      <c r="B45" s="649"/>
      <c r="C45" s="651"/>
      <c r="D45" s="649"/>
      <c r="E45" s="649"/>
      <c r="F45" s="649"/>
      <c r="G45" s="655"/>
      <c r="K45" s="653"/>
      <c r="O45" s="1045" t="s">
        <v>949</v>
      </c>
      <c r="P45" s="1046" t="s">
        <v>2139</v>
      </c>
      <c r="Q45" s="1047">
        <f ca="1">C40+J29</f>
        <v>-1597633</v>
      </c>
      <c r="R45" s="1048" t="s">
        <v>2140</v>
      </c>
    </row>
    <row r="46" spans="1:18" s="652" customFormat="1" ht="18" customHeight="1" thickBot="1">
      <c r="A46" s="649"/>
      <c r="D46" s="649"/>
      <c r="E46" s="649"/>
      <c r="F46" s="649"/>
      <c r="K46" s="653"/>
      <c r="O46" s="1045" t="s">
        <v>950</v>
      </c>
      <c r="P46" s="1046" t="s">
        <v>2141</v>
      </c>
      <c r="Q46" s="1047" t="str">
        <f>J61</f>
        <v>0</v>
      </c>
      <c r="R46" s="1048" t="s">
        <v>2142</v>
      </c>
    </row>
    <row r="47" spans="1:18" s="652" customFormat="1" ht="21.75" thickBot="1">
      <c r="A47" s="1523" t="s">
        <v>2143</v>
      </c>
      <c r="C47" s="992">
        <f ca="1">IF(C2="元",C69-C40,ROUND((C69-C40)/10000,0))</f>
        <v>-4865294</v>
      </c>
      <c r="D47" s="1524" t="str">
        <f>C2</f>
        <v>元</v>
      </c>
      <c r="E47" s="649"/>
      <c r="F47" s="649"/>
      <c r="I47" s="1525" t="s">
        <v>2144</v>
      </c>
      <c r="J47" s="1021"/>
      <c r="K47" s="1022"/>
      <c r="L47" s="1035">
        <f>IF(M48="住宅",0,IF(L49&gt;J52,L61,J61))</f>
        <v>0</v>
      </c>
      <c r="O47" s="1049" t="s">
        <v>951</v>
      </c>
      <c r="P47" s="1046" t="s">
        <v>2145</v>
      </c>
      <c r="Q47" s="1047">
        <f ca="1">C29</f>
        <v>3764685</v>
      </c>
      <c r="R47" s="1048" t="s">
        <v>2140</v>
      </c>
    </row>
    <row r="48" spans="1:18" s="652" customFormat="1" ht="15.75" thickBot="1">
      <c r="A48" s="228" t="s">
        <v>2146</v>
      </c>
      <c r="B48" s="229" t="s">
        <v>2147</v>
      </c>
      <c r="C48" s="229" t="s">
        <v>2148</v>
      </c>
      <c r="D48" s="229" t="s">
        <v>2149</v>
      </c>
      <c r="E48" s="986" t="s">
        <v>2150</v>
      </c>
      <c r="F48" s="987"/>
      <c r="I48" s="1526" t="s">
        <v>2151</v>
      </c>
      <c r="J48" s="1527"/>
      <c r="K48" s="1528" t="s">
        <v>2152</v>
      </c>
      <c r="L48" s="1023">
        <f>'数据-取费表'!B11</f>
        <v>70</v>
      </c>
      <c r="M48" s="1036" t="str">
        <f>IF('数据-取费表'!B10="住宅","住宅","非住宅")</f>
        <v>住宅</v>
      </c>
      <c r="O48" s="1049" t="s">
        <v>952</v>
      </c>
      <c r="P48" s="1046" t="s">
        <v>2153</v>
      </c>
      <c r="Q48" s="1050" t="e">
        <f>J59</f>
        <v>#VALUE!</v>
      </c>
      <c r="R48" s="1048"/>
    </row>
    <row r="49" spans="1:18" s="652" customFormat="1" ht="15.75" thickBot="1">
      <c r="A49" s="1125" t="s">
        <v>1019</v>
      </c>
      <c r="B49" s="233" t="s">
        <v>2154</v>
      </c>
      <c r="C49" s="1126">
        <f ca="1">C50+C54+C56</f>
        <v>0</v>
      </c>
      <c r="D49" s="1127"/>
      <c r="E49" s="44"/>
      <c r="F49" s="15"/>
      <c r="I49" s="1529" t="s">
        <v>2155</v>
      </c>
      <c r="J49" s="1530"/>
      <c r="K49" s="1531" t="s">
        <v>2156</v>
      </c>
      <c r="L49" s="863">
        <f>'数据-取费表'!B13</f>
        <v>53.19</v>
      </c>
      <c r="O49" s="1049" t="s">
        <v>953</v>
      </c>
      <c r="P49" s="1046" t="s">
        <v>2157</v>
      </c>
      <c r="Q49" s="1050">
        <f>J53</f>
        <v>0</v>
      </c>
      <c r="R49" s="1048"/>
    </row>
    <row r="50" spans="1:18" s="652" customFormat="1" ht="15.75" thickBot="1">
      <c r="A50" s="260" t="s">
        <v>2014</v>
      </c>
      <c r="B50" s="1438" t="s">
        <v>2158</v>
      </c>
      <c r="C50" s="234">
        <f>ROUND(F50*F52*F51*(1-F53),0)</f>
        <v>0</v>
      </c>
      <c r="D50" s="42" t="s">
        <v>2700</v>
      </c>
      <c r="E50" s="1532" t="s">
        <v>2159</v>
      </c>
      <c r="F50" s="988"/>
      <c r="I50" s="1529" t="s">
        <v>2160</v>
      </c>
      <c r="J50" s="863">
        <f>'数据-取费表'!B27</f>
        <v>2008</v>
      </c>
      <c r="K50" s="1533" t="s">
        <v>2161</v>
      </c>
      <c r="L50" s="1024"/>
      <c r="O50" s="1049" t="s">
        <v>954</v>
      </c>
      <c r="P50" s="1046" t="s">
        <v>2162</v>
      </c>
      <c r="Q50" s="1047">
        <f>J54</f>
        <v>53.19</v>
      </c>
      <c r="R50" s="1048" t="s">
        <v>2163</v>
      </c>
    </row>
    <row r="51" spans="1:18" s="652" customFormat="1" ht="15.75" thickBot="1">
      <c r="A51" s="237"/>
      <c r="B51" s="238"/>
      <c r="C51" s="239"/>
      <c r="D51" s="240"/>
      <c r="E51" s="255" t="s">
        <v>2017</v>
      </c>
      <c r="F51" s="985">
        <f>F7</f>
        <v>732.34</v>
      </c>
      <c r="I51" s="1529" t="s">
        <v>2164</v>
      </c>
      <c r="J51" s="1025">
        <f>SUMPRODUCT((I64:I66=J48)*(J63:L63=J49)*(J64:L66))</f>
        <v>0</v>
      </c>
      <c r="K51" s="1533" t="s">
        <v>2165</v>
      </c>
      <c r="L51" s="1024"/>
      <c r="O51" s="1045" t="s">
        <v>955</v>
      </c>
      <c r="P51" s="1046" t="str">
        <f>IF(C2="元","收益价值(元)","收益价值(万元)")</f>
        <v>收益价值(元)</v>
      </c>
      <c r="Q51" s="1047">
        <f ca="1">ROUND(IF(C2="元",Q45+Q46,(Q45+Q46)/10000),0)</f>
        <v>-1597633</v>
      </c>
      <c r="R51" s="1048" t="s">
        <v>956</v>
      </c>
    </row>
    <row r="52" spans="1:18" s="652" customFormat="1" ht="16.5" thickBot="1">
      <c r="A52" s="237"/>
      <c r="B52" s="238"/>
      <c r="C52" s="239"/>
      <c r="D52" s="240"/>
      <c r="E52" s="235" t="s">
        <v>2019</v>
      </c>
      <c r="F52" s="236">
        <f>F8</f>
        <v>365</v>
      </c>
      <c r="I52" s="1534" t="s">
        <v>2166</v>
      </c>
      <c r="J52" s="1026">
        <f>IF(J50="",J51,J50+J51-YEAR('数据-取费表'!B2))</f>
        <v>-13</v>
      </c>
      <c r="K52" s="1535" t="s">
        <v>2167</v>
      </c>
      <c r="L52" s="1027">
        <f ca="1">ROUND(-PV('数据-取费表'!B15,J52,(C40-C13*J35)),0)</f>
        <v>32946707</v>
      </c>
      <c r="O52" s="1039" t="s">
        <v>2168</v>
      </c>
      <c r="P52" s="1040"/>
      <c r="Q52" s="1036"/>
      <c r="R52" s="1040"/>
    </row>
    <row r="53" spans="1:18" s="652" customFormat="1" ht="15.75" thickBot="1">
      <c r="A53" s="241"/>
      <c r="B53" s="242"/>
      <c r="C53" s="243"/>
      <c r="D53" s="244"/>
      <c r="E53" s="235" t="s">
        <v>2020</v>
      </c>
      <c r="F53" s="1034"/>
      <c r="I53" s="1536" t="s">
        <v>2169</v>
      </c>
      <c r="J53" s="1028"/>
      <c r="K53" s="1536" t="s">
        <v>2170</v>
      </c>
      <c r="L53" s="1028"/>
      <c r="O53" s="1041" t="s">
        <v>2135</v>
      </c>
      <c r="P53" s="1042" t="s">
        <v>2136</v>
      </c>
      <c r="Q53" s="1043" t="s">
        <v>2137</v>
      </c>
      <c r="R53" s="1044" t="s">
        <v>2138</v>
      </c>
    </row>
    <row r="54" spans="1:18" s="652" customFormat="1" ht="29.25" customHeight="1" thickBot="1">
      <c r="A54" s="1055" t="s">
        <v>2021</v>
      </c>
      <c r="B54" s="1517" t="s">
        <v>2022</v>
      </c>
      <c r="C54" s="1056">
        <f ca="1">ROUND(IF(F54="押一",C50/12*F11,IF(F54="押二",C50/12*2*F11,IF(F54="押三",C50/12*3*F11,C55*F11))),0)</f>
        <v>0</v>
      </c>
      <c r="D54" s="1518" t="s">
        <v>2706</v>
      </c>
      <c r="E54" s="246" t="s">
        <v>2023</v>
      </c>
      <c r="F54" s="1519"/>
      <c r="I54" s="1625" t="s">
        <v>2709</v>
      </c>
      <c r="J54" s="1029">
        <f>IF(M48="住宅",IF(E1="——",MAX(J52,L49),MAX(J52,L49-'数据-取费表'!B26)),IF(E1="——",MIN(J52,L49),MIN(J52,L49-'数据-取费表'!B26)))</f>
        <v>53.19</v>
      </c>
      <c r="K54" s="3457" t="s">
        <v>2698</v>
      </c>
      <c r="L54" s="3458"/>
      <c r="O54" s="1045" t="s">
        <v>949</v>
      </c>
      <c r="P54" s="1046" t="s">
        <v>2139</v>
      </c>
      <c r="Q54" s="1047">
        <f ca="1">C40+J29</f>
        <v>-1597633</v>
      </c>
      <c r="R54" s="1048" t="s">
        <v>2140</v>
      </c>
    </row>
    <row r="55" spans="1:18" s="652" customFormat="1" ht="20.25" thickBot="1">
      <c r="A55" s="1055"/>
      <c r="B55" s="1537" t="s">
        <v>2027</v>
      </c>
      <c r="C55" s="1089"/>
      <c r="D55" s="42"/>
      <c r="E55" s="1538"/>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39"/>
      <c r="K55" s="1539"/>
      <c r="L55" s="1539"/>
      <c r="O55" s="1045" t="s">
        <v>950</v>
      </c>
      <c r="P55" s="1046" t="s">
        <v>2171</v>
      </c>
      <c r="Q55" s="1047">
        <f>L61</f>
        <v>0</v>
      </c>
      <c r="R55" s="1048" t="s">
        <v>2172</v>
      </c>
    </row>
    <row r="56" spans="1:18" s="652" customFormat="1" ht="20.25" thickBot="1">
      <c r="A56" s="1094" t="s">
        <v>2028</v>
      </c>
      <c r="B56" s="1521" t="s">
        <v>2029</v>
      </c>
      <c r="C56" s="1095"/>
      <c r="D56" s="1111"/>
      <c r="E56" s="1540"/>
      <c r="F56" s="1150"/>
      <c r="I56" s="1541" t="s">
        <v>2173</v>
      </c>
      <c r="J56" s="1318" t="e">
        <f>ROUND(IF(J48="钢混",J58/J51,1-(1-2%)*(J51-J58)/J51),3)</f>
        <v>#VALUE!</v>
      </c>
      <c r="K56" s="1542" t="s">
        <v>2174</v>
      </c>
      <c r="L56" s="1030"/>
      <c r="O56" s="1049" t="s">
        <v>951</v>
      </c>
      <c r="P56" s="1046" t="s">
        <v>2175</v>
      </c>
      <c r="Q56" s="1047">
        <f>IF(L56="比较法",L50,IF(L56="基准地价",L51,0))</f>
        <v>0</v>
      </c>
      <c r="R56" s="1048" t="s">
        <v>2140</v>
      </c>
    </row>
    <row r="57" spans="1:18" s="652" customFormat="1" ht="44.25" thickTop="1" thickBot="1">
      <c r="A57" s="1090">
        <v>2</v>
      </c>
      <c r="B57" s="1091" t="s">
        <v>2030</v>
      </c>
      <c r="C57" s="1149">
        <f ca="1">C13</f>
        <v>3087042</v>
      </c>
      <c r="D57" s="983"/>
      <c r="E57" s="984"/>
      <c r="F57" s="991"/>
      <c r="I57" s="1543" t="s">
        <v>2176</v>
      </c>
      <c r="J57" s="1033"/>
      <c r="K57" s="1529" t="s">
        <v>2177</v>
      </c>
      <c r="L57" s="863">
        <f>IF(L49&lt;J52,"——",L49-J52)</f>
        <v>66.19</v>
      </c>
      <c r="O57" s="1049" t="s">
        <v>952</v>
      </c>
      <c r="P57" s="1046" t="s">
        <v>2178</v>
      </c>
      <c r="Q57" s="1050">
        <f>L53</f>
        <v>0</v>
      </c>
      <c r="R57" s="1048"/>
    </row>
    <row r="58" spans="1:18" s="652" customFormat="1" ht="29.25" thickBot="1">
      <c r="A58" s="990"/>
      <c r="B58" s="235" t="s">
        <v>2108</v>
      </c>
      <c r="C58" s="104">
        <f ca="1">C29</f>
        <v>3764685</v>
      </c>
      <c r="D58" s="983"/>
      <c r="E58" s="984"/>
      <c r="F58" s="991"/>
      <c r="I58" s="1544" t="s">
        <v>2179</v>
      </c>
      <c r="J58" s="1032" t="str">
        <f>IF(OR(M48="住宅",J52&lt;L49,J57="是"),"——",J52-L49)</f>
        <v>——</v>
      </c>
      <c r="K58" s="1529" t="s">
        <v>2180</v>
      </c>
      <c r="L58" s="863">
        <f ca="1">IF(L49&lt;J52,"——",IF(L56="比较法",L50,IF(L56="基准地价",L51,L52)))</f>
        <v>32946707</v>
      </c>
      <c r="O58" s="1049" t="s">
        <v>953</v>
      </c>
      <c r="P58" s="1046" t="s">
        <v>2181</v>
      </c>
      <c r="Q58" s="1047" t="e">
        <f>L59</f>
        <v>#DIV/0!</v>
      </c>
      <c r="R58" s="1048" t="s">
        <v>2182</v>
      </c>
    </row>
    <row r="59" spans="1:18" s="652" customFormat="1" ht="29.25" thickBot="1">
      <c r="A59" s="248" t="s">
        <v>14</v>
      </c>
      <c r="B59" s="249" t="s">
        <v>2111</v>
      </c>
      <c r="C59" s="250">
        <f ca="1">ROUND(C60+C65+C66+C67,0)</f>
        <v>377335</v>
      </c>
      <c r="D59" s="12" t="s">
        <v>2112</v>
      </c>
      <c r="E59" s="1331"/>
      <c r="F59" s="15"/>
      <c r="I59" s="1544" t="s">
        <v>2183</v>
      </c>
      <c r="J59" s="1317" t="e">
        <f>IF(J56&lt;0.4,0.4,J56)</f>
        <v>#VALUE!</v>
      </c>
      <c r="K59" s="1535" t="s">
        <v>2184</v>
      </c>
      <c r="L59" s="863" t="e">
        <f>ROUND(POWER(1+L53,L48-L49)*(POWER(1+L53,L49)-1)/(POWER(1+L53,L48)-1),4)</f>
        <v>#DIV/0!</v>
      </c>
      <c r="O59" s="1049" t="s">
        <v>954</v>
      </c>
      <c r="P59" s="1046" t="str">
        <f>K60</f>
        <v>建筑物剩余耐用年限下的土地年期修正系数Kn</v>
      </c>
      <c r="Q59" s="1047" t="e">
        <f>L60</f>
        <v>#DIV/0!</v>
      </c>
      <c r="R59" s="1048" t="s">
        <v>2185</v>
      </c>
    </row>
    <row r="60" spans="1:18" s="652" customFormat="1" ht="29.25" thickBot="1">
      <c r="A60" s="253" t="s">
        <v>15</v>
      </c>
      <c r="B60" s="235" t="s">
        <v>2052</v>
      </c>
      <c r="C60" s="2821">
        <f ca="1">ROUND(IF(AND(项目基本情况!B7="自然人",项目基本情况!B6="北京市"),C50*F60/(1+'数据-取费表'!F30),C61+C62+C63),0)</f>
        <v>316234</v>
      </c>
      <c r="D60" s="1326" t="s">
        <v>2113</v>
      </c>
      <c r="E60" s="1329" t="s">
        <v>2114</v>
      </c>
      <c r="F60" s="2820" t="str">
        <f>IF(项目基本情况!B7="企业","——",IF('数据-取费表'!B10="住宅",IF(F50*F51*F52/12/(1+'数据-取费表'!F30)&gt;100000,4%,2.5%),IF(F50*F51*F52/12/(1+'数据-取费表'!F30)&gt;100000,12%,7%)))</f>
        <v>——</v>
      </c>
      <c r="I60" s="1544" t="s">
        <v>2186</v>
      </c>
      <c r="J60" s="1032" t="str">
        <f>IF(OR(M48="住宅",J52&lt;L49,J57="是"),"——",ROUND(C29*J59,0))</f>
        <v>——</v>
      </c>
      <c r="K60" s="153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收益价值(元)</v>
      </c>
      <c r="Q60" s="1047">
        <f ca="1">ROUND(IF(C2="元",Q54+Q55,(Q54+Q55)/10000),0)</f>
        <v>-1597633</v>
      </c>
      <c r="R60" s="1048" t="s">
        <v>956</v>
      </c>
    </row>
    <row r="61" spans="1:18" s="652" customFormat="1" ht="16.5" thickBot="1">
      <c r="A61" s="253" t="s">
        <v>16</v>
      </c>
      <c r="B61" s="235" t="s">
        <v>2115</v>
      </c>
      <c r="C61" s="13">
        <f ca="1">IF(项目基本情况!B7="自然人","——",ROUND(C49*F61/(1+'数据-取费表'!F30),0))</f>
        <v>0</v>
      </c>
      <c r="D61" s="1329" t="s">
        <v>2116</v>
      </c>
      <c r="E61" s="235" t="s">
        <v>2065</v>
      </c>
      <c r="F61" s="267">
        <f t="shared" ref="F61:F67" si="0">F32</f>
        <v>5.6000000000000001E-2</v>
      </c>
      <c r="I61" s="1545" t="s">
        <v>2187</v>
      </c>
      <c r="J61" s="1031" t="str">
        <f>IF(OR(M48="住宅",J52&lt;L49,J57="是"),"0",ROUND(J60/(1+J53)^J54,0))</f>
        <v>0</v>
      </c>
      <c r="K61" s="1546" t="s">
        <v>2188</v>
      </c>
      <c r="L61" s="1031">
        <f>IF(OR(M48="住宅",L49&lt;J52),0,ROUND(L58*(L59/L60-1),0))</f>
        <v>0</v>
      </c>
      <c r="O61" s="1039" t="s">
        <v>2189</v>
      </c>
      <c r="P61" s="1040"/>
      <c r="Q61" s="1036"/>
      <c r="R61" s="1040"/>
    </row>
    <row r="62" spans="1:18" s="652" customFormat="1" ht="15.75" thickBot="1">
      <c r="A62" s="253" t="s">
        <v>17</v>
      </c>
      <c r="B62" s="235" t="s">
        <v>2190</v>
      </c>
      <c r="C62" s="13">
        <f ca="1">IF(项目基本情况!B7="自然人","——",IF(D62="按租金收入计税",ROUND(C50*F62/(1+'数据-取费表'!F30),0),IF(D62="按房产原值计税",ROUND(C58*F62*0.7,0),'数据-取费表'!B44)))</f>
        <v>316234</v>
      </c>
      <c r="D62" s="1433" t="s">
        <v>2062</v>
      </c>
      <c r="E62" s="235" t="s">
        <v>2065</v>
      </c>
      <c r="F62" s="258">
        <f t="shared" si="0"/>
        <v>0.12</v>
      </c>
      <c r="O62" s="1041" t="s">
        <v>2135</v>
      </c>
      <c r="P62" s="1042" t="s">
        <v>2136</v>
      </c>
      <c r="Q62" s="1043" t="s">
        <v>2137</v>
      </c>
      <c r="R62" s="1044" t="s">
        <v>2138</v>
      </c>
    </row>
    <row r="63" spans="1:18" s="652" customFormat="1" ht="15.75" thickBot="1">
      <c r="A63" s="260" t="s">
        <v>18</v>
      </c>
      <c r="B63" s="36" t="s">
        <v>2191</v>
      </c>
      <c r="C63" s="14">
        <f>IF(项目基本情况!B7="自然人","——",ROUND(F63*F64,0))</f>
        <v>0</v>
      </c>
      <c r="D63" s="261" t="s">
        <v>2192</v>
      </c>
      <c r="E63" s="235" t="s">
        <v>2193</v>
      </c>
      <c r="F63" s="262">
        <f t="shared" si="0"/>
        <v>18</v>
      </c>
      <c r="I63" s="1547" t="s">
        <v>2194</v>
      </c>
      <c r="J63" s="1321" t="s">
        <v>2195</v>
      </c>
      <c r="K63" s="1321" t="s">
        <v>2196</v>
      </c>
      <c r="L63" s="1321" t="s">
        <v>2197</v>
      </c>
      <c r="M63" s="1320" t="s">
        <v>2198</v>
      </c>
      <c r="O63" s="1045" t="s">
        <v>949</v>
      </c>
      <c r="P63" s="1046" t="s">
        <v>2139</v>
      </c>
      <c r="Q63" s="1047">
        <f ca="1">C40+J29</f>
        <v>-1597633</v>
      </c>
      <c r="R63" s="1048" t="s">
        <v>2140</v>
      </c>
    </row>
    <row r="64" spans="1:18" s="652" customFormat="1" ht="20.25" thickBot="1">
      <c r="A64" s="263"/>
      <c r="B64" s="244"/>
      <c r="C64" s="17"/>
      <c r="D64" s="264"/>
      <c r="E64" s="235" t="s">
        <v>2199</v>
      </c>
      <c r="F64" s="236">
        <f t="shared" si="0"/>
        <v>0</v>
      </c>
      <c r="I64" s="1547" t="s">
        <v>2200</v>
      </c>
      <c r="J64" s="1321">
        <v>70</v>
      </c>
      <c r="K64" s="1321">
        <v>50</v>
      </c>
      <c r="L64" s="1321">
        <v>80</v>
      </c>
      <c r="M64" s="1319">
        <v>0.02</v>
      </c>
      <c r="O64" s="1045" t="s">
        <v>950</v>
      </c>
      <c r="P64" s="1046" t="s">
        <v>2171</v>
      </c>
      <c r="Q64" s="1047">
        <f>L61</f>
        <v>0</v>
      </c>
      <c r="R64" s="1048" t="s">
        <v>2172</v>
      </c>
    </row>
    <row r="65" spans="1:18" s="652" customFormat="1" ht="23.25" thickBot="1">
      <c r="A65" s="253" t="s">
        <v>19</v>
      </c>
      <c r="B65" s="235" t="s">
        <v>2120</v>
      </c>
      <c r="C65" s="13">
        <f ca="1">ROUND(C58*F65,0)</f>
        <v>56470</v>
      </c>
      <c r="D65" s="1329" t="s">
        <v>2121</v>
      </c>
      <c r="E65" s="235" t="s">
        <v>2065</v>
      </c>
      <c r="F65" s="265">
        <f t="shared" si="0"/>
        <v>1.4999999999999999E-2</v>
      </c>
      <c r="I65" s="1547" t="s">
        <v>2201</v>
      </c>
      <c r="J65" s="1321">
        <v>50</v>
      </c>
      <c r="K65" s="1321">
        <v>35</v>
      </c>
      <c r="L65" s="1321">
        <v>60</v>
      </c>
      <c r="M65" s="1320">
        <v>0</v>
      </c>
      <c r="O65" s="1049" t="s">
        <v>951</v>
      </c>
      <c r="P65" s="1046" t="s">
        <v>2175</v>
      </c>
      <c r="Q65" s="1051">
        <f ca="1">L52</f>
        <v>32946707</v>
      </c>
      <c r="R65" s="1052" t="s">
        <v>2202</v>
      </c>
    </row>
    <row r="66" spans="1:18" s="652" customFormat="1" ht="20.25" thickBot="1">
      <c r="A66" s="253" t="s">
        <v>20</v>
      </c>
      <c r="B66" s="235" t="s">
        <v>2080</v>
      </c>
      <c r="C66" s="13">
        <f ca="1">ROUND(C57*F66,0)</f>
        <v>4631</v>
      </c>
      <c r="D66" s="1329" t="s">
        <v>2081</v>
      </c>
      <c r="E66" s="235" t="s">
        <v>2082</v>
      </c>
      <c r="F66" s="266">
        <f t="shared" si="0"/>
        <v>1.5E-3</v>
      </c>
      <c r="I66" s="1547" t="s">
        <v>2203</v>
      </c>
      <c r="J66" s="1321">
        <v>40</v>
      </c>
      <c r="K66" s="1321">
        <v>30</v>
      </c>
      <c r="L66" s="1321">
        <v>50</v>
      </c>
      <c r="M66" s="1319">
        <v>0.02</v>
      </c>
      <c r="O66" s="1049" t="s">
        <v>952</v>
      </c>
      <c r="P66" s="1053" t="s">
        <v>2204</v>
      </c>
      <c r="Q66" s="1047">
        <f ca="1">ROUND(Q67-Q68*Q69,0)</f>
        <v>-323500</v>
      </c>
      <c r="R66" s="1048"/>
    </row>
    <row r="67" spans="1:18" s="652" customFormat="1" ht="15.75" thickBot="1">
      <c r="A67" s="253" t="s">
        <v>21</v>
      </c>
      <c r="B67" s="235" t="s">
        <v>2063</v>
      </c>
      <c r="C67" s="13">
        <f ca="1">ROUND(C49*F67,0)</f>
        <v>0</v>
      </c>
      <c r="D67" s="1329" t="s">
        <v>2086</v>
      </c>
      <c r="E67" s="235" t="s">
        <v>2082</v>
      </c>
      <c r="F67" s="245">
        <f t="shared" si="0"/>
        <v>0.02</v>
      </c>
      <c r="O67" s="1049" t="s">
        <v>957</v>
      </c>
      <c r="P67" s="1053" t="s">
        <v>2205</v>
      </c>
      <c r="Q67" s="1047">
        <f ca="1">C39</f>
        <v>-61101</v>
      </c>
      <c r="R67" s="1048" t="s">
        <v>2140</v>
      </c>
    </row>
    <row r="68" spans="1:18" ht="15.75" thickBot="1">
      <c r="A68" s="248" t="s">
        <v>22</v>
      </c>
      <c r="B68" s="41" t="s">
        <v>2090</v>
      </c>
      <c r="C68" s="250">
        <f ca="1">C49-C59</f>
        <v>-377335</v>
      </c>
      <c r="D68" s="1326" t="s">
        <v>2091</v>
      </c>
      <c r="E68" s="1328"/>
      <c r="F68" s="268"/>
      <c r="H68" s="652"/>
      <c r="I68" s="652"/>
      <c r="J68" s="652"/>
      <c r="K68" s="652"/>
      <c r="L68" s="652"/>
      <c r="M68" s="652"/>
      <c r="O68" s="1049" t="s">
        <v>958</v>
      </c>
      <c r="P68" s="1053" t="s">
        <v>2206</v>
      </c>
      <c r="Q68" s="1047">
        <f ca="1">C13</f>
        <v>3087042</v>
      </c>
      <c r="R68" s="1048" t="s">
        <v>2140</v>
      </c>
    </row>
    <row r="69" spans="1:18" ht="15.75" thickBot="1">
      <c r="A69" s="232" t="s">
        <v>23</v>
      </c>
      <c r="B69" s="233" t="s">
        <v>2128</v>
      </c>
      <c r="C69" s="234">
        <f ca="1">ROUND(C68*(1-((1+F71)/(1+F69))^F70)/(F69-F71),0)</f>
        <v>-6462927</v>
      </c>
      <c r="D69" s="261" t="s">
        <v>2096</v>
      </c>
      <c r="E69" s="235" t="s">
        <v>2097</v>
      </c>
      <c r="F69" s="245">
        <f>F40</f>
        <v>5.5E-2</v>
      </c>
      <c r="H69" s="652"/>
      <c r="I69" s="652"/>
      <c r="J69" s="652"/>
      <c r="K69" s="652"/>
      <c r="L69" s="652"/>
      <c r="M69" s="652"/>
      <c r="O69" s="1049" t="s">
        <v>959</v>
      </c>
      <c r="P69" s="1053" t="s">
        <v>2207</v>
      </c>
      <c r="Q69" s="1050">
        <f>J35</f>
        <v>8.5000000000000006E-2</v>
      </c>
      <c r="R69" s="1048"/>
    </row>
    <row r="70" spans="1:18" ht="15.75" thickBot="1">
      <c r="A70" s="237"/>
      <c r="B70" s="238"/>
      <c r="C70" s="239"/>
      <c r="D70" s="269" t="s">
        <v>2130</v>
      </c>
      <c r="E70" s="235" t="s">
        <v>2102</v>
      </c>
      <c r="F70" s="270">
        <f>F41</f>
        <v>53.19</v>
      </c>
      <c r="H70" s="652"/>
      <c r="I70" s="652"/>
      <c r="J70" s="652"/>
      <c r="K70" s="652"/>
      <c r="L70" s="652"/>
      <c r="M70" s="652"/>
      <c r="O70" s="1049" t="s">
        <v>953</v>
      </c>
      <c r="P70" s="1046" t="s">
        <v>2178</v>
      </c>
      <c r="Q70" s="1050">
        <f>L53</f>
        <v>0</v>
      </c>
      <c r="R70" s="1048"/>
    </row>
    <row r="71" spans="1:18" ht="20.25" thickBot="1">
      <c r="A71" s="241"/>
      <c r="B71" s="242"/>
      <c r="C71" s="243"/>
      <c r="D71" s="264"/>
      <c r="E71" s="235" t="s">
        <v>2106</v>
      </c>
      <c r="F71" s="1034"/>
      <c r="H71" s="652"/>
      <c r="M71" s="652"/>
      <c r="O71" s="1049" t="s">
        <v>954</v>
      </c>
      <c r="P71" s="1046" t="s">
        <v>2181</v>
      </c>
      <c r="Q71" s="1047" t="e">
        <f>L59</f>
        <v>#DIV/0!</v>
      </c>
      <c r="R71" s="1048" t="s">
        <v>2182</v>
      </c>
    </row>
    <row r="72" spans="1:18" ht="15.75" thickBot="1">
      <c r="A72" s="271" t="s">
        <v>24</v>
      </c>
      <c r="B72" s="272" t="s">
        <v>2131</v>
      </c>
      <c r="C72" s="273">
        <f ca="1">ROUND(C69/F72,0)</f>
        <v>-8825</v>
      </c>
      <c r="D72" s="274" t="s">
        <v>2132</v>
      </c>
      <c r="E72" s="275" t="s">
        <v>2133</v>
      </c>
      <c r="F72" s="276">
        <f>F43</f>
        <v>732.34</v>
      </c>
      <c r="O72" s="1049" t="s">
        <v>960</v>
      </c>
      <c r="P72" s="1046" t="str">
        <f>K60</f>
        <v>建筑物剩余耐用年限下的土地年期修正系数Kn</v>
      </c>
      <c r="Q72" s="1047" t="e">
        <f>L60</f>
        <v>#DIV/0!</v>
      </c>
      <c r="R72" s="1048" t="s">
        <v>2185</v>
      </c>
    </row>
    <row r="73" spans="1:18" ht="15.75" thickBot="1">
      <c r="A73" s="652"/>
      <c r="B73" s="656"/>
      <c r="C73" s="656"/>
      <c r="D73" s="652"/>
      <c r="E73" s="652"/>
      <c r="F73" s="652"/>
      <c r="O73" s="1045" t="s">
        <v>955</v>
      </c>
      <c r="P73" s="1046" t="str">
        <f>IF(C2="元","收益价值(元)","收益价值(万元)")</f>
        <v>收益价值(元)</v>
      </c>
      <c r="Q73" s="1047">
        <f ca="1">ROUND(IF(C2="元",Q63+Q64,(Q63+Q64)/10000),0)</f>
        <v>-1597633</v>
      </c>
      <c r="R73" s="1048"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9" t="s">
        <v>1013</v>
      </c>
      <c r="B1" s="3460"/>
      <c r="C1" s="3461"/>
      <c r="D1" s="3462">
        <f>SUM(I10,I15,I20,I21,I23)</f>
        <v>0</v>
      </c>
      <c r="E1" s="3462"/>
      <c r="F1" s="3462"/>
      <c r="G1" s="3462"/>
      <c r="H1" s="3462"/>
      <c r="I1" s="3463"/>
    </row>
    <row r="2" spans="1:9">
      <c r="A2" s="3464" t="s">
        <v>1014</v>
      </c>
      <c r="B2" s="3465" t="s">
        <v>963</v>
      </c>
      <c r="C2" s="3465"/>
      <c r="D2" s="1060" t="s">
        <v>964</v>
      </c>
      <c r="E2" s="1060" t="s">
        <v>965</v>
      </c>
      <c r="F2" s="1060" t="s">
        <v>966</v>
      </c>
      <c r="G2" s="1060" t="s">
        <v>967</v>
      </c>
      <c r="H2" s="1060" t="s">
        <v>968</v>
      </c>
      <c r="I2" s="1061" t="s">
        <v>969</v>
      </c>
    </row>
    <row r="3" spans="1:9">
      <c r="A3" s="3464"/>
      <c r="B3" s="3465" t="s">
        <v>970</v>
      </c>
      <c r="C3" s="3465"/>
      <c r="D3" s="1062"/>
      <c r="E3" s="1060"/>
      <c r="F3" s="1063"/>
      <c r="G3" s="1063"/>
      <c r="H3" s="1064"/>
      <c r="I3" s="1065">
        <f>ROUND(D3*E3*F3*G3*H3/10000,0)</f>
        <v>0</v>
      </c>
    </row>
    <row r="4" spans="1:9">
      <c r="A4" s="3464"/>
      <c r="B4" s="3465" t="s">
        <v>971</v>
      </c>
      <c r="C4" s="3465"/>
      <c r="D4" s="1062"/>
      <c r="E4" s="1060"/>
      <c r="F4" s="1063"/>
      <c r="G4" s="1063"/>
      <c r="H4" s="1064"/>
      <c r="I4" s="1065">
        <f t="shared" ref="I4:I9" si="0">ROUND(D4*E4*F4*G4*H4/10000,0)</f>
        <v>0</v>
      </c>
    </row>
    <row r="5" spans="1:9">
      <c r="A5" s="3464"/>
      <c r="B5" s="3465" t="s">
        <v>972</v>
      </c>
      <c r="C5" s="3465"/>
      <c r="D5" s="1062"/>
      <c r="E5" s="1060"/>
      <c r="F5" s="1063"/>
      <c r="G5" s="1063"/>
      <c r="H5" s="1064"/>
      <c r="I5" s="1065">
        <f t="shared" si="0"/>
        <v>0</v>
      </c>
    </row>
    <row r="6" spans="1:9">
      <c r="A6" s="3464"/>
      <c r="B6" s="3465" t="s">
        <v>973</v>
      </c>
      <c r="C6" s="3465"/>
      <c r="D6" s="1062"/>
      <c r="E6" s="1060"/>
      <c r="F6" s="1063"/>
      <c r="G6" s="1063"/>
      <c r="H6" s="1064"/>
      <c r="I6" s="1065">
        <f t="shared" si="0"/>
        <v>0</v>
      </c>
    </row>
    <row r="7" spans="1:9">
      <c r="A7" s="3464"/>
      <c r="B7" s="3465" t="s">
        <v>974</v>
      </c>
      <c r="C7" s="3465"/>
      <c r="D7" s="1062"/>
      <c r="E7" s="1060"/>
      <c r="F7" s="1063"/>
      <c r="G7" s="1063"/>
      <c r="H7" s="1064"/>
      <c r="I7" s="1065">
        <f t="shared" si="0"/>
        <v>0</v>
      </c>
    </row>
    <row r="8" spans="1:9">
      <c r="A8" s="3464"/>
      <c r="B8" s="3465" t="s">
        <v>975</v>
      </c>
      <c r="C8" s="3465"/>
      <c r="D8" s="1062"/>
      <c r="E8" s="1060"/>
      <c r="F8" s="1063"/>
      <c r="G8" s="1063"/>
      <c r="H8" s="1064"/>
      <c r="I8" s="1065">
        <f t="shared" si="0"/>
        <v>0</v>
      </c>
    </row>
    <row r="9" spans="1:9">
      <c r="A9" s="3464"/>
      <c r="B9" s="3465" t="s">
        <v>976</v>
      </c>
      <c r="C9" s="3465"/>
      <c r="D9" s="1062"/>
      <c r="E9" s="1060"/>
      <c r="F9" s="1063"/>
      <c r="G9" s="1063"/>
      <c r="H9" s="1064"/>
      <c r="I9" s="1065">
        <f t="shared" si="0"/>
        <v>0</v>
      </c>
    </row>
    <row r="10" spans="1:9">
      <c r="A10" s="3464"/>
      <c r="B10" s="3466" t="s">
        <v>977</v>
      </c>
      <c r="C10" s="3466"/>
      <c r="D10" s="1066">
        <v>527</v>
      </c>
      <c r="E10" s="1066" t="e">
        <f>ROUND(D1*10000/D10/H9,0)</f>
        <v>#DIV/0!</v>
      </c>
      <c r="F10" s="1067"/>
      <c r="G10" s="1067"/>
      <c r="H10" s="1068"/>
      <c r="I10" s="1069">
        <f>SUM(I3:I9)</f>
        <v>0</v>
      </c>
    </row>
    <row r="11" spans="1:9" ht="14.25">
      <c r="A11" s="3464" t="s">
        <v>1015</v>
      </c>
      <c r="B11" s="3465" t="s">
        <v>978</v>
      </c>
      <c r="C11" s="3465"/>
      <c r="D11" s="1062" t="s">
        <v>979</v>
      </c>
      <c r="E11" s="1062" t="s">
        <v>980</v>
      </c>
      <c r="F11" s="1063" t="s">
        <v>981</v>
      </c>
      <c r="G11" s="1063" t="s">
        <v>968</v>
      </c>
      <c r="H11" s="1070" t="s">
        <v>982</v>
      </c>
      <c r="I11" s="1061" t="s">
        <v>969</v>
      </c>
    </row>
    <row r="12" spans="1:9">
      <c r="A12" s="3464"/>
      <c r="B12" s="3465" t="s">
        <v>983</v>
      </c>
      <c r="C12" s="3465"/>
      <c r="D12" s="1062"/>
      <c r="E12" s="1062"/>
      <c r="F12" s="1063"/>
      <c r="G12" s="1064"/>
      <c r="H12" s="1071"/>
      <c r="I12" s="1061">
        <f>ROUND(D12*E12*F12*G12/10000,0)</f>
        <v>0</v>
      </c>
    </row>
    <row r="13" spans="1:9">
      <c r="A13" s="3464"/>
      <c r="B13" s="3465" t="s">
        <v>984</v>
      </c>
      <c r="C13" s="3465"/>
      <c r="D13" s="1062"/>
      <c r="E13" s="1062"/>
      <c r="F13" s="1063"/>
      <c r="G13" s="1064"/>
      <c r="H13" s="1071"/>
      <c r="I13" s="1061">
        <f>ROUND(D13*E13*F13*G13/10000,0)</f>
        <v>0</v>
      </c>
    </row>
    <row r="14" spans="1:9">
      <c r="A14" s="3464"/>
      <c r="B14" s="3465" t="s">
        <v>985</v>
      </c>
      <c r="C14" s="3465"/>
      <c r="D14" s="1062"/>
      <c r="E14" s="1062"/>
      <c r="F14" s="1063"/>
      <c r="G14" s="1064"/>
      <c r="H14" s="1071"/>
      <c r="I14" s="1061">
        <f>ROUND(D14*E14*F14*G14/10000,0)</f>
        <v>0</v>
      </c>
    </row>
    <row r="15" spans="1:9">
      <c r="A15" s="3464"/>
      <c r="B15" s="3466" t="s">
        <v>977</v>
      </c>
      <c r="C15" s="3466"/>
      <c r="D15" s="1066"/>
      <c r="E15" s="1066">
        <f>SUM(E12:E14)</f>
        <v>0</v>
      </c>
      <c r="F15" s="1067"/>
      <c r="G15" s="1064"/>
      <c r="H15" s="1071"/>
      <c r="I15" s="1072">
        <f>SUM(I12:I14)</f>
        <v>0</v>
      </c>
    </row>
    <row r="16" spans="1:9" ht="24">
      <c r="A16" s="3464" t="s">
        <v>1016</v>
      </c>
      <c r="B16" s="3465" t="s">
        <v>986</v>
      </c>
      <c r="C16" s="3465"/>
      <c r="D16" s="1062" t="s">
        <v>964</v>
      </c>
      <c r="E16" s="1073" t="s">
        <v>987</v>
      </c>
      <c r="F16" s="1063" t="s">
        <v>988</v>
      </c>
      <c r="G16" s="1064" t="s">
        <v>968</v>
      </c>
      <c r="H16" s="1070" t="s">
        <v>982</v>
      </c>
      <c r="I16" s="1061" t="s">
        <v>969</v>
      </c>
    </row>
    <row r="17" spans="1:9" ht="14.25">
      <c r="A17" s="3464"/>
      <c r="B17" s="3465" t="s">
        <v>989</v>
      </c>
      <c r="C17" s="3465"/>
      <c r="D17" s="1062"/>
      <c r="E17" s="1062"/>
      <c r="F17" s="1063"/>
      <c r="G17" s="1064"/>
      <c r="H17" s="1074"/>
      <c r="I17" s="1075">
        <f>ROUND(D17*E17*F17*G17/10000,0)</f>
        <v>0</v>
      </c>
    </row>
    <row r="18" spans="1:9" ht="14.25">
      <c r="A18" s="3464"/>
      <c r="B18" s="3465" t="s">
        <v>990</v>
      </c>
      <c r="C18" s="3465"/>
      <c r="D18" s="1062"/>
      <c r="E18" s="1062"/>
      <c r="F18" s="1063"/>
      <c r="G18" s="1064"/>
      <c r="H18" s="1074"/>
      <c r="I18" s="1075">
        <f>ROUND(D18*E18*F18*G18/10000,0)</f>
        <v>0</v>
      </c>
    </row>
    <row r="19" spans="1:9" ht="14.25">
      <c r="A19" s="3464"/>
      <c r="B19" s="3465" t="s">
        <v>991</v>
      </c>
      <c r="C19" s="3465"/>
      <c r="D19" s="1062"/>
      <c r="E19" s="1062"/>
      <c r="F19" s="1063"/>
      <c r="G19" s="1064"/>
      <c r="H19" s="1074"/>
      <c r="I19" s="1075">
        <f>ROUND(D19*E19*F19*G19/10000,0)</f>
        <v>0</v>
      </c>
    </row>
    <row r="20" spans="1:9">
      <c r="A20" s="3464"/>
      <c r="B20" s="3466" t="s">
        <v>977</v>
      </c>
      <c r="C20" s="3466"/>
      <c r="D20" s="1066">
        <f>SUM(D17:D19)</f>
        <v>0</v>
      </c>
      <c r="E20" s="1066"/>
      <c r="F20" s="1067"/>
      <c r="G20" s="1064"/>
      <c r="H20" s="1071"/>
      <c r="I20" s="1072">
        <f>SUM(I17:I19)</f>
        <v>0</v>
      </c>
    </row>
    <row r="21" spans="1:9">
      <c r="A21" s="3464" t="s">
        <v>1017</v>
      </c>
      <c r="B21" s="3468"/>
      <c r="C21" s="3468"/>
      <c r="D21" s="3468"/>
      <c r="E21" s="3468"/>
      <c r="F21" s="3468"/>
      <c r="G21" s="3468"/>
      <c r="H21" s="1076">
        <v>0.1</v>
      </c>
      <c r="I21" s="1069">
        <f>ROUND(I10*H21,0)</f>
        <v>0</v>
      </c>
    </row>
    <row r="22" spans="1:9" ht="14.25">
      <c r="A22" s="3469" t="s">
        <v>1018</v>
      </c>
      <c r="B22" s="3470"/>
      <c r="C22" s="3471"/>
      <c r="D22" s="1077" t="s">
        <v>992</v>
      </c>
      <c r="E22" s="1077" t="s">
        <v>993</v>
      </c>
      <c r="F22" s="1078" t="s">
        <v>968</v>
      </c>
      <c r="G22" s="1078" t="s">
        <v>994</v>
      </c>
      <c r="H22" s="1070" t="s">
        <v>982</v>
      </c>
      <c r="I22" s="1061" t="s">
        <v>969</v>
      </c>
    </row>
    <row r="23" spans="1:9" ht="14.25" thickBot="1">
      <c r="A23" s="3472"/>
      <c r="B23" s="3473"/>
      <c r="C23" s="3474"/>
      <c r="D23" s="1079"/>
      <c r="E23" s="1079"/>
      <c r="F23" s="1079"/>
      <c r="G23" s="1080"/>
      <c r="H23" s="1081"/>
      <c r="I23" s="1082">
        <f>ROUND(E23*D23*F23*(1-G23)/10000,0)</f>
        <v>0</v>
      </c>
    </row>
    <row r="26" spans="1:9">
      <c r="A26" s="1083" t="s">
        <v>995</v>
      </c>
      <c r="B26" s="1083"/>
      <c r="C26" s="1083"/>
      <c r="D26" s="1083"/>
      <c r="E26" s="3475">
        <f>C27-C30-C31-C32</f>
        <v>0</v>
      </c>
      <c r="F26" s="3475"/>
      <c r="G26" s="3475"/>
      <c r="H26" s="1302" t="s">
        <v>1206</v>
      </c>
    </row>
    <row r="27" spans="1:9">
      <c r="A27" s="1084">
        <v>1</v>
      </c>
      <c r="B27" s="1085" t="s">
        <v>996</v>
      </c>
      <c r="C27" s="1085">
        <f>C28+C29</f>
        <v>0</v>
      </c>
      <c r="D27" s="1085"/>
      <c r="E27" s="3476"/>
      <c r="F27" s="3476"/>
      <c r="G27" s="3476"/>
    </row>
    <row r="28" spans="1:9">
      <c r="A28" s="1086" t="s">
        <v>997</v>
      </c>
      <c r="B28" s="1085" t="s">
        <v>998</v>
      </c>
      <c r="C28" s="1085"/>
      <c r="D28" s="1085"/>
      <c r="E28" s="3476"/>
      <c r="F28" s="3476"/>
      <c r="G28" s="3476"/>
    </row>
    <row r="29" spans="1:9">
      <c r="A29" s="1086" t="s">
        <v>999</v>
      </c>
      <c r="B29" s="1085" t="s">
        <v>1000</v>
      </c>
      <c r="C29" s="1085"/>
      <c r="D29" s="1085"/>
      <c r="E29" s="1085" t="s">
        <v>1001</v>
      </c>
      <c r="F29" s="1085"/>
      <c r="G29" s="1085"/>
    </row>
    <row r="30" spans="1:9">
      <c r="A30" s="1084">
        <v>2</v>
      </c>
      <c r="B30" s="1085" t="s">
        <v>1002</v>
      </c>
      <c r="C30" s="1085">
        <f>C27*D30</f>
        <v>0</v>
      </c>
      <c r="D30" s="1087">
        <v>0.2</v>
      </c>
      <c r="E30" s="1085" t="s">
        <v>1003</v>
      </c>
      <c r="F30" s="1085"/>
      <c r="G30" s="1085"/>
    </row>
    <row r="31" spans="1:9">
      <c r="A31" s="1084">
        <v>3</v>
      </c>
      <c r="B31" s="1085" t="s">
        <v>1004</v>
      </c>
      <c r="C31" s="1085">
        <f>C27*D31</f>
        <v>0</v>
      </c>
      <c r="D31" s="1087">
        <v>0.15</v>
      </c>
      <c r="E31" s="1085" t="s">
        <v>1005</v>
      </c>
      <c r="F31" s="1085"/>
      <c r="G31" s="1085"/>
    </row>
    <row r="32" spans="1:9">
      <c r="A32" s="1084">
        <v>4</v>
      </c>
      <c r="B32" s="1085" t="s">
        <v>1006</v>
      </c>
      <c r="C32" s="1085">
        <f>C27*D32</f>
        <v>0</v>
      </c>
      <c r="D32" s="1087">
        <v>0.05</v>
      </c>
      <c r="E32" s="3467"/>
      <c r="F32" s="3467"/>
      <c r="G32" s="3467"/>
    </row>
    <row r="33" spans="1:7" hidden="1">
      <c r="A33" s="3477" t="s">
        <v>1007</v>
      </c>
      <c r="B33" s="3478"/>
      <c r="C33" s="3478"/>
      <c r="D33" s="3479"/>
      <c r="E33" s="3475"/>
      <c r="F33" s="3475"/>
      <c r="G33" s="3475"/>
    </row>
    <row r="34" spans="1:7" hidden="1">
      <c r="A34" s="1088">
        <v>1</v>
      </c>
      <c r="B34" s="1085" t="s">
        <v>1008</v>
      </c>
      <c r="C34" s="1085"/>
      <c r="D34" s="1085"/>
      <c r="E34" s="3476"/>
      <c r="F34" s="3476"/>
      <c r="G34" s="3476"/>
    </row>
    <row r="35" spans="1:7" hidden="1">
      <c r="A35" s="1088">
        <v>2</v>
      </c>
      <c r="B35" s="1085" t="s">
        <v>1009</v>
      </c>
      <c r="C35" s="1085"/>
      <c r="D35" s="1085"/>
      <c r="E35" s="3476"/>
      <c r="F35" s="3476"/>
      <c r="G35" s="3476"/>
    </row>
    <row r="36" spans="1:7" hidden="1">
      <c r="A36" s="1088">
        <v>3</v>
      </c>
      <c r="B36" s="1085" t="s">
        <v>1010</v>
      </c>
      <c r="C36" s="1085"/>
      <c r="D36" s="1085"/>
      <c r="E36" s="3476"/>
      <c r="F36" s="3476"/>
      <c r="G36" s="3476"/>
    </row>
    <row r="37" spans="1:7" hidden="1">
      <c r="A37" s="1088">
        <v>4</v>
      </c>
      <c r="B37" s="1085" t="s">
        <v>1011</v>
      </c>
      <c r="C37" s="1085"/>
      <c r="D37" s="1085"/>
      <c r="E37" s="3476"/>
      <c r="F37" s="3476"/>
      <c r="G37" s="3476"/>
    </row>
    <row r="38" spans="1:7" hidden="1">
      <c r="A38" s="3477" t="s">
        <v>1012</v>
      </c>
      <c r="B38" s="3478"/>
      <c r="C38" s="3478"/>
      <c r="D38" s="3479"/>
      <c r="E38" s="3475"/>
      <c r="F38" s="3475"/>
      <c r="G38" s="347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A12" sqref="A12:A15"/>
    </sheetView>
  </sheetViews>
  <sheetFormatPr defaultColWidth="9" defaultRowHeight="12.75"/>
  <cols>
    <col min="1" max="1" width="9.75" style="1620" customWidth="1"/>
    <col min="2" max="2" width="19.25" style="1620" customWidth="1"/>
    <col min="3" max="3" width="12.5" style="1620" customWidth="1"/>
    <col min="4" max="4" width="12" style="1620" customWidth="1"/>
    <col min="5" max="5" width="14.625" style="1620" customWidth="1"/>
    <col min="6" max="8" width="12" style="1620" customWidth="1"/>
    <col min="9" max="9" width="12.25" style="1620" bestFit="1" customWidth="1"/>
    <col min="10" max="10" width="12" style="1620" customWidth="1"/>
    <col min="11" max="11" width="9.5" style="1619" customWidth="1"/>
    <col min="12" max="12" width="12" style="1620" customWidth="1"/>
    <col min="13" max="13" width="8.5" style="1620" customWidth="1"/>
    <col min="14" max="14" width="9.75" style="1620" customWidth="1"/>
    <col min="15" max="25" width="12" style="1620" customWidth="1"/>
    <col min="26" max="26" width="9.375" style="1620" customWidth="1"/>
    <col min="27" max="32" width="9.375" style="2260" customWidth="1"/>
    <col min="33" max="38" width="9.375" style="1620" customWidth="1"/>
    <col min="39" max="16384" width="9" style="1620"/>
  </cols>
  <sheetData>
    <row r="1" spans="1:36" ht="28.5">
      <c r="A1" s="2092" t="s">
        <v>2494</v>
      </c>
      <c r="B1" s="2093"/>
      <c r="C1" s="2094" t="s">
        <v>2495</v>
      </c>
      <c r="D1" s="2095">
        <f>SUM(D29:D30,D33:D39)</f>
        <v>366.17</v>
      </c>
      <c r="E1" s="2095"/>
      <c r="F1" s="2095"/>
      <c r="G1" s="2095"/>
      <c r="H1" s="2095"/>
      <c r="I1" s="2095"/>
      <c r="J1" s="2095"/>
      <c r="K1" s="3044"/>
      <c r="L1" s="2096" t="s">
        <v>2496</v>
      </c>
      <c r="M1" s="2097">
        <f>SUMPRODUCT((区片价!B5:B9=I2)*(区片价!C3:F3=E2)*(区片价!C5:F9))</f>
        <v>0</v>
      </c>
      <c r="N1" s="2098">
        <f>SUMPRODUCT((因素修正幅度!B5:B9=I2)*(因素修正幅度!C3:F3=E2)*(因素修正幅度!C5:F9))</f>
        <v>0</v>
      </c>
      <c r="O1" s="3044"/>
      <c r="P1" s="3044"/>
      <c r="Q1" s="3044"/>
      <c r="R1" s="2099" t="s">
        <v>2497</v>
      </c>
      <c r="S1" s="2099" t="s">
        <v>2498</v>
      </c>
      <c r="T1" s="2099" t="s">
        <v>2499</v>
      </c>
      <c r="U1" s="2099" t="s">
        <v>2500</v>
      </c>
      <c r="V1" s="2099" t="s">
        <v>2501</v>
      </c>
      <c r="W1" s="2100"/>
      <c r="X1" s="2100"/>
      <c r="Y1" s="2100"/>
      <c r="Z1" s="2100"/>
      <c r="AA1" s="2100"/>
      <c r="AB1" s="2100"/>
      <c r="AC1" s="2100"/>
      <c r="AD1" s="2101"/>
      <c r="AE1" s="2101"/>
      <c r="AF1" s="2101"/>
      <c r="AG1" s="2101"/>
      <c r="AH1" s="2101"/>
      <c r="AI1" s="2101"/>
      <c r="AJ1" s="2102"/>
    </row>
    <row r="2" spans="1:36" ht="24.75">
      <c r="A2" s="1956" t="s">
        <v>2502</v>
      </c>
      <c r="B2" s="1655">
        <f>C26</f>
        <v>15538790</v>
      </c>
      <c r="C2" s="2103" t="s">
        <v>2503</v>
      </c>
      <c r="D2" s="1598" t="s">
        <v>2504</v>
      </c>
      <c r="E2" s="2104" t="s">
        <v>2885</v>
      </c>
      <c r="F2" s="1598" t="s">
        <v>2505</v>
      </c>
      <c r="G2" s="2105" t="str">
        <f>项目基本情况!F9</f>
        <v>三级</v>
      </c>
      <c r="H2" s="1599" t="s">
        <v>2506</v>
      </c>
      <c r="I2" s="2105" t="str">
        <f>项目基本情况!F10</f>
        <v>Ⅲ—18</v>
      </c>
      <c r="J2" s="2106"/>
      <c r="K2" s="3044"/>
      <c r="L2" s="2107" t="s">
        <v>2507</v>
      </c>
      <c r="M2" s="2108">
        <f>SUMPRODUCT((区片价!B10:B28=I2)*(区片价!C3:F3=E2)*(区片价!C10:F28))</f>
        <v>0</v>
      </c>
      <c r="N2" s="2109">
        <f>SUMPRODUCT((因素修正幅度!B10:B28=I2)*(因素修正幅度!C3:F3=E2)*(因素修正幅度!C10:F28))</f>
        <v>0</v>
      </c>
      <c r="O2" s="3044"/>
      <c r="P2" s="3044"/>
      <c r="Q2" s="3044"/>
      <c r="R2" s="2099">
        <v>1</v>
      </c>
      <c r="S2" s="2099">
        <f>ROUND(IF(G3&gt;1,IF(R2&lt;7,SUMPRODUCT((B93:B98=R2)*(C92:N92=G2)*(C93:N98)),SUMIF(C92:N92,G2,C100:N100)),IF(R2&lt;7,SUMPRODUCT((B102:B107=R2)*(C92:N92=G2)*(C102:N107)),SUMIF(C92:N92,G2,C109:N109))),4)</f>
        <v>1.8629</v>
      </c>
      <c r="T2" s="2099">
        <f>ROUND($C$5*$C$18*$C$19*$C$20*S2*$C$24,0)</f>
        <v>84289</v>
      </c>
      <c r="U2" s="2110"/>
      <c r="V2" s="2099">
        <f>ROUND(T2*U2/10000,0)</f>
        <v>0</v>
      </c>
      <c r="W2" s="2100"/>
      <c r="X2" s="2100"/>
      <c r="Y2" s="2100"/>
      <c r="Z2" s="2100"/>
      <c r="AA2" s="2100"/>
      <c r="AB2" s="2100"/>
      <c r="AC2" s="2100"/>
      <c r="AD2" s="2101"/>
      <c r="AE2" s="2101"/>
      <c r="AF2" s="2101"/>
      <c r="AG2" s="2101"/>
      <c r="AH2" s="2101"/>
      <c r="AI2" s="2101"/>
      <c r="AJ2" s="2102"/>
    </row>
    <row r="3" spans="1:36" ht="25.5">
      <c r="A3" s="1655" t="s">
        <v>2508</v>
      </c>
      <c r="B3" s="1655">
        <f>ROUND(B2/D1,0)</f>
        <v>42436</v>
      </c>
      <c r="C3" s="2103" t="s">
        <v>2509</v>
      </c>
      <c r="D3" s="1598" t="s">
        <v>2510</v>
      </c>
      <c r="E3" s="2104" t="s">
        <v>2887</v>
      </c>
      <c r="F3" s="1600" t="s">
        <v>2511</v>
      </c>
      <c r="G3" s="2111">
        <f>项目基本情况!C15</f>
        <v>3.2</v>
      </c>
      <c r="H3" s="50" t="s">
        <v>2512</v>
      </c>
      <c r="I3" s="2112">
        <v>23</v>
      </c>
      <c r="J3" s="2106" t="s">
        <v>2513</v>
      </c>
      <c r="K3" s="3044"/>
      <c r="L3" s="2107" t="s">
        <v>2514</v>
      </c>
      <c r="M3" s="2108">
        <f>SUMPRODUCT((区片价!B29:B48=I2)*(区片价!C3:F3=E2)*(区片价!C29:F48))</f>
        <v>19790</v>
      </c>
      <c r="N3" s="2109">
        <f>SUMPRODUCT((因素修正幅度!B29:B48=I2)*(因素修正幅度!C3:F3=E2)*(因素修正幅度!C29:F48))</f>
        <v>8.7999999999999995E-2</v>
      </c>
      <c r="O3" s="3044"/>
      <c r="P3" s="3044"/>
      <c r="Q3" s="3044"/>
      <c r="R3" s="2099">
        <v>2</v>
      </c>
      <c r="S3" s="2099">
        <f>ROUND(IF(G3&gt;1,IF(R3&lt;7,SUMPRODUCT((B93:B98=R3)*(C92:N92=G2)*(C93:N98)),SUMIF(C92:N92,G2,C100:N100)),IF(R3&lt;7,SUMPRODUCT((B102:B107=R3)*(C92:N92=G2)*(C102:N107)),SUMIF(C92:N92,G2,C109:N109))),4)</f>
        <v>1.3371999999999999</v>
      </c>
      <c r="T3" s="2099">
        <f t="shared" ref="T3:T16" si="0">ROUND($C$5*$C$18*$C$19*$C$20*S3*$C$24,0)</f>
        <v>60503</v>
      </c>
      <c r="U3" s="2110"/>
      <c r="V3" s="2099">
        <f t="shared" ref="V3:V16" si="1">ROUND(T3*U3/10000,0)</f>
        <v>0</v>
      </c>
      <c r="W3" s="2100"/>
      <c r="X3" s="2100"/>
      <c r="Y3" s="2100"/>
      <c r="Z3" s="2100"/>
      <c r="AA3" s="2100"/>
      <c r="AB3" s="2100"/>
      <c r="AC3" s="2100"/>
      <c r="AD3" s="2101"/>
      <c r="AE3" s="2101"/>
      <c r="AF3" s="2101"/>
      <c r="AG3" s="2101"/>
      <c r="AH3" s="2101"/>
      <c r="AI3" s="2101"/>
      <c r="AJ3" s="2102"/>
    </row>
    <row r="4" spans="1:36" ht="15.75">
      <c r="A4" s="3497"/>
      <c r="B4" s="3498"/>
      <c r="C4" s="3498"/>
      <c r="D4" s="3499"/>
      <c r="E4" s="3499"/>
      <c r="F4" s="3499"/>
      <c r="G4" s="3499"/>
      <c r="H4" s="3499"/>
      <c r="I4" s="3499"/>
      <c r="J4" s="3500"/>
      <c r="K4" s="3044"/>
      <c r="L4" s="2107" t="s">
        <v>2515</v>
      </c>
      <c r="M4" s="2108">
        <f>SUMPRODUCT((区片价!B49:B75=I2)*(区片价!C3:F3=E2)*(区片价!C49:F75))</f>
        <v>0</v>
      </c>
      <c r="N4" s="2109">
        <f>SUMPRODUCT((因素修正幅度!B49:B75=I2)*(因素修正幅度!C3:F3=E2)*(因素修正幅度!C49:F75))</f>
        <v>0</v>
      </c>
      <c r="O4" s="3044"/>
      <c r="P4" s="3044"/>
      <c r="Q4" s="3044"/>
      <c r="R4" s="2099">
        <v>3</v>
      </c>
      <c r="S4" s="2099">
        <f>ROUND(IF(G3&gt;1,IF(R4&lt;7,SUMPRODUCT((B93:B98=R4)*(C92:N92=G2)*(C93:N98)),SUMIF(C92:N92,G2,C100:N100)),IF(R4&lt;7,SUMPRODUCT((B102:B107=R4)*(C92:N92=G2)*(C102:N107)),SUMIF(C92:N92,G2,C109:N109))),4)</f>
        <v>1.0788</v>
      </c>
      <c r="T4" s="2099">
        <f t="shared" si="0"/>
        <v>48811</v>
      </c>
      <c r="U4" s="2110"/>
      <c r="V4" s="2099">
        <f t="shared" si="1"/>
        <v>0</v>
      </c>
      <c r="W4" s="2100"/>
      <c r="X4" s="2100"/>
      <c r="Y4" s="2100"/>
      <c r="Z4" s="2100"/>
      <c r="AA4" s="2100"/>
      <c r="AB4" s="2100"/>
      <c r="AC4" s="2100"/>
      <c r="AD4" s="2101"/>
      <c r="AE4" s="2101"/>
      <c r="AF4" s="2101"/>
      <c r="AG4" s="2101"/>
      <c r="AH4" s="2101"/>
      <c r="AI4" s="2101"/>
      <c r="AJ4" s="2102"/>
    </row>
    <row r="5" spans="1:36" s="2120" customFormat="1" ht="15.75" thickBot="1">
      <c r="A5" s="1601" t="s">
        <v>2516</v>
      </c>
      <c r="B5" s="1601" t="s">
        <v>2517</v>
      </c>
      <c r="C5" s="2113">
        <f>ROUND(IF(E2="商业",C6*C7+C16,(IF(E2="住宅",C6*C12+C16,C6+C16))),0)</f>
        <v>26123</v>
      </c>
      <c r="D5" s="2114">
        <f>ROUND(C6+C16,0)</f>
        <v>19790</v>
      </c>
      <c r="E5" s="2114"/>
      <c r="F5" s="2115"/>
      <c r="G5" s="2116"/>
      <c r="H5" s="2116"/>
      <c r="I5" s="2116"/>
      <c r="J5" s="2073"/>
      <c r="K5" s="1663"/>
      <c r="L5" s="2107" t="s">
        <v>2518</v>
      </c>
      <c r="M5" s="2108">
        <f>SUMPRODUCT((区片价!B76:B109=I2)*(区片价!C3:F3=E2)*(区片价!C76:F109))</f>
        <v>0</v>
      </c>
      <c r="N5" s="2109">
        <f>SUMPRODUCT((因素修正幅度!B76:B109=I2)*(因素修正幅度!C3:F3=E2)*(因素修正幅度!C76:F109))</f>
        <v>0</v>
      </c>
      <c r="O5" s="3044"/>
      <c r="P5" s="3044"/>
      <c r="Q5" s="3044"/>
      <c r="R5" s="2099">
        <v>4</v>
      </c>
      <c r="S5" s="2099">
        <f>ROUND(IF(G3&gt;1,IF(R5&lt;7,SUMPRODUCT((B93:B98=R5)*(C92:N92=G2)*(C93:N98)),SUMIF(C92:N92,G2,C100:N100)),IF(R5&lt;7,SUMPRODUCT((B102:B107=R5)*(C92:N92=G2)*(C102:N107)),SUMIF(C92:N92,G2,C109:N109))),4)</f>
        <v>0.86560000000000004</v>
      </c>
      <c r="T5" s="2099">
        <f t="shared" si="0"/>
        <v>39165</v>
      </c>
      <c r="U5" s="2110"/>
      <c r="V5" s="2099">
        <f t="shared" si="1"/>
        <v>0</v>
      </c>
      <c r="W5" s="2100"/>
      <c r="X5" s="2100"/>
      <c r="Y5" s="2100"/>
      <c r="Z5" s="2100"/>
      <c r="AA5" s="2100"/>
      <c r="AB5" s="2100"/>
      <c r="AC5" s="2117"/>
      <c r="AD5" s="2118"/>
      <c r="AE5" s="2118"/>
      <c r="AF5" s="2118"/>
      <c r="AG5" s="2118"/>
      <c r="AH5" s="2118"/>
      <c r="AI5" s="2118"/>
      <c r="AJ5" s="2119"/>
    </row>
    <row r="6" spans="1:36" ht="15.75" thickBot="1">
      <c r="A6" s="2121">
        <v>1</v>
      </c>
      <c r="B6" s="1602" t="s">
        <v>2519</v>
      </c>
      <c r="C6" s="2122">
        <f>SUMIF(L1:L12,G2,M1:M12)</f>
        <v>19790</v>
      </c>
      <c r="D6" s="2123" t="s">
        <v>2520</v>
      </c>
      <c r="E6" s="1602"/>
      <c r="F6" s="1602"/>
      <c r="G6" s="2124"/>
      <c r="H6" s="2124"/>
      <c r="I6" s="2124"/>
      <c r="J6" s="2125"/>
      <c r="K6" s="3045"/>
      <c r="L6" s="2107" t="s">
        <v>2521</v>
      </c>
      <c r="M6" s="2108">
        <f>SUMPRODUCT((区片价!B110:B157=I2)*(区片价!C3:F3=E2)*(区片价!C110:F157))</f>
        <v>0</v>
      </c>
      <c r="N6" s="2109">
        <f>SUMPRODUCT((因素修正幅度!B110:B157=I2)*(因素修正幅度!C3:F3=E2)*(因素修正幅度!C110:F157))</f>
        <v>0</v>
      </c>
      <c r="O6" s="3044"/>
      <c r="P6" s="3044"/>
      <c r="Q6" s="3044"/>
      <c r="R6" s="2099">
        <v>5</v>
      </c>
      <c r="S6" s="2099">
        <f>ROUND(IF(G3&gt;1,IF(R6&lt;7,SUMPRODUCT((B93:B98=R6)*(C92:N92=G2)*(C93:N98)),SUMIF(C92:N92,G2,C100:N100)),IF(R6&lt;7,SUMPRODUCT((B102:B107=R6)*(C92:N92=G2)*(C102:N107)),SUMIF(C92:N92,G2,C109:N109))),4)</f>
        <v>0.73709999999999998</v>
      </c>
      <c r="T6" s="2099">
        <f t="shared" si="0"/>
        <v>33351</v>
      </c>
      <c r="U6" s="2110"/>
      <c r="V6" s="2099">
        <f t="shared" si="1"/>
        <v>0</v>
      </c>
      <c r="W6" s="2100"/>
      <c r="X6" s="2100"/>
      <c r="Y6" s="2100"/>
      <c r="Z6" s="2100"/>
      <c r="AA6" s="2100"/>
      <c r="AB6" s="2100"/>
      <c r="AC6" s="2117"/>
      <c r="AD6" s="2118"/>
      <c r="AE6" s="2118"/>
      <c r="AF6" s="2118"/>
      <c r="AG6" s="2118"/>
      <c r="AH6" s="2118"/>
      <c r="AI6" s="2118"/>
      <c r="AJ6" s="2119"/>
    </row>
    <row r="7" spans="1:36" ht="24">
      <c r="A7" s="3501" t="str">
        <f>IF(E2="商业",IF(C8="不临58条商业街","",2),"")</f>
        <v/>
      </c>
      <c r="B7" s="1603" t="s">
        <v>2522</v>
      </c>
      <c r="C7" s="2126">
        <f>IF(C8="不临58条商业街",1,ROUND(1+(1.6*E8+1.2*E9+0.8*E10+0.4*E11)*C9,4))</f>
        <v>1</v>
      </c>
      <c r="D7" s="2127" t="s">
        <v>2523</v>
      </c>
      <c r="E7" s="2128"/>
      <c r="F7" s="2129"/>
      <c r="G7" s="2129"/>
      <c r="H7" s="2129"/>
      <c r="I7" s="2129"/>
      <c r="J7" s="2130"/>
      <c r="K7" s="3045"/>
      <c r="L7" s="2107" t="s">
        <v>2524</v>
      </c>
      <c r="M7" s="2108">
        <f>SUMPRODUCT((区片价!B158:B205=I2)*(区片价!C3:F3=E2)*(区片价!C158:F205))</f>
        <v>0</v>
      </c>
      <c r="N7" s="2109">
        <f>SUMPRODUCT((因素修正幅度!B158:B205=I2)*(因素修正幅度!C3:F3=E2)*(因素修正幅度!C158:F205))</f>
        <v>0</v>
      </c>
      <c r="O7" s="3044"/>
      <c r="P7" s="3044"/>
      <c r="Q7" s="3044"/>
      <c r="R7" s="2099">
        <v>6</v>
      </c>
      <c r="S7" s="2099">
        <f>ROUND(IF(G3&gt;1,IF(R7&lt;7,SUMPRODUCT((B93:B98=R7)*(C92:N92=G2)*(C93:N98)),SUMIF(C92:N92,G2,C100:N100)),IF(R7&lt;7,SUMPRODUCT((B102:B107=R7)*(C92:N92=G2)*(C102:N107)),SUMIF(C92:N92,G2,C109:N109))),4)</f>
        <v>0.6482</v>
      </c>
      <c r="T7" s="2099">
        <f t="shared" si="0"/>
        <v>29328</v>
      </c>
      <c r="U7" s="2110"/>
      <c r="V7" s="2099">
        <f t="shared" si="1"/>
        <v>0</v>
      </c>
      <c r="W7" s="2131" t="s">
        <v>2525</v>
      </c>
      <c r="X7" s="2132" t="str">
        <f>G2</f>
        <v>三级</v>
      </c>
      <c r="Y7" s="2132" t="s">
        <v>2526</v>
      </c>
      <c r="Z7" s="2133">
        <f>G3</f>
        <v>3.2</v>
      </c>
      <c r="AA7" s="2100"/>
      <c r="AB7" s="2100"/>
      <c r="AC7" s="2100"/>
      <c r="AD7" s="2101"/>
      <c r="AE7" s="2101"/>
      <c r="AF7" s="2101"/>
      <c r="AG7" s="2101"/>
      <c r="AH7" s="2101"/>
      <c r="AI7" s="2101"/>
      <c r="AJ7" s="2102"/>
    </row>
    <row r="8" spans="1:36" ht="15">
      <c r="A8" s="3502"/>
      <c r="B8" s="50" t="s">
        <v>2527</v>
      </c>
      <c r="C8" s="2134" t="s">
        <v>2901</v>
      </c>
      <c r="D8" s="65" t="s">
        <v>89</v>
      </c>
      <c r="E8" s="2135" t="e">
        <f>ROUND(C11/E7,4)</f>
        <v>#DIV/0!</v>
      </c>
      <c r="F8" s="2136" t="s">
        <v>2528</v>
      </c>
      <c r="G8" s="2137"/>
      <c r="H8" s="2137"/>
      <c r="I8" s="2137"/>
      <c r="J8" s="2138"/>
      <c r="K8" s="3044"/>
      <c r="L8" s="2107" t="s">
        <v>2529</v>
      </c>
      <c r="M8" s="2108">
        <f>SUMPRODUCT((区片价!B206:B244=I2)*(区片价!C3:F3=E2)*(区片价!C206:F244))</f>
        <v>0</v>
      </c>
      <c r="N8" s="2109">
        <f>SUMPRODUCT((因素修正幅度!B206:B244=I2)*(因素修正幅度!C3:F3=E2)*(因素修正幅度!C206:F244))</f>
        <v>0</v>
      </c>
      <c r="O8" s="3044"/>
      <c r="P8" s="3044"/>
      <c r="Q8" s="3044"/>
      <c r="R8" s="2099">
        <v>7</v>
      </c>
      <c r="S8" s="2110"/>
      <c r="T8" s="2099">
        <f t="shared" si="0"/>
        <v>0</v>
      </c>
      <c r="U8" s="2110"/>
      <c r="V8" s="2099">
        <f t="shared" si="1"/>
        <v>0</v>
      </c>
      <c r="W8" s="3495" t="s">
        <v>2530</v>
      </c>
      <c r="X8" s="3496"/>
      <c r="Y8" s="2139" t="s">
        <v>2531</v>
      </c>
      <c r="Z8" s="2139" t="s">
        <v>2532</v>
      </c>
      <c r="AA8" s="2139" t="s">
        <v>2533</v>
      </c>
      <c r="AB8" s="2139" t="s">
        <v>2534</v>
      </c>
      <c r="AC8" s="2139" t="s">
        <v>2535</v>
      </c>
      <c r="AD8" s="2139" t="s">
        <v>2536</v>
      </c>
      <c r="AE8" s="2139" t="s">
        <v>2537</v>
      </c>
      <c r="AF8" s="2139" t="s">
        <v>2538</v>
      </c>
      <c r="AG8" s="2139" t="s">
        <v>2539</v>
      </c>
      <c r="AH8" s="2139" t="s">
        <v>2540</v>
      </c>
      <c r="AI8" s="2139" t="s">
        <v>2541</v>
      </c>
      <c r="AJ8" s="2139" t="s">
        <v>2542</v>
      </c>
    </row>
    <row r="9" spans="1:36" ht="15">
      <c r="A9" s="3502"/>
      <c r="B9" s="50" t="s">
        <v>2543</v>
      </c>
      <c r="C9" s="2140">
        <f>SUMIF(修正!C59:C119,C8,修正!E59:E119)</f>
        <v>0</v>
      </c>
      <c r="D9" s="50" t="s">
        <v>90</v>
      </c>
      <c r="E9" s="50" t="e">
        <f>ROUND(C11/E7,4)</f>
        <v>#DIV/0!</v>
      </c>
      <c r="F9" s="2136" t="s">
        <v>2544</v>
      </c>
      <c r="G9" s="2137"/>
      <c r="H9" s="2137"/>
      <c r="I9" s="2137"/>
      <c r="J9" s="2138"/>
      <c r="K9" s="3044"/>
      <c r="L9" s="2107" t="s">
        <v>2545</v>
      </c>
      <c r="M9" s="2108">
        <f>SUMPRODUCT((区片价!B245:B289=I2)*(区片价!C3:F3=E2)*(区片价!C245:F289))</f>
        <v>0</v>
      </c>
      <c r="N9" s="2109">
        <f>SUMPRODUCT((因素修正幅度!B245:B289=I2)*(因素修正幅度!C3:F3=E2)*(因素修正幅度!C245:F289))</f>
        <v>0</v>
      </c>
      <c r="O9" s="3044"/>
      <c r="P9" s="3044"/>
      <c r="Q9" s="3044"/>
      <c r="R9" s="2099">
        <v>8</v>
      </c>
      <c r="S9" s="2110"/>
      <c r="T9" s="2099">
        <f t="shared" si="0"/>
        <v>0</v>
      </c>
      <c r="U9" s="2110"/>
      <c r="V9" s="2099">
        <f t="shared" si="1"/>
        <v>0</v>
      </c>
      <c r="W9" s="3496" t="s">
        <v>2546</v>
      </c>
      <c r="X9" s="2141" t="s">
        <v>2547</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502"/>
      <c r="B10" s="50" t="s">
        <v>2548</v>
      </c>
      <c r="C10" s="50">
        <f>SUMIF(修正!C59:C119,C8,修正!F59:F119)</f>
        <v>0</v>
      </c>
      <c r="D10" s="50" t="s">
        <v>91</v>
      </c>
      <c r="E10" s="50" t="e">
        <f>ROUND(C11/E7,4)</f>
        <v>#DIV/0!</v>
      </c>
      <c r="F10" s="2136" t="s">
        <v>2549</v>
      </c>
      <c r="G10" s="2137"/>
      <c r="H10" s="2137"/>
      <c r="I10" s="2137"/>
      <c r="J10" s="2138"/>
      <c r="K10" s="3044"/>
      <c r="L10" s="2107" t="s">
        <v>2550</v>
      </c>
      <c r="M10" s="2108">
        <f>SUMPRODUCT((区片价!B290:B316=I2)*(区片价!C3:F3=E2)*(区片价!C290:F316))</f>
        <v>0</v>
      </c>
      <c r="N10" s="2109">
        <f>SUMPRODUCT((因素修正幅度!B290:B316=I2)*(因素修正幅度!C3:F3=E2)*(因素修正幅度!C290:F316))</f>
        <v>0</v>
      </c>
      <c r="O10" s="3044"/>
      <c r="P10" s="3044"/>
      <c r="Q10" s="3044"/>
      <c r="R10" s="2099">
        <v>9</v>
      </c>
      <c r="S10" s="2110"/>
      <c r="T10" s="2099">
        <f t="shared" si="0"/>
        <v>0</v>
      </c>
      <c r="U10" s="2110"/>
      <c r="V10" s="2099">
        <f t="shared" si="1"/>
        <v>0</v>
      </c>
      <c r="W10" s="3496"/>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502"/>
      <c r="B11" s="1604" t="s">
        <v>2551</v>
      </c>
      <c r="C11" s="1604">
        <f>C10/4</f>
        <v>0</v>
      </c>
      <c r="D11" s="1604" t="s">
        <v>92</v>
      </c>
      <c r="E11" s="1604" t="e">
        <f>ROUND(C11/E7,4)</f>
        <v>#DIV/0!</v>
      </c>
      <c r="F11" s="2145" t="s">
        <v>2552</v>
      </c>
      <c r="G11" s="2146"/>
      <c r="H11" s="2146"/>
      <c r="I11" s="2146"/>
      <c r="J11" s="2147"/>
      <c r="K11" s="3044"/>
      <c r="L11" s="2107" t="s">
        <v>2553</v>
      </c>
      <c r="M11" s="2108">
        <f>SUMPRODUCT((区片价!B317:B337=I2)*(区片价!C3:F3=E2)*(区片价!C317:F337))</f>
        <v>0</v>
      </c>
      <c r="N11" s="2109">
        <f>SUMPRODUCT((因素修正幅度!B317:B337=I2)*(因素修正幅度!C3:F3=E2)*(因素修正幅度!C317:F337))</f>
        <v>0</v>
      </c>
      <c r="O11" s="3044"/>
      <c r="P11" s="3044"/>
      <c r="Q11" s="3044"/>
      <c r="R11" s="2099">
        <v>10</v>
      </c>
      <c r="S11" s="2110"/>
      <c r="T11" s="2099">
        <f t="shared" si="0"/>
        <v>0</v>
      </c>
      <c r="U11" s="2110"/>
      <c r="V11" s="2099">
        <f t="shared" si="1"/>
        <v>0</v>
      </c>
      <c r="W11" s="3496" t="s">
        <v>2554</v>
      </c>
      <c r="X11" s="2148" t="s">
        <v>2555</v>
      </c>
      <c r="Y11" s="2149">
        <f>$G$3</f>
        <v>3.2</v>
      </c>
      <c r="Z11" s="2149">
        <f t="shared" ref="Z11:AJ11" si="3">$G$3</f>
        <v>3.2</v>
      </c>
      <c r="AA11" s="2149">
        <f t="shared" si="3"/>
        <v>3.2</v>
      </c>
      <c r="AB11" s="2149">
        <f t="shared" si="3"/>
        <v>3.2</v>
      </c>
      <c r="AC11" s="2149">
        <f t="shared" si="3"/>
        <v>3.2</v>
      </c>
      <c r="AD11" s="2149">
        <f t="shared" si="3"/>
        <v>3.2</v>
      </c>
      <c r="AE11" s="2149">
        <f t="shared" si="3"/>
        <v>3.2</v>
      </c>
      <c r="AF11" s="2149">
        <f t="shared" si="3"/>
        <v>3.2</v>
      </c>
      <c r="AG11" s="2149">
        <f t="shared" si="3"/>
        <v>3.2</v>
      </c>
      <c r="AH11" s="2149">
        <f t="shared" si="3"/>
        <v>3.2</v>
      </c>
      <c r="AI11" s="2149">
        <f t="shared" si="3"/>
        <v>3.2</v>
      </c>
      <c r="AJ11" s="2149">
        <f t="shared" si="3"/>
        <v>3.2</v>
      </c>
    </row>
    <row r="12" spans="1:36" ht="25.5" thickBot="1">
      <c r="A12" s="3501">
        <f>IF(E2="住宅",2,"")</f>
        <v>2</v>
      </c>
      <c r="B12" s="1605" t="s">
        <v>2556</v>
      </c>
      <c r="C12" s="2126">
        <f>ROUND(C15*D15*E15*F15*G15*H15*I15*J15,4)</f>
        <v>1.32</v>
      </c>
      <c r="D12" s="2150" t="s">
        <v>2557</v>
      </c>
      <c r="E12" s="2151"/>
      <c r="F12" s="2151"/>
      <c r="G12" s="2151"/>
      <c r="H12" s="2151"/>
      <c r="I12" s="2151"/>
      <c r="J12" s="2152"/>
      <c r="K12" s="3044"/>
      <c r="L12" s="2153" t="s">
        <v>2558</v>
      </c>
      <c r="M12" s="2154">
        <f>SUMPRODUCT((区片价!B338:B344=I2)*(区片价!C3:F3=E2)*(区片价!C338:F344))</f>
        <v>0</v>
      </c>
      <c r="N12" s="2155">
        <f>SUMPRODUCT((因素修正幅度!B338:B344=I2)*(因素修正幅度!C3:F3=E2)*(因素修正幅度!C338:F344))</f>
        <v>0</v>
      </c>
      <c r="O12" s="3044"/>
      <c r="P12" s="3044"/>
      <c r="Q12" s="3044"/>
      <c r="R12" s="2099">
        <v>11</v>
      </c>
      <c r="S12" s="2110"/>
      <c r="T12" s="2099">
        <f t="shared" si="0"/>
        <v>0</v>
      </c>
      <c r="U12" s="2110"/>
      <c r="V12" s="2099">
        <f t="shared" si="1"/>
        <v>0</v>
      </c>
      <c r="W12" s="3496"/>
      <c r="X12" s="2156" t="s">
        <v>2559</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503"/>
      <c r="B13" s="1606" t="s">
        <v>2560</v>
      </c>
      <c r="C13" s="2157" t="s">
        <v>2561</v>
      </c>
      <c r="D13" s="1607" t="s">
        <v>2562</v>
      </c>
      <c r="E13" s="1607" t="s">
        <v>2563</v>
      </c>
      <c r="F13" s="264" t="s">
        <v>2564</v>
      </c>
      <c r="G13" s="2158" t="s">
        <v>2565</v>
      </c>
      <c r="H13" s="2158" t="s">
        <v>2565</v>
      </c>
      <c r="I13" s="2158" t="s">
        <v>2565</v>
      </c>
      <c r="J13" s="2159" t="s">
        <v>2565</v>
      </c>
      <c r="K13" s="3044"/>
      <c r="L13" s="3044"/>
      <c r="M13" s="3044"/>
      <c r="N13" s="3044"/>
      <c r="O13" s="3044"/>
      <c r="P13" s="3044"/>
      <c r="Q13" s="3044"/>
      <c r="R13" s="2099">
        <v>12</v>
      </c>
      <c r="S13" s="2110"/>
      <c r="T13" s="2099">
        <f t="shared" si="0"/>
        <v>0</v>
      </c>
      <c r="U13" s="2110"/>
      <c r="V13" s="2099">
        <f t="shared" si="1"/>
        <v>0</v>
      </c>
      <c r="W13" s="3496"/>
      <c r="X13" s="2156"/>
      <c r="Y13" s="2144">
        <f>(-0.163*(Y12^2)-0.59*Y12+7617)*(10^(-4))/Y11</f>
        <v>0.23803125</v>
      </c>
      <c r="Z13" s="2144">
        <f t="shared" ref="Z13:AJ13" si="5">(-0.163*(Z12^2)-0.59*Z12+7617)*(10^(-4))/Z11</f>
        <v>0.23803125</v>
      </c>
      <c r="AA13" s="2144">
        <f t="shared" si="5"/>
        <v>0.23803125</v>
      </c>
      <c r="AB13" s="2144">
        <f t="shared" si="5"/>
        <v>0.23803125</v>
      </c>
      <c r="AC13" s="2144">
        <f t="shared" si="5"/>
        <v>0.23803125</v>
      </c>
      <c r="AD13" s="2144">
        <f t="shared" si="5"/>
        <v>0.23803125</v>
      </c>
      <c r="AE13" s="2144">
        <f t="shared" si="5"/>
        <v>0.23803125</v>
      </c>
      <c r="AF13" s="2144">
        <f t="shared" si="5"/>
        <v>0.23803125</v>
      </c>
      <c r="AG13" s="2144">
        <f t="shared" si="5"/>
        <v>0.23803125</v>
      </c>
      <c r="AH13" s="2144">
        <f t="shared" si="5"/>
        <v>0.23803125</v>
      </c>
      <c r="AI13" s="2144">
        <f t="shared" si="5"/>
        <v>0.23803125</v>
      </c>
      <c r="AJ13" s="2144">
        <f t="shared" si="5"/>
        <v>0.23803125</v>
      </c>
    </row>
    <row r="14" spans="1:36" ht="15">
      <c r="A14" s="3503"/>
      <c r="B14" s="1607"/>
      <c r="C14" s="2160" t="s">
        <v>2566</v>
      </c>
      <c r="D14" s="2161" t="s">
        <v>2567</v>
      </c>
      <c r="E14" s="2161" t="s">
        <v>2567</v>
      </c>
      <c r="F14" s="2162" t="s">
        <v>2568</v>
      </c>
      <c r="G14" s="2163" t="s">
        <v>2569</v>
      </c>
      <c r="H14" s="2164"/>
      <c r="I14" s="2165"/>
      <c r="J14" s="2166"/>
      <c r="K14" s="3044"/>
      <c r="L14" s="3044"/>
      <c r="M14" s="3044"/>
      <c r="N14" s="3044"/>
      <c r="O14" s="3044"/>
      <c r="P14" s="3044"/>
      <c r="Q14" s="3044"/>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75" thickBot="1">
      <c r="A15" s="3504"/>
      <c r="B15" s="1608" t="s">
        <v>2570</v>
      </c>
      <c r="C15" s="2167">
        <f>IF(C14="有",1.1,1)</f>
        <v>1.1000000000000001</v>
      </c>
      <c r="D15" s="2167">
        <f>IF(D14="有",1.1,1)</f>
        <v>1</v>
      </c>
      <c r="E15" s="2167">
        <f>IF(E14="有",1.1,1)</f>
        <v>1</v>
      </c>
      <c r="F15" s="2167">
        <f>IF(F14="500米范围内",1.2,IF(F14="500-1000米",1.1,1))</f>
        <v>1.2</v>
      </c>
      <c r="G15" s="2168">
        <v>1</v>
      </c>
      <c r="H15" s="2168">
        <v>1</v>
      </c>
      <c r="I15" s="2168">
        <v>1</v>
      </c>
      <c r="J15" s="2169">
        <v>1</v>
      </c>
      <c r="K15" s="3044"/>
      <c r="L15" s="3044"/>
      <c r="M15" s="3044"/>
      <c r="N15" s="3044"/>
      <c r="O15" s="3044"/>
      <c r="P15" s="3044"/>
      <c r="Q15" s="3044"/>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480">
        <f>IF(E2="办公",2,IF(E2="工业",2,IF(E2="住宅",3,IF(E2="商业",IF(C8="不临58条商业街",2,3)))))</f>
        <v>3</v>
      </c>
      <c r="B16" s="1627" t="s">
        <v>2576</v>
      </c>
      <c r="C16" s="1603">
        <f>ROUND(IF(F17="与级别开发程度一致",0,(G17-E17)/C17),0)</f>
        <v>0</v>
      </c>
      <c r="D16" s="3493" t="s">
        <v>2580</v>
      </c>
      <c r="E16" s="3494"/>
      <c r="F16" s="3493" t="s">
        <v>2577</v>
      </c>
      <c r="G16" s="3494"/>
      <c r="H16" s="2170" t="s">
        <v>2902</v>
      </c>
      <c r="I16" s="2170" t="s">
        <v>2903</v>
      </c>
      <c r="J16" s="2171" t="s">
        <v>2904</v>
      </c>
      <c r="K16" s="2170" t="s">
        <v>2905</v>
      </c>
      <c r="L16" s="2170" t="s">
        <v>2906</v>
      </c>
      <c r="M16" s="2170" t="s">
        <v>2907</v>
      </c>
      <c r="N16" s="2170" t="s">
        <v>2908</v>
      </c>
      <c r="O16" s="2172" t="s">
        <v>2909</v>
      </c>
      <c r="P16" s="3044"/>
      <c r="Q16" s="3044"/>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6.25" thickBot="1">
      <c r="A17" s="3481"/>
      <c r="B17" s="1628" t="s">
        <v>2579</v>
      </c>
      <c r="C17" s="2173">
        <f>SUMPRODUCT((修正!A2:A5=E2)*(修正!B1:M1=G2)*(修正!B2:M5))</f>
        <v>2.5</v>
      </c>
      <c r="D17" s="2167" t="str">
        <f>IF(OR(G2="八级",G2="九级",G2="十级",G2="十一级",G2="十二级"),"五通一平","七通一平")</f>
        <v>七通一平</v>
      </c>
      <c r="E17" s="2174">
        <f>SUMPRODUCT((修正!B1:M1=G2)*(修正!B15:M15))</f>
        <v>300</v>
      </c>
      <c r="F17" s="2175" t="s">
        <v>2888</v>
      </c>
      <c r="G17" s="1617">
        <f>SUM(H17:O17)</f>
        <v>300</v>
      </c>
      <c r="H17" s="2173">
        <f>SUMPRODUCT((七通一平=H16)*(修正!B1:M1=G2)*(修正!B6:M14))</f>
        <v>65</v>
      </c>
      <c r="I17" s="2173">
        <f>SUMPRODUCT((七通一平=I16)*(修正!B1:M1=G2)*(修正!B6:M14))</f>
        <v>55</v>
      </c>
      <c r="J17" s="2176">
        <f>SUMPRODUCT((七通一平=J16)*(修正!B1:M1=G2)*(修正!B6:M14))</f>
        <v>15</v>
      </c>
      <c r="K17" s="2173">
        <f>SUMPRODUCT((七通一平=K16)*(修正!B1:M1=G2)*(修正!B6:M14))</f>
        <v>25</v>
      </c>
      <c r="L17" s="2173">
        <f>SUMPRODUCT((七通一平=L16)*(修正!B1:M1=G2)*(修正!B6:M14))</f>
        <v>35</v>
      </c>
      <c r="M17" s="2173">
        <f>SUMPRODUCT((七通一平=M16)*(修正!B1:M1=G2)*(修正!B6:M14))</f>
        <v>50</v>
      </c>
      <c r="N17" s="2173">
        <f>SUMPRODUCT((七通一平=N16)*(修正!B1:M1=G2)*(修正!B6:M14))</f>
        <v>40</v>
      </c>
      <c r="O17" s="2177">
        <f>SUMPRODUCT((七通一平=O16)*(修正!B1:M1=G2)*(修正!B6:M14))</f>
        <v>15</v>
      </c>
      <c r="P17" s="3044"/>
      <c r="Q17" s="3044"/>
      <c r="R17" s="1619"/>
      <c r="S17" s="1619"/>
      <c r="T17" s="1619"/>
      <c r="U17" s="1619"/>
      <c r="V17" s="1619"/>
      <c r="W17" s="1619"/>
      <c r="X17" s="1619"/>
      <c r="Y17" s="1619"/>
      <c r="Z17" s="1619"/>
      <c r="AA17" s="1619"/>
      <c r="AB17" s="1619"/>
      <c r="AC17" s="1619"/>
      <c r="AD17" s="1619"/>
      <c r="AE17" s="1619"/>
      <c r="AF17" s="1619"/>
    </row>
    <row r="18" spans="1:35" s="2120" customFormat="1" ht="15.75" thickBot="1">
      <c r="A18" s="2178" t="s">
        <v>2582</v>
      </c>
      <c r="B18" s="1626" t="s">
        <v>2583</v>
      </c>
      <c r="C18" s="2179">
        <f>SUMIF(修正!C18:C39,E3,修正!E18:E39)</f>
        <v>1</v>
      </c>
      <c r="D18" s="2180"/>
      <c r="E18" s="2181"/>
      <c r="F18" s="2181"/>
      <c r="G18" s="2181"/>
      <c r="H18" s="2181"/>
      <c r="I18" s="2181"/>
      <c r="J18" s="2182"/>
      <c r="K18" s="3046"/>
      <c r="L18" s="3046"/>
      <c r="M18" s="3046"/>
      <c r="N18" s="3046"/>
      <c r="O18" s="3044"/>
      <c r="P18" s="3044"/>
      <c r="Q18" s="3044"/>
      <c r="R18" s="3044"/>
      <c r="S18" s="3044"/>
      <c r="T18" s="3044"/>
      <c r="U18" s="3044"/>
      <c r="V18" s="3044"/>
      <c r="W18" s="3044"/>
      <c r="X18" s="1619"/>
      <c r="Y18" s="1619"/>
      <c r="Z18" s="1619"/>
      <c r="AA18" s="1619"/>
      <c r="AB18" s="1619"/>
      <c r="AC18" s="1619"/>
      <c r="AD18" s="1619"/>
      <c r="AE18" s="1619"/>
      <c r="AF18" s="1619"/>
      <c r="AG18" s="1620"/>
      <c r="AH18" s="1620"/>
      <c r="AI18" s="1620"/>
    </row>
    <row r="19" spans="1:35" s="2120" customFormat="1" ht="29.25" thickBot="1">
      <c r="A19" s="2178" t="s">
        <v>2584</v>
      </c>
      <c r="B19" s="1609" t="s">
        <v>2585</v>
      </c>
      <c r="C19" s="2184">
        <f>ROUND(IF(H19="按公示增长率计算",SUMPRODUCT((地价!A3:A34=YEAR(G19)&amp;"-"&amp;ROUNDUP(MONTH(G19)/3,0))*(地价!X2:AB2=E2)*(地价!X3:AB34)),IF(H19="地价指数",M20/M19,(1+I19)^O19)),4)</f>
        <v>1.6988000000000001</v>
      </c>
      <c r="D19" s="2185" t="s">
        <v>2586</v>
      </c>
      <c r="E19" s="2186">
        <v>41640</v>
      </c>
      <c r="F19" s="2185" t="s">
        <v>2587</v>
      </c>
      <c r="G19" s="2187">
        <f>'数据-取费表'!B2</f>
        <v>44333</v>
      </c>
      <c r="H19" s="2188" t="s">
        <v>2722</v>
      </c>
      <c r="I19" s="2189" t="str">
        <f>IF(H19="季度增幅（自定义）",SUMIF(N21:N24,E2,O21:O24),"")</f>
        <v/>
      </c>
      <c r="J19" s="2190"/>
      <c r="K19" s="3046"/>
      <c r="L19" s="2071" t="s">
        <v>2588</v>
      </c>
      <c r="M19" s="2191">
        <f>ROUND(SUMIF(地价!B2:F2,E2,地价!B34:F34),0)</f>
        <v>423</v>
      </c>
      <c r="N19" s="2192" t="s">
        <v>2589</v>
      </c>
      <c r="O19" s="2193">
        <f>ROUNDDOWN(DATEDIF(E19,G19,"M")/3,0)</f>
        <v>29</v>
      </c>
      <c r="P19" s="3044"/>
      <c r="Q19" s="3046"/>
      <c r="R19" s="3044"/>
      <c r="S19" s="3044"/>
      <c r="T19" s="3044"/>
      <c r="U19" s="3044"/>
      <c r="V19" s="3044"/>
      <c r="W19" s="3044"/>
      <c r="X19" s="1619"/>
      <c r="Y19" s="1619"/>
      <c r="Z19" s="1619"/>
      <c r="AA19" s="1619"/>
      <c r="AB19" s="1619"/>
      <c r="AC19" s="1619"/>
      <c r="AD19" s="1619"/>
      <c r="AE19" s="2183"/>
      <c r="AF19" s="2194"/>
      <c r="AG19" s="2195"/>
      <c r="AH19" s="1620"/>
    </row>
    <row r="20" spans="1:35" s="2120" customFormat="1" ht="27.75" thickBot="1">
      <c r="A20" s="1713" t="s">
        <v>2590</v>
      </c>
      <c r="B20" s="1610" t="s">
        <v>2591</v>
      </c>
      <c r="C20" s="2196">
        <f>ROUND(POWER(1+G20,J20-I20)*(POWER(1+G20,I20)-1)/(POWER(1+G20,J20)-1),4)</f>
        <v>0.95679999999999998</v>
      </c>
      <c r="D20" s="2197" t="s">
        <v>2592</v>
      </c>
      <c r="E20" s="3149">
        <f>存贷款利率!E18/100</f>
        <v>4.3499999999999997E-2</v>
      </c>
      <c r="F20" s="2197" t="s">
        <v>2581</v>
      </c>
      <c r="G20" s="3150">
        <f>SUMIF(M26:P26,E2,M28:P28)</f>
        <v>0.05</v>
      </c>
      <c r="H20" s="2197" t="s">
        <v>2593</v>
      </c>
      <c r="I20" s="2198">
        <f>'数据-取费表'!B13</f>
        <v>53.19</v>
      </c>
      <c r="J20" s="2199">
        <f>IF(E2="住宅",70,IF(E2="商业",40,50))</f>
        <v>70</v>
      </c>
      <c r="K20" s="3046"/>
      <c r="L20" s="2200" t="s">
        <v>2594</v>
      </c>
      <c r="M20" s="2201">
        <f>ROUND(SUMPRODUCT((地价!A4:A34=YEAR(G19)&amp;"-"&amp;ROUNDUP(MONTH(G19)/3,0))*(地价!B2:F2=E2)*(地价!B4:F34)),0)</f>
        <v>718</v>
      </c>
      <c r="N20" s="2202" t="s">
        <v>2595</v>
      </c>
      <c r="O20" s="2203" t="s">
        <v>2596</v>
      </c>
      <c r="P20" s="2204" t="s">
        <v>2597</v>
      </c>
      <c r="Q20" s="3046"/>
      <c r="R20" s="3044"/>
      <c r="S20" s="3044"/>
      <c r="T20" s="3044"/>
      <c r="U20" s="3044"/>
      <c r="V20" s="3044"/>
      <c r="W20" s="3044"/>
      <c r="X20" s="1619"/>
      <c r="Y20" s="1619"/>
      <c r="Z20" s="1619"/>
      <c r="AA20" s="1619"/>
      <c r="AB20" s="1619"/>
      <c r="AC20" s="1619"/>
      <c r="AD20" s="1619"/>
      <c r="AE20" s="2183"/>
      <c r="AF20" s="2183"/>
    </row>
    <row r="21" spans="1:35" s="2120" customFormat="1" ht="14.25">
      <c r="A21" s="2205" t="s">
        <v>2598</v>
      </c>
      <c r="B21" s="1611" t="s">
        <v>2599</v>
      </c>
      <c r="C21" s="2206">
        <f>IF(B21="容积率修正",IF(G3&lt;=10,D22,J22),C23)</f>
        <v>0.93789999999999996</v>
      </c>
      <c r="D21" s="2207"/>
      <c r="E21" s="2207"/>
      <c r="F21" s="2207"/>
      <c r="G21" s="2207"/>
      <c r="H21" s="2207"/>
      <c r="I21" s="2207"/>
      <c r="J21" s="2072"/>
      <c r="K21" s="3046"/>
      <c r="L21" s="3046"/>
      <c r="M21" s="3046"/>
      <c r="N21" s="2208" t="s">
        <v>2600</v>
      </c>
      <c r="O21" s="2209"/>
      <c r="P21" s="2210">
        <f>SUMPRODUCT((地价!A3:A34=YEAR(G19)&amp;"-"&amp;ROUNDUP(MONTH(G19)/3,0))*(地价!AD2:AH2=N21)*(地价!AD3:AH34))</f>
        <v>1.09E-2</v>
      </c>
      <c r="Q21" s="3046"/>
      <c r="R21" s="3044"/>
      <c r="S21" s="3044"/>
      <c r="T21" s="3044"/>
      <c r="U21" s="3044"/>
      <c r="V21" s="3044"/>
      <c r="W21" s="3044"/>
      <c r="X21" s="1619"/>
      <c r="Y21" s="1619"/>
      <c r="Z21" s="1619"/>
      <c r="AA21" s="1619"/>
      <c r="AB21" s="1619"/>
      <c r="AC21" s="1619"/>
      <c r="AD21" s="1619"/>
      <c r="AE21" s="2183"/>
      <c r="AF21" s="2183"/>
    </row>
    <row r="22" spans="1:35" s="2120" customFormat="1" ht="14.25">
      <c r="A22" s="2068">
        <v>1</v>
      </c>
      <c r="B22" s="2067" t="s">
        <v>2601</v>
      </c>
      <c r="C22" s="2067" t="s">
        <v>2602</v>
      </c>
      <c r="D22" s="2067">
        <f>IF(E22=G22,F22,IF(G3&lt;=10,ROUND(F22+(H22-F22)*(G3-E22)/(G22-E22),4),"——"))</f>
        <v>0.93789999999999996</v>
      </c>
      <c r="E22" s="2111">
        <f>ROUNDDOWN(G3,1)</f>
        <v>3.2</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0.93789999999999996</v>
      </c>
      <c r="G22" s="2111">
        <f>ROUNDUP(G3,1)</f>
        <v>3.2</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0.93789999999999996</v>
      </c>
      <c r="I22" s="2067" t="s">
        <v>104</v>
      </c>
      <c r="J22" s="2211" t="str">
        <f>IF(G3&gt;10,D113,"——")</f>
        <v>——</v>
      </c>
      <c r="K22" s="3046"/>
      <c r="L22" s="3046"/>
      <c r="M22" s="3046"/>
      <c r="N22" s="2208" t="s">
        <v>2603</v>
      </c>
      <c r="O22" s="2209"/>
      <c r="P22" s="2210">
        <f>SUMPRODUCT((地价!A3:A34=YEAR(G19)&amp;"-"&amp;ROUNDUP(MONTH(G19)/3,0))*(地价!AD2:AH2=N22)*(地价!AD3:AH34))</f>
        <v>1.09E-2</v>
      </c>
      <c r="Q22" s="3046"/>
      <c r="R22" s="3044"/>
      <c r="S22" s="3044"/>
      <c r="T22" s="3044"/>
      <c r="U22" s="3044"/>
      <c r="V22" s="3044"/>
      <c r="W22" s="3044"/>
      <c r="X22" s="1619"/>
      <c r="Y22" s="1619"/>
      <c r="Z22" s="1619"/>
      <c r="AA22" s="1619"/>
      <c r="AB22" s="1619"/>
      <c r="AC22" s="1619"/>
      <c r="AD22" s="1619"/>
      <c r="AE22" s="2183"/>
      <c r="AF22" s="2183"/>
    </row>
    <row r="23" spans="1:35" ht="27">
      <c r="A23" s="2068">
        <v>2</v>
      </c>
      <c r="B23" s="2067" t="s">
        <v>2604</v>
      </c>
      <c r="C23" s="2212">
        <f>ROUND(IF(G3&gt;1,IF(I3&lt;7,SUMPRODUCT((B93:B98=I3)*(C92:N92=G2)*(C93:N98)),SUMIF(C92:N92,G2,C100:N100)),IF(I3&lt;7,SUMPRODUCT((B102:B107=I3)*(C92:N92=G2)*(C102:N107)),SUMIF(C92:N92,G2,C109:N109))),4)</f>
        <v>0.62749999999999995</v>
      </c>
      <c r="D23" s="2164"/>
      <c r="E23" s="2164"/>
      <c r="F23" s="2213"/>
      <c r="G23" s="2214"/>
      <c r="H23" s="1616"/>
      <c r="I23" s="2067"/>
      <c r="J23" s="2211"/>
      <c r="K23" s="3044"/>
      <c r="L23" s="3044"/>
      <c r="M23" s="3044"/>
      <c r="N23" s="2208" t="s">
        <v>2605</v>
      </c>
      <c r="O23" s="2209"/>
      <c r="P23" s="2210">
        <f>SUMPRODUCT((地价!A3:A34=YEAR(G19)&amp;"-"&amp;ROUNDUP(MONTH(G19)/3,0))*(地价!AD2:AH2=N23)*(地价!AD3:AH34))</f>
        <v>1.9E-2</v>
      </c>
      <c r="Q23" s="3044"/>
      <c r="R23" s="3044"/>
      <c r="S23" s="3044"/>
      <c r="T23" s="3044"/>
      <c r="U23" s="3044"/>
      <c r="V23" s="3044"/>
      <c r="W23" s="3044"/>
      <c r="X23" s="1619"/>
      <c r="Y23" s="1619"/>
      <c r="Z23" s="1619"/>
      <c r="AA23" s="1619"/>
      <c r="AB23" s="1619"/>
      <c r="AC23" s="1619"/>
      <c r="AD23" s="1619"/>
      <c r="AE23" s="1619"/>
      <c r="AF23" s="1619"/>
    </row>
    <row r="24" spans="1:35" s="2120" customFormat="1" ht="15.75" thickBot="1">
      <c r="A24" s="2215" t="s">
        <v>2606</v>
      </c>
      <c r="B24" s="1613" t="s">
        <v>2607</v>
      </c>
      <c r="C24" s="2216">
        <f>SUMIF(A46:A88,E2,B46:B88)</f>
        <v>1.0656000000000001</v>
      </c>
      <c r="D24" s="2217"/>
      <c r="E24" s="2218"/>
      <c r="F24" s="2218"/>
      <c r="G24" s="2218"/>
      <c r="H24" s="2218"/>
      <c r="I24" s="2218"/>
      <c r="J24" s="2219"/>
      <c r="K24" s="3046"/>
      <c r="L24" s="3046"/>
      <c r="M24" s="3046"/>
      <c r="N24" s="2220" t="s">
        <v>2608</v>
      </c>
      <c r="O24" s="2221"/>
      <c r="P24" s="2222">
        <f>SUMPRODUCT((地价!A3:A34=YEAR(G19)&amp;"-"&amp;ROUNDUP(MONTH(G19)/3,0))*(地价!AD2:AH2=N24)*(地价!AD3:AH34))</f>
        <v>1.2500000000000001E-2</v>
      </c>
      <c r="Q24" s="3046"/>
      <c r="R24" s="3044"/>
      <c r="S24" s="3044"/>
      <c r="T24" s="3044"/>
      <c r="U24" s="3044"/>
      <c r="V24" s="3044"/>
      <c r="W24" s="3044"/>
      <c r="X24" s="1619"/>
      <c r="Y24" s="1619"/>
      <c r="Z24" s="1619"/>
      <c r="AA24" s="1619"/>
      <c r="AB24" s="1619"/>
      <c r="AC24" s="1619"/>
      <c r="AD24" s="1619"/>
      <c r="AE24" s="2183"/>
      <c r="AF24" s="2183"/>
    </row>
    <row r="25" spans="1:35" ht="15" thickBot="1">
      <c r="A25" s="1713" t="s">
        <v>2609</v>
      </c>
      <c r="B25" s="1614" t="s">
        <v>2610</v>
      </c>
      <c r="C25" s="2223"/>
      <c r="D25" s="2129"/>
      <c r="E25" s="2129"/>
      <c r="F25" s="2224"/>
      <c r="G25" s="2129"/>
      <c r="H25" s="2129"/>
      <c r="I25" s="2129"/>
      <c r="J25" s="2130"/>
      <c r="K25" s="3044"/>
      <c r="L25" s="3044"/>
      <c r="M25" s="3044"/>
      <c r="N25" s="3047" t="s">
        <v>2611</v>
      </c>
      <c r="O25" s="3048"/>
      <c r="P25" s="3049">
        <f>SUMPRODUCT((地价!A3:A34=YEAR(G19)&amp;"-"&amp;ROUNDUP(MONTH(G19)/3,0))*(地价!AD2:AH2=N25)*(地价!AD3:AH34))</f>
        <v>1.7299999999999999E-2</v>
      </c>
      <c r="Q25" s="3044"/>
      <c r="R25" s="3044"/>
      <c r="S25" s="3044"/>
      <c r="T25" s="3044"/>
      <c r="U25" s="3044"/>
      <c r="V25" s="3044"/>
      <c r="W25" s="3044"/>
      <c r="X25" s="1619"/>
      <c r="Y25" s="1619"/>
      <c r="Z25" s="1619"/>
      <c r="AA25" s="1619"/>
      <c r="AB25" s="1619"/>
      <c r="AC25" s="1619"/>
      <c r="AD25" s="1619"/>
      <c r="AE25" s="1619"/>
      <c r="AF25" s="1619"/>
    </row>
    <row r="26" spans="1:35" ht="15">
      <c r="A26" s="1698"/>
      <c r="B26" s="2067" t="s">
        <v>2612</v>
      </c>
      <c r="C26" s="2884">
        <f>IF(B21="容积率修正",E29+SUM(E33:E39),SUM(V2:V16)+SUM(E33:E39))</f>
        <v>15538790</v>
      </c>
      <c r="D26" s="2225"/>
      <c r="E26" s="2164"/>
      <c r="F26" s="1474"/>
      <c r="G26" s="2164"/>
      <c r="H26" s="2164"/>
      <c r="I26" s="2164"/>
      <c r="J26" s="2226"/>
      <c r="K26" s="3044"/>
      <c r="L26" s="3050" t="s">
        <v>2571</v>
      </c>
      <c r="M26" s="2127" t="s">
        <v>2572</v>
      </c>
      <c r="N26" s="2127" t="s">
        <v>2573</v>
      </c>
      <c r="O26" s="2127" t="s">
        <v>2574</v>
      </c>
      <c r="P26" s="3051" t="s">
        <v>2575</v>
      </c>
      <c r="Q26" s="3044"/>
      <c r="R26" s="3044"/>
      <c r="S26" s="3044"/>
      <c r="T26" s="3044"/>
      <c r="U26" s="3044"/>
      <c r="V26" s="3044"/>
      <c r="W26" s="3044"/>
      <c r="X26" s="1619"/>
      <c r="Y26" s="1619"/>
      <c r="Z26" s="1619"/>
      <c r="AA26" s="1619"/>
      <c r="AB26" s="1619"/>
      <c r="AC26" s="1619"/>
      <c r="AD26" s="1619"/>
      <c r="AE26" s="1619"/>
      <c r="AF26" s="1619"/>
    </row>
    <row r="27" spans="1:35" ht="15.75" thickBot="1">
      <c r="A27" s="1698"/>
      <c r="B27" s="1615" t="s">
        <v>2613</v>
      </c>
      <c r="C27" s="2227">
        <f>E30+SUM(I33:I39)</f>
        <v>0</v>
      </c>
      <c r="D27" s="2176"/>
      <c r="E27" s="2228"/>
      <c r="F27" s="2229"/>
      <c r="G27" s="2228"/>
      <c r="H27" s="2228"/>
      <c r="I27" s="2228"/>
      <c r="J27" s="2230"/>
      <c r="K27" s="3044"/>
      <c r="L27" s="2231" t="s">
        <v>2578</v>
      </c>
      <c r="M27" s="2140">
        <v>0.25</v>
      </c>
      <c r="N27" s="2140">
        <v>0.2</v>
      </c>
      <c r="O27" s="2140">
        <v>0.15</v>
      </c>
      <c r="P27" s="2232">
        <v>0.1</v>
      </c>
      <c r="Q27" s="3044"/>
      <c r="R27" s="3044"/>
      <c r="S27" s="3044"/>
      <c r="T27" s="3044"/>
      <c r="U27" s="3044"/>
      <c r="V27" s="3044"/>
      <c r="W27" s="3044"/>
      <c r="X27" s="1619"/>
      <c r="Y27" s="1619"/>
      <c r="Z27" s="1619"/>
      <c r="AA27" s="1619"/>
      <c r="AB27" s="1619"/>
      <c r="AC27" s="1619"/>
      <c r="AD27" s="1619"/>
      <c r="AE27" s="1619"/>
      <c r="AF27" s="1619"/>
    </row>
    <row r="28" spans="1:35" ht="15.75" thickBot="1">
      <c r="A28" s="1713"/>
      <c r="B28" s="2233" t="s">
        <v>2614</v>
      </c>
      <c r="C28" s="2234" t="s">
        <v>2615</v>
      </c>
      <c r="D28" s="2234" t="s">
        <v>2616</v>
      </c>
      <c r="E28" s="1614" t="s">
        <v>2617</v>
      </c>
      <c r="F28" s="2235"/>
      <c r="G28" s="2151"/>
      <c r="H28" s="2151"/>
      <c r="I28" s="2151"/>
      <c r="J28" s="2152"/>
      <c r="K28" s="3044"/>
      <c r="L28" s="2236" t="s">
        <v>2581</v>
      </c>
      <c r="M28" s="2237">
        <f>ROUND($E$20*(1+M27),3)</f>
        <v>5.3999999999999999E-2</v>
      </c>
      <c r="N28" s="2237">
        <f>ROUND($E$20*(1+N27),3)</f>
        <v>5.1999999999999998E-2</v>
      </c>
      <c r="O28" s="2237">
        <f>ROUND($E$20*(1+O27),3)</f>
        <v>0.05</v>
      </c>
      <c r="P28" s="2155">
        <f>ROUND($E$20*(1+P27),3)</f>
        <v>4.8000000000000001E-2</v>
      </c>
      <c r="Q28" s="3044"/>
      <c r="R28" s="3044"/>
      <c r="S28" s="3044"/>
      <c r="T28" s="3044"/>
      <c r="U28" s="3044"/>
      <c r="V28" s="3044"/>
      <c r="W28" s="3044"/>
      <c r="X28" s="1619"/>
      <c r="Y28" s="1619"/>
      <c r="Z28" s="1619"/>
      <c r="AA28" s="1619"/>
      <c r="AB28" s="1619"/>
      <c r="AC28" s="1619"/>
      <c r="AD28" s="1619"/>
      <c r="AE28" s="1619"/>
      <c r="AF28" s="1619"/>
    </row>
    <row r="29" spans="1:35">
      <c r="A29" s="2238"/>
      <c r="B29" s="1616" t="s">
        <v>2618</v>
      </c>
      <c r="C29" s="54">
        <f>ROUND(C5*C18*C19*C20*C21*C24,0)</f>
        <v>42436</v>
      </c>
      <c r="D29" s="2239">
        <v>366.17</v>
      </c>
      <c r="E29" s="2026">
        <f>ROUND(C29*D29,0)</f>
        <v>15538790</v>
      </c>
      <c r="F29" s="2240" t="s">
        <v>2619</v>
      </c>
      <c r="G29" s="2241"/>
      <c r="H29" s="2241"/>
      <c r="I29" s="2241"/>
      <c r="J29" s="2242"/>
      <c r="K29" s="3044"/>
      <c r="L29" s="3044"/>
      <c r="M29" s="3044"/>
      <c r="N29" s="3044"/>
      <c r="O29" s="3044"/>
      <c r="P29" s="3044"/>
      <c r="Q29" s="3044"/>
      <c r="R29" s="3044"/>
      <c r="S29" s="3044"/>
      <c r="T29" s="3044"/>
      <c r="U29" s="3044"/>
      <c r="V29" s="3044"/>
      <c r="W29" s="3044"/>
      <c r="X29" s="1619"/>
      <c r="Y29" s="1619"/>
      <c r="Z29" s="1619"/>
      <c r="AA29" s="1619"/>
      <c r="AB29" s="1619"/>
      <c r="AC29" s="1619"/>
      <c r="AD29" s="1619"/>
      <c r="AE29" s="1619"/>
      <c r="AF29" s="1619"/>
    </row>
    <row r="30" spans="1:35" ht="25.5" thickBot="1">
      <c r="A30" s="2243"/>
      <c r="B30" s="1617" t="s">
        <v>2620</v>
      </c>
      <c r="C30" s="2167">
        <f>ROUND(IF(E2="工业",C29*M39,C29*M38),0)</f>
        <v>10609</v>
      </c>
      <c r="D30" s="2244"/>
      <c r="E30" s="2026">
        <f>ROUND(C30*D30,0)</f>
        <v>0</v>
      </c>
      <c r="F30" s="2245" t="s">
        <v>2621</v>
      </c>
      <c r="G30" s="2246"/>
      <c r="H30" s="2246"/>
      <c r="I30" s="2246"/>
      <c r="J30" s="2247"/>
      <c r="K30" s="3044"/>
      <c r="L30" s="3044"/>
      <c r="M30" s="3044"/>
      <c r="N30" s="3044"/>
      <c r="O30" s="3044"/>
      <c r="P30" s="3044"/>
      <c r="Q30" s="3044"/>
      <c r="R30" s="3044"/>
      <c r="S30" s="3044"/>
      <c r="T30" s="3044"/>
      <c r="U30" s="3044"/>
      <c r="V30" s="3044"/>
      <c r="W30" s="3044"/>
      <c r="X30" s="1619"/>
      <c r="Y30" s="1619"/>
      <c r="Z30" s="1619"/>
      <c r="AA30" s="1619"/>
      <c r="AB30" s="1619"/>
      <c r="AC30" s="1619"/>
      <c r="AD30" s="1619"/>
      <c r="AE30" s="1619"/>
      <c r="AF30" s="1619"/>
    </row>
    <row r="31" spans="1:35">
      <c r="A31" s="2248"/>
      <c r="B31" s="1618" t="s">
        <v>2622</v>
      </c>
      <c r="C31" s="2249" t="s">
        <v>2623</v>
      </c>
      <c r="D31" s="2151"/>
      <c r="E31" s="2249"/>
      <c r="F31" s="2249"/>
      <c r="G31" s="2150" t="s">
        <v>2624</v>
      </c>
      <c r="H31" s="2151"/>
      <c r="I31" s="2250"/>
      <c r="J31" s="2152"/>
      <c r="K31" s="3044"/>
      <c r="L31" s="3044"/>
      <c r="M31" s="3044"/>
      <c r="N31" s="3044"/>
      <c r="O31" s="3044"/>
      <c r="P31" s="3044"/>
      <c r="Q31" s="3044"/>
      <c r="R31" s="3044"/>
      <c r="S31" s="3044"/>
      <c r="T31" s="3044"/>
      <c r="U31" s="3044"/>
      <c r="V31" s="3044"/>
      <c r="W31" s="3044"/>
      <c r="X31" s="1619"/>
      <c r="Y31" s="1619"/>
      <c r="Z31" s="1619"/>
      <c r="AA31" s="1619"/>
      <c r="AB31" s="1619"/>
      <c r="AC31" s="1619"/>
      <c r="AD31" s="1619"/>
      <c r="AE31" s="1619"/>
      <c r="AF31" s="1619"/>
    </row>
    <row r="32" spans="1:35" ht="24">
      <c r="A32" s="2238"/>
      <c r="B32" s="2251"/>
      <c r="C32" s="1806" t="s">
        <v>2615</v>
      </c>
      <c r="D32" s="1803" t="s">
        <v>2616</v>
      </c>
      <c r="E32" s="1803" t="s">
        <v>2617</v>
      </c>
      <c r="F32" s="50" t="s">
        <v>2625</v>
      </c>
      <c r="G32" s="2212" t="s">
        <v>2615</v>
      </c>
      <c r="H32" s="2212" t="s">
        <v>2616</v>
      </c>
      <c r="I32" s="2212" t="s">
        <v>2617</v>
      </c>
      <c r="J32" s="2064"/>
      <c r="K32" s="3044"/>
      <c r="L32" s="3044"/>
      <c r="M32" s="3044"/>
      <c r="N32" s="3044"/>
      <c r="O32" s="3044"/>
      <c r="P32" s="3044"/>
      <c r="Q32" s="3044"/>
      <c r="R32" s="3044"/>
      <c r="S32" s="3044"/>
      <c r="T32" s="3044"/>
      <c r="U32" s="3044"/>
      <c r="V32" s="3044"/>
      <c r="W32" s="3044"/>
      <c r="X32" s="1619"/>
      <c r="Y32" s="1619"/>
      <c r="Z32" s="1619"/>
      <c r="AA32" s="1619"/>
      <c r="AB32" s="1619"/>
      <c r="AC32" s="1619"/>
      <c r="AD32" s="1619"/>
      <c r="AE32" s="1619"/>
      <c r="AF32" s="1619"/>
    </row>
    <row r="33" spans="1:33">
      <c r="A33" s="3490" t="s">
        <v>2626</v>
      </c>
      <c r="B33" s="2252" t="s">
        <v>2627</v>
      </c>
      <c r="C33" s="54">
        <f>ROUND(D5*C19*C20*C24*F33,0)</f>
        <v>23994</v>
      </c>
      <c r="D33" s="2239"/>
      <c r="E33" s="50">
        <f t="shared" ref="E33:E39" si="6">ROUND(C33*D33,0)</f>
        <v>0</v>
      </c>
      <c r="F33" s="50">
        <f>SUMIF(修正!A45:A56,G2,修正!B45:B56)</f>
        <v>0.7</v>
      </c>
      <c r="G33" s="50">
        <f t="shared" ref="G33" si="7">ROUND(IF(E2="工业",C33*$M$39,C33*$M$38),0)</f>
        <v>5999</v>
      </c>
      <c r="H33" s="50">
        <f>D33</f>
        <v>0</v>
      </c>
      <c r="I33" s="50">
        <f t="shared" ref="I33:I39" si="8">ROUND(G33*H33,0)</f>
        <v>0</v>
      </c>
      <c r="J33" s="2226"/>
      <c r="K33" s="3044"/>
      <c r="L33" s="3044"/>
      <c r="M33" s="3044"/>
      <c r="N33" s="3044"/>
      <c r="O33" s="3044"/>
      <c r="P33" s="3044"/>
      <c r="Q33" s="3044"/>
      <c r="R33" s="3044"/>
      <c r="S33" s="3044"/>
      <c r="T33" s="3044"/>
      <c r="U33" s="3044"/>
      <c r="V33" s="3044"/>
      <c r="W33" s="3044"/>
      <c r="X33" s="1619"/>
      <c r="Y33" s="1619"/>
      <c r="Z33" s="1619"/>
      <c r="AA33" s="1619"/>
      <c r="AB33" s="1619"/>
      <c r="AC33" s="1619"/>
      <c r="AD33" s="1619"/>
      <c r="AE33" s="1619"/>
      <c r="AF33" s="1619"/>
    </row>
    <row r="34" spans="1:33">
      <c r="A34" s="3491"/>
      <c r="B34" s="2157" t="s">
        <v>2628</v>
      </c>
      <c r="C34" s="54">
        <f>ROUND(D5*C19*C20*C24*F34,0)</f>
        <v>13711</v>
      </c>
      <c r="D34" s="2239"/>
      <c r="E34" s="50">
        <f t="shared" si="6"/>
        <v>0</v>
      </c>
      <c r="F34" s="50">
        <f>SUMIF(修正!A45:A56,G2,修正!C45:C56)</f>
        <v>0.4</v>
      </c>
      <c r="G34" s="50">
        <f>ROUND(IF(E2="工业",C34*$M$39,C34*$M$38),0)</f>
        <v>3428</v>
      </c>
      <c r="H34" s="50">
        <f t="shared" ref="H34:H39" si="9">D34</f>
        <v>0</v>
      </c>
      <c r="I34" s="50">
        <f t="shared" si="8"/>
        <v>0</v>
      </c>
      <c r="J34" s="2226"/>
      <c r="K34" s="3044"/>
      <c r="L34" s="3044"/>
      <c r="M34" s="3044"/>
      <c r="N34" s="3044"/>
      <c r="O34" s="3044"/>
      <c r="P34" s="3044"/>
      <c r="Q34" s="3044"/>
      <c r="R34" s="3044"/>
      <c r="S34" s="3044"/>
      <c r="T34" s="3044"/>
      <c r="U34" s="3044"/>
      <c r="V34" s="3044"/>
      <c r="W34" s="3044"/>
      <c r="X34" s="1619"/>
      <c r="Y34" s="1619"/>
      <c r="Z34" s="1619"/>
      <c r="AA34" s="1619"/>
      <c r="AB34" s="1619"/>
      <c r="AC34" s="1619"/>
      <c r="AD34" s="1619"/>
      <c r="AE34" s="1619"/>
      <c r="AF34" s="1619"/>
    </row>
    <row r="35" spans="1:33">
      <c r="A35" s="3491"/>
      <c r="B35" s="2157" t="s">
        <v>2629</v>
      </c>
      <c r="C35" s="54">
        <f>ROUND(D5*C19*C20*C24*F35,0)</f>
        <v>9598</v>
      </c>
      <c r="D35" s="2239"/>
      <c r="E35" s="50">
        <f t="shared" si="6"/>
        <v>0</v>
      </c>
      <c r="F35" s="50">
        <f>SUMIF(修正!A45:A56,G2,修正!D45:D56)</f>
        <v>0.28000000000000003</v>
      </c>
      <c r="G35" s="50">
        <f>ROUND(IF(E2="工业",C35*$M$39,C35*$M$38),0)</f>
        <v>2400</v>
      </c>
      <c r="H35" s="50">
        <f t="shared" si="9"/>
        <v>0</v>
      </c>
      <c r="I35" s="50">
        <f t="shared" si="8"/>
        <v>0</v>
      </c>
      <c r="J35" s="2226"/>
      <c r="K35" s="3044"/>
      <c r="L35" s="3044"/>
      <c r="M35" s="3044"/>
      <c r="N35" s="3044"/>
      <c r="O35" s="3044"/>
      <c r="P35" s="3044"/>
      <c r="Q35" s="3044"/>
      <c r="R35" s="3044"/>
      <c r="S35" s="3044"/>
      <c r="T35" s="3044"/>
      <c r="U35" s="3044"/>
      <c r="V35" s="3044"/>
      <c r="W35" s="3044"/>
      <c r="X35" s="1619"/>
      <c r="Y35" s="1619"/>
      <c r="Z35" s="1619"/>
      <c r="AA35" s="1619"/>
      <c r="AB35" s="1619"/>
      <c r="AC35" s="1619"/>
      <c r="AD35" s="1619"/>
      <c r="AE35" s="1619"/>
      <c r="AF35" s="1619"/>
    </row>
    <row r="36" spans="1:33" ht="13.5" thickBot="1">
      <c r="A36" s="3492"/>
      <c r="B36" s="2157" t="s">
        <v>2630</v>
      </c>
      <c r="C36" s="54">
        <f>ROUND(D5*C19*C20*C24*F36,0)</f>
        <v>8569</v>
      </c>
      <c r="D36" s="2239"/>
      <c r="E36" s="50">
        <f t="shared" si="6"/>
        <v>0</v>
      </c>
      <c r="F36" s="50">
        <f>SUMIF(修正!A45:A56,G2,修正!E45:E56)</f>
        <v>0.25</v>
      </c>
      <c r="G36" s="50">
        <f>ROUND(IF(E2="工业",C36*$M$39,C36*$M$38),0)</f>
        <v>2142</v>
      </c>
      <c r="H36" s="50">
        <f t="shared" si="9"/>
        <v>0</v>
      </c>
      <c r="I36" s="50">
        <f t="shared" si="8"/>
        <v>0</v>
      </c>
      <c r="J36" s="2226"/>
      <c r="K36" s="3044"/>
      <c r="L36" s="3044"/>
      <c r="M36" s="3044"/>
      <c r="N36" s="3044"/>
      <c r="O36" s="3044"/>
      <c r="P36" s="3044"/>
      <c r="Q36" s="3044"/>
      <c r="R36" s="3044"/>
      <c r="S36" s="3044"/>
      <c r="T36" s="3044"/>
      <c r="U36" s="3044"/>
      <c r="V36" s="3044"/>
      <c r="W36" s="3044"/>
      <c r="X36" s="1619"/>
      <c r="Y36" s="1619"/>
      <c r="Z36" s="1619"/>
      <c r="AA36" s="1619"/>
      <c r="AB36" s="1619"/>
      <c r="AC36" s="1619"/>
      <c r="AD36" s="1619"/>
      <c r="AE36" s="1619"/>
      <c r="AF36" s="1619"/>
    </row>
    <row r="37" spans="1:33">
      <c r="A37" s="2253"/>
      <c r="B37" s="2157" t="s">
        <v>2631</v>
      </c>
      <c r="C37" s="50">
        <f>ROUND(D5*C19*C20*C24*F37,0)</f>
        <v>8569</v>
      </c>
      <c r="D37" s="2239"/>
      <c r="E37" s="50">
        <f t="shared" si="6"/>
        <v>0</v>
      </c>
      <c r="F37" s="54">
        <f>SUMIF(修正!A45:A56,G2,修正!F45:F56)</f>
        <v>0.25</v>
      </c>
      <c r="G37" s="50">
        <f>ROUND(IF(E2="工业",C37*$M$39,C37*$M$38),0)</f>
        <v>2142</v>
      </c>
      <c r="H37" s="50">
        <f t="shared" si="9"/>
        <v>0</v>
      </c>
      <c r="I37" s="50">
        <f t="shared" si="8"/>
        <v>0</v>
      </c>
      <c r="J37" s="2226"/>
      <c r="K37" s="3044"/>
      <c r="L37" s="2254" t="s">
        <v>2632</v>
      </c>
      <c r="M37" s="2130"/>
      <c r="N37" s="3044"/>
      <c r="O37" s="3044"/>
      <c r="P37" s="3044"/>
      <c r="Q37" s="3044"/>
      <c r="R37" s="3044"/>
      <c r="S37" s="3044"/>
      <c r="T37" s="3044"/>
      <c r="U37" s="3044"/>
      <c r="V37" s="3044"/>
      <c r="W37" s="3044"/>
      <c r="X37" s="1619"/>
      <c r="Y37" s="1619"/>
      <c r="Z37" s="1619"/>
      <c r="AA37" s="1619"/>
      <c r="AB37" s="1619"/>
      <c r="AC37" s="1619"/>
      <c r="AD37" s="1619"/>
      <c r="AE37" s="1619"/>
      <c r="AF37" s="1619"/>
    </row>
    <row r="38" spans="1:33">
      <c r="A38" s="2253"/>
      <c r="B38" s="2157" t="s">
        <v>2633</v>
      </c>
      <c r="C38" s="50">
        <f>ROUND(D5*C19*C41*C24*F38,0)</f>
        <v>0</v>
      </c>
      <c r="D38" s="2239"/>
      <c r="E38" s="50">
        <f t="shared" si="6"/>
        <v>0</v>
      </c>
      <c r="F38" s="54">
        <f>SUMIF(修正!A45:A56,G2,修正!G45:G56)</f>
        <v>0.25</v>
      </c>
      <c r="G38" s="50">
        <f>ROUND(IF(E2="工业",C38*$M$39,C38*$M$38),0)</f>
        <v>0</v>
      </c>
      <c r="H38" s="50">
        <f t="shared" si="9"/>
        <v>0</v>
      </c>
      <c r="I38" s="50">
        <f t="shared" si="8"/>
        <v>0</v>
      </c>
      <c r="J38" s="2226"/>
      <c r="K38" s="3044"/>
      <c r="L38" s="2255" t="s">
        <v>2634</v>
      </c>
      <c r="M38" s="2256">
        <v>0.25</v>
      </c>
      <c r="N38" s="3044"/>
      <c r="O38" s="3044"/>
      <c r="P38" s="3044"/>
      <c r="Q38" s="3044"/>
      <c r="R38" s="3044"/>
      <c r="S38" s="3044"/>
      <c r="T38" s="3044"/>
      <c r="U38" s="3044"/>
      <c r="V38" s="3044"/>
      <c r="W38" s="3044"/>
      <c r="X38" s="1619"/>
      <c r="Y38" s="1619"/>
      <c r="Z38" s="1619"/>
      <c r="AA38" s="1619"/>
      <c r="AB38" s="1619"/>
      <c r="AC38" s="1619"/>
      <c r="AD38" s="1619"/>
      <c r="AE38" s="1619"/>
      <c r="AF38" s="1619"/>
    </row>
    <row r="39" spans="1:33" ht="13.5" thickBot="1">
      <c r="A39" s="2243"/>
      <c r="B39" s="2257" t="s">
        <v>2635</v>
      </c>
      <c r="C39" s="2167">
        <f>ROUND(D5*C19*C41*C24*F39,0)</f>
        <v>0</v>
      </c>
      <c r="D39" s="2244"/>
      <c r="E39" s="2167">
        <f t="shared" si="6"/>
        <v>0</v>
      </c>
      <c r="F39" s="56">
        <f>SUMIF(修正!A45:A56,G2,修正!H45:H56)</f>
        <v>0.2</v>
      </c>
      <c r="G39" s="2167">
        <f>ROUND(IF(E2="工业",C39*$M$39,C39*$M$38),0)</f>
        <v>0</v>
      </c>
      <c r="H39" s="2167">
        <f t="shared" si="9"/>
        <v>0</v>
      </c>
      <c r="I39" s="2167">
        <f t="shared" si="8"/>
        <v>0</v>
      </c>
      <c r="J39" s="2230"/>
      <c r="K39" s="3044"/>
      <c r="L39" s="2258" t="s">
        <v>2575</v>
      </c>
      <c r="M39" s="2259">
        <v>0.15</v>
      </c>
      <c r="N39" s="3044"/>
      <c r="O39" s="3044"/>
      <c r="P39" s="3044"/>
      <c r="Q39" s="3044"/>
      <c r="R39" s="3044"/>
      <c r="S39" s="3044"/>
      <c r="T39" s="3044"/>
      <c r="U39" s="3044"/>
      <c r="V39" s="3044"/>
      <c r="W39" s="3044"/>
      <c r="X39" s="1619"/>
      <c r="Y39" s="1619"/>
      <c r="Z39" s="1619"/>
      <c r="AA39" s="1619"/>
      <c r="AB39" s="1619"/>
      <c r="AC39" s="1619"/>
      <c r="AD39" s="1619"/>
      <c r="AE39" s="1619"/>
      <c r="AF39" s="1619"/>
    </row>
    <row r="40" spans="1:33" s="2260" customFormat="1">
      <c r="A40" s="1619"/>
      <c r="B40" s="1619"/>
      <c r="C40" s="1619"/>
      <c r="D40" s="1619"/>
      <c r="E40" s="1619"/>
      <c r="F40" s="1619"/>
      <c r="G40" s="1619"/>
      <c r="H40" s="1619"/>
      <c r="I40" s="1619"/>
      <c r="J40" s="1619"/>
      <c r="K40" s="3044"/>
      <c r="L40" s="3044"/>
      <c r="M40" s="3044"/>
      <c r="N40" s="3044"/>
      <c r="O40" s="3044"/>
      <c r="P40" s="3044"/>
      <c r="Q40" s="3044"/>
      <c r="R40" s="3044"/>
      <c r="S40" s="3044"/>
      <c r="T40" s="3044"/>
      <c r="U40" s="3044"/>
      <c r="V40" s="3044"/>
      <c r="W40" s="3044"/>
      <c r="X40" s="1619"/>
      <c r="Y40" s="1619"/>
      <c r="Z40" s="1619"/>
      <c r="AA40" s="1619"/>
      <c r="AB40" s="1619"/>
      <c r="AC40" s="1619"/>
      <c r="AD40" s="1619"/>
      <c r="AE40" s="1619"/>
      <c r="AF40" s="1619"/>
    </row>
    <row r="41" spans="1:33" s="2260" customFormat="1">
      <c r="A41" s="1619"/>
      <c r="B41" s="2261" t="s">
        <v>2715</v>
      </c>
      <c r="C41" s="50">
        <f>ROUND(POWER(1+E41,H41-G41)*(POWER(1+E41,G41)-1)/(POWER(1+E41,H41)-1),4)</f>
        <v>0</v>
      </c>
      <c r="D41" s="50" t="s">
        <v>2713</v>
      </c>
      <c r="E41" s="2262">
        <f>G20</f>
        <v>0.05</v>
      </c>
      <c r="F41" s="50" t="s">
        <v>2714</v>
      </c>
      <c r="G41" s="2263"/>
      <c r="H41" s="50">
        <v>50</v>
      </c>
      <c r="I41" s="1619"/>
      <c r="J41" s="1619"/>
      <c r="K41" s="3044"/>
      <c r="L41" s="3044"/>
      <c r="M41" s="3044"/>
      <c r="N41" s="3044"/>
      <c r="O41" s="3044"/>
      <c r="P41" s="3044"/>
      <c r="Q41" s="3044"/>
      <c r="R41" s="3044"/>
      <c r="S41" s="3044"/>
      <c r="T41" s="3044"/>
      <c r="U41" s="3044"/>
      <c r="V41" s="3044"/>
      <c r="W41" s="3044"/>
      <c r="X41" s="1619"/>
      <c r="Y41" s="1619"/>
      <c r="Z41" s="1619"/>
      <c r="AA41" s="1619"/>
      <c r="AB41" s="1619"/>
      <c r="AC41" s="1619"/>
      <c r="AD41" s="1619"/>
      <c r="AE41" s="1619"/>
      <c r="AF41" s="1619"/>
    </row>
    <row r="42" spans="1:33" s="2260"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19"/>
      <c r="Y42" s="1619"/>
      <c r="Z42" s="1619"/>
      <c r="AA42" s="1619"/>
      <c r="AB42" s="1619"/>
      <c r="AC42" s="1619"/>
      <c r="AD42" s="1619"/>
      <c r="AE42" s="1619"/>
      <c r="AF42" s="1619"/>
    </row>
    <row r="43" spans="1:33" s="2260"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19"/>
      <c r="Y43" s="1619"/>
      <c r="Z43" s="1619"/>
      <c r="AA43" s="1619"/>
      <c r="AB43" s="1619"/>
      <c r="AC43" s="1619"/>
      <c r="AD43" s="1619"/>
      <c r="AE43" s="1619"/>
      <c r="AF43" s="1619"/>
    </row>
    <row r="44" spans="1:33" s="2260"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19"/>
      <c r="Y44" s="1619"/>
      <c r="Z44" s="1619"/>
      <c r="AA44" s="1619"/>
      <c r="AB44" s="1619"/>
      <c r="AC44" s="1619"/>
      <c r="AD44" s="1619"/>
      <c r="AE44" s="1619"/>
      <c r="AF44" s="1619"/>
    </row>
    <row r="45" spans="1:33" s="2260" customFormat="1" ht="15.75" thickBot="1">
      <c r="A45" s="2264" t="s">
        <v>2636</v>
      </c>
      <c r="B45" s="2265"/>
      <c r="C45" s="608"/>
      <c r="D45" s="608"/>
      <c r="E45" s="608"/>
      <c r="F45" s="608"/>
      <c r="G45" s="608"/>
      <c r="H45" s="608"/>
      <c r="I45" s="608"/>
      <c r="J45" s="608"/>
      <c r="K45" s="608"/>
      <c r="L45" s="608"/>
      <c r="M45" s="608"/>
      <c r="N45" s="2095"/>
      <c r="O45" s="1619"/>
      <c r="P45" s="1619"/>
      <c r="Q45" s="3044"/>
      <c r="R45" s="3044"/>
      <c r="S45" s="3044"/>
      <c r="T45" s="3044"/>
      <c r="U45" s="3044"/>
      <c r="V45" s="3044"/>
      <c r="W45" s="3044"/>
      <c r="X45" s="1619"/>
      <c r="Y45" s="1619"/>
      <c r="Z45" s="1619"/>
      <c r="AA45" s="1619"/>
      <c r="AB45" s="1619"/>
      <c r="AC45" s="1619"/>
      <c r="AD45" s="1619"/>
      <c r="AE45" s="1619"/>
      <c r="AF45" s="1619"/>
    </row>
    <row r="46" spans="1:33" s="2260" customFormat="1" ht="15">
      <c r="A46" s="2266" t="s">
        <v>2637</v>
      </c>
      <c r="B46" s="2267">
        <f>1+E48</f>
        <v>1</v>
      </c>
      <c r="C46" s="2268"/>
      <c r="D46" s="2269"/>
      <c r="E46" s="2270"/>
      <c r="F46" s="2271"/>
      <c r="G46" s="608"/>
      <c r="H46" s="608"/>
      <c r="I46" s="608"/>
      <c r="J46" s="608"/>
      <c r="K46" s="608"/>
      <c r="L46" s="608"/>
      <c r="M46" s="2095"/>
      <c r="N46" s="2272"/>
      <c r="O46" s="1619"/>
      <c r="P46" s="1619"/>
      <c r="Q46" s="3044"/>
      <c r="R46" s="3044"/>
      <c r="S46" s="3044"/>
      <c r="T46" s="3044"/>
      <c r="U46" s="3044"/>
      <c r="V46" s="3044"/>
      <c r="W46" s="3044"/>
      <c r="X46" s="1619"/>
      <c r="Y46" s="1619"/>
      <c r="Z46" s="1619"/>
      <c r="AA46" s="1619"/>
      <c r="AB46" s="1619"/>
      <c r="AC46" s="1619"/>
      <c r="AD46" s="1619"/>
      <c r="AE46" s="1619"/>
    </row>
    <row r="47" spans="1:33" s="2260" customFormat="1" ht="24.75">
      <c r="A47" s="2273" t="s">
        <v>2638</v>
      </c>
      <c r="B47" s="2274" t="s">
        <v>2639</v>
      </c>
      <c r="C47" s="2274" t="s">
        <v>2640</v>
      </c>
      <c r="D47" s="2274" t="s">
        <v>2641</v>
      </c>
      <c r="E47" s="2275" t="s">
        <v>2642</v>
      </c>
      <c r="F47" s="2225" t="s">
        <v>2643</v>
      </c>
      <c r="G47" s="2274" t="s">
        <v>2644</v>
      </c>
      <c r="H47" s="2276" t="s">
        <v>2645</v>
      </c>
      <c r="I47" s="2274" t="s">
        <v>2646</v>
      </c>
      <c r="J47" s="1901" t="s">
        <v>2647</v>
      </c>
      <c r="K47" s="1901" t="s">
        <v>2648</v>
      </c>
      <c r="L47" s="1901" t="s">
        <v>2649</v>
      </c>
      <c r="M47" s="1901" t="s">
        <v>2650</v>
      </c>
      <c r="N47" s="1901" t="s">
        <v>2651</v>
      </c>
      <c r="O47" s="1619"/>
      <c r="P47" s="1619"/>
      <c r="Q47" s="3044"/>
      <c r="R47" s="3044"/>
      <c r="S47" s="3044"/>
      <c r="T47" s="3044"/>
      <c r="U47" s="3044"/>
      <c r="V47" s="3044"/>
      <c r="W47" s="3044"/>
      <c r="X47" s="1619"/>
      <c r="Y47" s="1619"/>
      <c r="Z47" s="1619"/>
      <c r="AA47" s="1619"/>
      <c r="AB47" s="1619"/>
      <c r="AC47" s="1619"/>
      <c r="AD47" s="1619"/>
      <c r="AE47" s="1619"/>
      <c r="AF47" s="1619"/>
      <c r="AG47" s="1619"/>
    </row>
    <row r="48" spans="1:33" s="2260" customFormat="1" ht="38.25">
      <c r="A48" s="2273" t="s">
        <v>2652</v>
      </c>
      <c r="B48" s="2277" t="str">
        <f>估价对象房地状况!C16</f>
        <v>估价对象位于XX商圈，周边商业氛围成熟，人流量大，商业繁华度好</v>
      </c>
      <c r="C48" s="2161"/>
      <c r="D48" s="2278">
        <f t="shared" ref="D48:D56" si="10">SUMIF($J$47:$N$47,C48,J48:N48)</f>
        <v>0</v>
      </c>
      <c r="E48" s="2279">
        <f>ROUND(SUM(D48:D56),4)</f>
        <v>0</v>
      </c>
      <c r="F48" s="2280" t="str">
        <f>IF(E2="商业",SUMIF(L1:L12,G2,N1:N12),"——")</f>
        <v>——</v>
      </c>
      <c r="G48" s="2281"/>
      <c r="H48" s="2282" t="str">
        <f t="shared" ref="H48:H56" si="11">IFERROR(ROUNDDOWN($F$48*I48/2,4),"——")</f>
        <v>——</v>
      </c>
      <c r="I48" s="2283">
        <v>0.33</v>
      </c>
      <c r="J48" s="2284">
        <f t="shared" ref="J48:J56" si="12">K48+$G48</f>
        <v>0</v>
      </c>
      <c r="K48" s="2284">
        <f t="shared" ref="K48:K56" si="13">$L48+$G48</f>
        <v>0</v>
      </c>
      <c r="L48" s="2284">
        <v>0</v>
      </c>
      <c r="M48" s="2284">
        <f t="shared" ref="M48:N56" si="14">L48-$G48</f>
        <v>0</v>
      </c>
      <c r="N48" s="2284">
        <f t="shared" si="14"/>
        <v>0</v>
      </c>
      <c r="O48" s="1619"/>
      <c r="P48" s="1619"/>
      <c r="Q48" s="3044"/>
      <c r="R48" s="3044"/>
      <c r="S48" s="3044"/>
      <c r="T48" s="3044"/>
      <c r="U48" s="3044"/>
      <c r="V48" s="3044"/>
      <c r="W48" s="3044"/>
      <c r="X48" s="1619"/>
      <c r="Y48" s="1619"/>
      <c r="Z48" s="1619"/>
      <c r="AA48" s="1619"/>
      <c r="AB48" s="1619"/>
      <c r="AC48" s="1619"/>
      <c r="AD48" s="1619"/>
      <c r="AE48" s="1619"/>
      <c r="AF48" s="1619"/>
      <c r="AG48" s="1619"/>
    </row>
    <row r="49" spans="1:33" s="2260" customFormat="1" ht="51">
      <c r="A49" s="2273" t="s">
        <v>2653</v>
      </c>
      <c r="B49" s="2285" t="str">
        <f>估价对象房地状况!C18</f>
        <v>估价对象周边道路状况、公共交通通达情况、停车便捷程度，综合评价交通便捷度较好</v>
      </c>
      <c r="C49" s="2161"/>
      <c r="D49" s="2278">
        <f t="shared" si="10"/>
        <v>0</v>
      </c>
      <c r="E49" s="2286"/>
      <c r="F49" s="2280"/>
      <c r="G49" s="2281"/>
      <c r="H49" s="2282" t="str">
        <f t="shared" si="11"/>
        <v>——</v>
      </c>
      <c r="I49" s="2283">
        <v>0.25</v>
      </c>
      <c r="J49" s="2284">
        <f t="shared" si="12"/>
        <v>0</v>
      </c>
      <c r="K49" s="2284">
        <f t="shared" si="13"/>
        <v>0</v>
      </c>
      <c r="L49" s="2284">
        <v>0</v>
      </c>
      <c r="M49" s="2284">
        <f t="shared" si="14"/>
        <v>0</v>
      </c>
      <c r="N49" s="2284">
        <f t="shared" si="14"/>
        <v>0</v>
      </c>
      <c r="O49" s="1619"/>
      <c r="P49" s="1619"/>
      <c r="Q49" s="3044"/>
      <c r="R49" s="3044"/>
      <c r="S49" s="3044"/>
      <c r="T49" s="3044"/>
      <c r="U49" s="3044"/>
      <c r="V49" s="3044"/>
      <c r="W49" s="3044"/>
      <c r="X49" s="1619"/>
      <c r="Y49" s="1619"/>
      <c r="Z49" s="1619"/>
      <c r="AA49" s="1619"/>
      <c r="AB49" s="1619"/>
      <c r="AC49" s="1619"/>
      <c r="AD49" s="1619"/>
      <c r="AE49" s="1619"/>
      <c r="AF49" s="1619"/>
      <c r="AG49" s="1619"/>
    </row>
    <row r="50" spans="1:33" s="2260" customFormat="1" ht="24">
      <c r="A50" s="2273" t="s">
        <v>2654</v>
      </c>
      <c r="B50" s="2285">
        <f>估价对象房地状况!C19</f>
        <v>0</v>
      </c>
      <c r="C50" s="2161"/>
      <c r="D50" s="2278">
        <f t="shared" si="10"/>
        <v>0</v>
      </c>
      <c r="E50" s="2286"/>
      <c r="F50" s="2280"/>
      <c r="G50" s="2281"/>
      <c r="H50" s="2282" t="str">
        <f t="shared" si="11"/>
        <v>——</v>
      </c>
      <c r="I50" s="2283">
        <v>0.05</v>
      </c>
      <c r="J50" s="2284">
        <f t="shared" si="12"/>
        <v>0</v>
      </c>
      <c r="K50" s="2284">
        <f t="shared" si="13"/>
        <v>0</v>
      </c>
      <c r="L50" s="2284">
        <v>0</v>
      </c>
      <c r="M50" s="2284">
        <f t="shared" si="14"/>
        <v>0</v>
      </c>
      <c r="N50" s="2284">
        <f t="shared" si="14"/>
        <v>0</v>
      </c>
      <c r="O50" s="1619"/>
      <c r="P50" s="1619"/>
      <c r="Q50" s="3044"/>
      <c r="R50" s="3044"/>
      <c r="S50" s="3044"/>
      <c r="T50" s="3044"/>
      <c r="U50" s="3044"/>
      <c r="V50" s="3044"/>
      <c r="W50" s="3044"/>
      <c r="X50" s="1619"/>
      <c r="Y50" s="1619"/>
      <c r="Z50" s="1619"/>
      <c r="AA50" s="1619"/>
      <c r="AB50" s="1619"/>
      <c r="AC50" s="1619"/>
      <c r="AD50" s="1619"/>
      <c r="AE50" s="1619"/>
      <c r="AF50" s="1619"/>
      <c r="AG50" s="1619"/>
    </row>
    <row r="51" spans="1:33" s="2260" customFormat="1" ht="36.75">
      <c r="A51" s="2273" t="s">
        <v>2655</v>
      </c>
      <c r="B51" s="2287" t="s">
        <v>2656</v>
      </c>
      <c r="C51" s="2161"/>
      <c r="D51" s="2278">
        <f t="shared" si="10"/>
        <v>0</v>
      </c>
      <c r="E51" s="2286"/>
      <c r="F51" s="2280"/>
      <c r="G51" s="2281"/>
      <c r="H51" s="2282" t="str">
        <f t="shared" si="11"/>
        <v>——</v>
      </c>
      <c r="I51" s="2283">
        <v>0.05</v>
      </c>
      <c r="J51" s="2284">
        <f t="shared" si="12"/>
        <v>0</v>
      </c>
      <c r="K51" s="2284">
        <f t="shared" si="13"/>
        <v>0</v>
      </c>
      <c r="L51" s="2284">
        <v>0</v>
      </c>
      <c r="M51" s="2284">
        <f t="shared" si="14"/>
        <v>0</v>
      </c>
      <c r="N51" s="2284">
        <f t="shared" si="14"/>
        <v>0</v>
      </c>
      <c r="O51" s="1619"/>
      <c r="P51" s="1619"/>
      <c r="Q51" s="3044"/>
      <c r="R51" s="3044"/>
      <c r="S51" s="3044"/>
      <c r="T51" s="3044"/>
      <c r="U51" s="3044"/>
      <c r="V51" s="3044"/>
      <c r="W51" s="3044"/>
      <c r="X51" s="1619"/>
      <c r="Y51" s="1619"/>
      <c r="Z51" s="1619"/>
      <c r="AA51" s="1619"/>
      <c r="AB51" s="1619"/>
      <c r="AC51" s="1619"/>
      <c r="AD51" s="1619"/>
      <c r="AE51" s="1619"/>
      <c r="AF51" s="1619"/>
      <c r="AG51" s="1619"/>
    </row>
    <row r="52" spans="1:33" s="2260" customFormat="1" ht="24">
      <c r="A52" s="2273" t="s">
        <v>2657</v>
      </c>
      <c r="B52" s="2285">
        <f>估价对象房地状况!C24</f>
        <v>0</v>
      </c>
      <c r="C52" s="2161"/>
      <c r="D52" s="2278">
        <f t="shared" si="10"/>
        <v>0</v>
      </c>
      <c r="E52" s="2286"/>
      <c r="F52" s="2280"/>
      <c r="G52" s="2281"/>
      <c r="H52" s="2282" t="str">
        <f t="shared" si="11"/>
        <v>——</v>
      </c>
      <c r="I52" s="2283">
        <v>0.08</v>
      </c>
      <c r="J52" s="2284">
        <f t="shared" si="12"/>
        <v>0</v>
      </c>
      <c r="K52" s="2284">
        <f t="shared" si="13"/>
        <v>0</v>
      </c>
      <c r="L52" s="2284">
        <v>0</v>
      </c>
      <c r="M52" s="2284">
        <f t="shared" si="14"/>
        <v>0</v>
      </c>
      <c r="N52" s="2284">
        <f t="shared" si="14"/>
        <v>0</v>
      </c>
      <c r="O52" s="1619"/>
      <c r="P52" s="1619"/>
      <c r="Q52" s="3044"/>
      <c r="R52" s="3044"/>
      <c r="S52" s="3044"/>
      <c r="T52" s="3044"/>
      <c r="U52" s="3044"/>
      <c r="V52" s="3044"/>
      <c r="W52" s="3044"/>
      <c r="X52" s="1619"/>
      <c r="Y52" s="1619"/>
      <c r="Z52" s="1619"/>
      <c r="AA52" s="1619"/>
      <c r="AB52" s="1619"/>
      <c r="AC52" s="1619"/>
      <c r="AD52" s="1619"/>
      <c r="AE52" s="1619"/>
      <c r="AF52" s="1619"/>
      <c r="AG52" s="1619"/>
    </row>
    <row r="53" spans="1:33" s="2260" customFormat="1" ht="24">
      <c r="A53" s="2273" t="s">
        <v>2658</v>
      </c>
      <c r="B53" s="2288" t="s">
        <v>2659</v>
      </c>
      <c r="C53" s="2161"/>
      <c r="D53" s="2278">
        <f t="shared" si="10"/>
        <v>0</v>
      </c>
      <c r="E53" s="2286"/>
      <c r="F53" s="2280"/>
      <c r="G53" s="2281"/>
      <c r="H53" s="2282" t="str">
        <f t="shared" si="11"/>
        <v>——</v>
      </c>
      <c r="I53" s="2283">
        <v>0.03</v>
      </c>
      <c r="J53" s="2284">
        <f t="shared" si="12"/>
        <v>0</v>
      </c>
      <c r="K53" s="2284">
        <f t="shared" si="13"/>
        <v>0</v>
      </c>
      <c r="L53" s="2284">
        <v>0</v>
      </c>
      <c r="M53" s="2284">
        <f t="shared" si="14"/>
        <v>0</v>
      </c>
      <c r="N53" s="2284">
        <f t="shared" si="14"/>
        <v>0</v>
      </c>
      <c r="O53" s="1619"/>
      <c r="P53" s="1619"/>
      <c r="Q53" s="3044"/>
      <c r="R53" s="3044"/>
      <c r="S53" s="3044"/>
      <c r="T53" s="3044"/>
      <c r="U53" s="3044"/>
      <c r="V53" s="3044"/>
      <c r="W53" s="3044"/>
      <c r="X53" s="1619"/>
      <c r="Y53" s="1619"/>
      <c r="Z53" s="1619"/>
      <c r="AA53" s="1619"/>
      <c r="AB53" s="1619"/>
      <c r="AC53" s="1619"/>
      <c r="AD53" s="1619"/>
      <c r="AE53" s="1619"/>
      <c r="AF53" s="1619"/>
      <c r="AG53" s="1619"/>
    </row>
    <row r="54" spans="1:33" s="2260" customFormat="1" ht="25.5">
      <c r="A54" s="2289" t="s">
        <v>2660</v>
      </c>
      <c r="B54" s="2290" t="str">
        <f>估价对象房地状况!C21</f>
        <v>估价对象所在区域公共配套设施齐备情况</v>
      </c>
      <c r="C54" s="2161"/>
      <c r="D54" s="2278">
        <f t="shared" si="10"/>
        <v>0</v>
      </c>
      <c r="E54" s="2286"/>
      <c r="F54" s="2280"/>
      <c r="G54" s="2281"/>
      <c r="H54" s="2282" t="str">
        <f t="shared" si="11"/>
        <v>——</v>
      </c>
      <c r="I54" s="2283">
        <v>0.05</v>
      </c>
      <c r="J54" s="2284">
        <f t="shared" si="12"/>
        <v>0</v>
      </c>
      <c r="K54" s="2284">
        <f t="shared" si="13"/>
        <v>0</v>
      </c>
      <c r="L54" s="2284">
        <v>0</v>
      </c>
      <c r="M54" s="2284">
        <f t="shared" si="14"/>
        <v>0</v>
      </c>
      <c r="N54" s="2284">
        <f t="shared" si="14"/>
        <v>0</v>
      </c>
      <c r="O54" s="1619"/>
      <c r="P54" s="1619"/>
      <c r="Q54" s="3044"/>
      <c r="R54" s="3044"/>
      <c r="S54" s="3044"/>
      <c r="T54" s="3044"/>
      <c r="U54" s="3044"/>
      <c r="V54" s="3044"/>
      <c r="W54" s="3044"/>
      <c r="X54" s="1619"/>
      <c r="Y54" s="1619"/>
      <c r="Z54" s="1619"/>
      <c r="AA54" s="1619"/>
      <c r="AB54" s="1619"/>
      <c r="AC54" s="1619"/>
      <c r="AD54" s="1619"/>
      <c r="AE54" s="1619"/>
      <c r="AF54" s="1619"/>
      <c r="AG54" s="1619"/>
    </row>
    <row r="55" spans="1:33" s="2260" customFormat="1" ht="25.5">
      <c r="A55" s="2289" t="s">
        <v>2661</v>
      </c>
      <c r="B55" s="2285" t="str">
        <f>估价对象房地状况!C22</f>
        <v>估价对象所在区域基础设施水平</v>
      </c>
      <c r="C55" s="2161"/>
      <c r="D55" s="2278">
        <f t="shared" si="10"/>
        <v>0</v>
      </c>
      <c r="E55" s="2286"/>
      <c r="F55" s="2280"/>
      <c r="G55" s="2281"/>
      <c r="H55" s="2282" t="str">
        <f t="shared" si="11"/>
        <v>——</v>
      </c>
      <c r="I55" s="2283">
        <v>0.1</v>
      </c>
      <c r="J55" s="2284">
        <f t="shared" si="12"/>
        <v>0</v>
      </c>
      <c r="K55" s="2284">
        <f t="shared" si="13"/>
        <v>0</v>
      </c>
      <c r="L55" s="2284">
        <v>0</v>
      </c>
      <c r="M55" s="2284">
        <f t="shared" si="14"/>
        <v>0</v>
      </c>
      <c r="N55" s="2284">
        <f t="shared" si="14"/>
        <v>0</v>
      </c>
      <c r="O55" s="1619"/>
      <c r="P55" s="1619"/>
      <c r="Q55" s="3044"/>
      <c r="R55" s="3044"/>
      <c r="S55" s="3044"/>
      <c r="T55" s="3044"/>
      <c r="U55" s="3044"/>
      <c r="V55" s="3044"/>
      <c r="W55" s="3044"/>
      <c r="X55" s="1619"/>
      <c r="Y55" s="1619"/>
      <c r="Z55" s="1619"/>
      <c r="AA55" s="1619"/>
      <c r="AB55" s="1619"/>
      <c r="AC55" s="1619"/>
      <c r="AD55" s="1619"/>
      <c r="AE55" s="1619"/>
      <c r="AF55" s="1619"/>
      <c r="AG55" s="1619"/>
    </row>
    <row r="56" spans="1:33" s="2260" customFormat="1" ht="39" thickBot="1">
      <c r="A56" s="2291" t="s">
        <v>2662</v>
      </c>
      <c r="B56" s="2292" t="str">
        <f>估价对象房地状况!C20</f>
        <v>区域自然环境：；人文环境；综合评价环境状况一般</v>
      </c>
      <c r="C56" s="2161"/>
      <c r="D56" s="2278">
        <f t="shared" si="10"/>
        <v>0</v>
      </c>
      <c r="E56" s="2293"/>
      <c r="F56" s="2280"/>
      <c r="G56" s="2281"/>
      <c r="H56" s="2282" t="str">
        <f t="shared" si="11"/>
        <v>——</v>
      </c>
      <c r="I56" s="2294">
        <v>0.06</v>
      </c>
      <c r="J56" s="2284">
        <f t="shared" si="12"/>
        <v>0</v>
      </c>
      <c r="K56" s="2284">
        <f t="shared" si="13"/>
        <v>0</v>
      </c>
      <c r="L56" s="2284">
        <v>0</v>
      </c>
      <c r="M56" s="2284">
        <f t="shared" si="14"/>
        <v>0</v>
      </c>
      <c r="N56" s="2284">
        <f t="shared" si="14"/>
        <v>0</v>
      </c>
      <c r="O56" s="1619"/>
      <c r="P56" s="1619"/>
      <c r="Q56" s="3044"/>
      <c r="R56" s="3044"/>
      <c r="S56" s="3044"/>
      <c r="T56" s="3044"/>
      <c r="U56" s="3044"/>
      <c r="V56" s="3044"/>
      <c r="W56" s="3044"/>
      <c r="X56" s="1619"/>
      <c r="Y56" s="1619"/>
      <c r="Z56" s="1619"/>
      <c r="AA56" s="1619"/>
      <c r="AB56" s="1619"/>
      <c r="AC56" s="1619"/>
      <c r="AD56" s="1619"/>
      <c r="AE56" s="1619"/>
      <c r="AF56" s="1619"/>
      <c r="AG56" s="1619"/>
    </row>
    <row r="57" spans="1:33" s="2260" customFormat="1" ht="15">
      <c r="A57" s="2266" t="s">
        <v>2663</v>
      </c>
      <c r="B57" s="2295">
        <f>1+E59</f>
        <v>1</v>
      </c>
      <c r="C57" s="2269"/>
      <c r="D57" s="2269"/>
      <c r="E57" s="2270"/>
      <c r="F57" s="2271"/>
      <c r="G57" s="608"/>
      <c r="H57" s="608"/>
      <c r="I57" s="608"/>
      <c r="J57" s="608"/>
      <c r="K57" s="608"/>
      <c r="L57" s="608"/>
      <c r="M57" s="608"/>
      <c r="N57" s="608"/>
      <c r="O57" s="1619"/>
      <c r="P57" s="1619"/>
      <c r="Q57" s="3044"/>
      <c r="R57" s="3044"/>
      <c r="S57" s="3044"/>
      <c r="T57" s="3044"/>
      <c r="U57" s="3044"/>
      <c r="V57" s="3044"/>
      <c r="W57" s="3044"/>
      <c r="X57" s="1619"/>
      <c r="Y57" s="1619"/>
      <c r="Z57" s="1619"/>
      <c r="AA57" s="1619"/>
      <c r="AB57" s="1619"/>
      <c r="AC57" s="1619"/>
      <c r="AD57" s="1619"/>
      <c r="AE57" s="1619"/>
      <c r="AF57" s="1619"/>
      <c r="AG57" s="1619"/>
    </row>
    <row r="58" spans="1:33" s="2260" customFormat="1" ht="24.75">
      <c r="A58" s="2273" t="s">
        <v>2638</v>
      </c>
      <c r="B58" s="2285"/>
      <c r="C58" s="2274" t="s">
        <v>2640</v>
      </c>
      <c r="D58" s="2274" t="s">
        <v>2641</v>
      </c>
      <c r="E58" s="2275" t="s">
        <v>2642</v>
      </c>
      <c r="F58" s="2225" t="s">
        <v>2643</v>
      </c>
      <c r="G58" s="2274" t="s">
        <v>2664</v>
      </c>
      <c r="H58" s="2276" t="s">
        <v>2665</v>
      </c>
      <c r="I58" s="2274" t="s">
        <v>2666</v>
      </c>
      <c r="J58" s="1901" t="s">
        <v>2306</v>
      </c>
      <c r="K58" s="1901" t="s">
        <v>2307</v>
      </c>
      <c r="L58" s="1901" t="s">
        <v>2308</v>
      </c>
      <c r="M58" s="1901" t="s">
        <v>2309</v>
      </c>
      <c r="N58" s="1901" t="s">
        <v>2310</v>
      </c>
      <c r="O58" s="1619"/>
      <c r="P58" s="1619"/>
      <c r="Q58" s="3044"/>
      <c r="R58" s="3044"/>
      <c r="S58" s="3044"/>
      <c r="T58" s="3044"/>
      <c r="U58" s="3044"/>
      <c r="V58" s="3044"/>
      <c r="W58" s="3044"/>
      <c r="X58" s="1619"/>
      <c r="Y58" s="1619"/>
      <c r="Z58" s="1619"/>
      <c r="AA58" s="1619"/>
      <c r="AB58" s="1619"/>
      <c r="AC58" s="1619"/>
      <c r="AD58" s="1619"/>
      <c r="AE58" s="1619"/>
      <c r="AF58" s="1619"/>
      <c r="AG58" s="1619"/>
    </row>
    <row r="59" spans="1:33" s="2260" customFormat="1" ht="38.25">
      <c r="A59" s="2273" t="s">
        <v>2667</v>
      </c>
      <c r="B59" s="2277" t="str">
        <f>估价对象房地状况!C17</f>
        <v>估价对象位于XX商圈，周边办公楼项目较多，入驻率高，办公集聚程度较好</v>
      </c>
      <c r="C59" s="2161"/>
      <c r="D59" s="2278">
        <f t="shared" ref="D59:D67" si="15">SUMIF($J$58:$N$58,C59,J59:N59)</f>
        <v>0</v>
      </c>
      <c r="E59" s="2279">
        <f>ROUND(SUM(D59:D67),4)</f>
        <v>0</v>
      </c>
      <c r="F59" s="2280" t="str">
        <f>IF(E2="办公",SUMIF(L1:L12,G2,N1:N12),"——")</f>
        <v>——</v>
      </c>
      <c r="G59" s="2281"/>
      <c r="H59" s="2282" t="str">
        <f t="shared" ref="H59:H67" si="16">IFERROR(ROUNDDOWN($F$59*I59/2,4),"——")</f>
        <v>——</v>
      </c>
      <c r="I59" s="2283">
        <v>0.24</v>
      </c>
      <c r="J59" s="2284">
        <f t="shared" ref="J59:J67" si="17">K59+$G59</f>
        <v>0</v>
      </c>
      <c r="K59" s="2284">
        <f t="shared" ref="K59:K67" si="18">$L59+$G59</f>
        <v>0</v>
      </c>
      <c r="L59" s="2284">
        <v>0</v>
      </c>
      <c r="M59" s="2284">
        <f t="shared" ref="M59:N67" si="19">L59-$G59</f>
        <v>0</v>
      </c>
      <c r="N59" s="2284">
        <f t="shared" si="19"/>
        <v>0</v>
      </c>
      <c r="O59" s="1619"/>
      <c r="P59" s="1619"/>
      <c r="Q59" s="3044"/>
      <c r="R59" s="3044"/>
      <c r="S59" s="3044"/>
      <c r="T59" s="3044"/>
      <c r="U59" s="3044"/>
      <c r="V59" s="3044"/>
      <c r="W59" s="3044"/>
      <c r="X59" s="1619"/>
      <c r="Y59" s="1619"/>
      <c r="Z59" s="1619"/>
      <c r="AA59" s="1619"/>
      <c r="AB59" s="1619"/>
      <c r="AC59" s="1619"/>
      <c r="AD59" s="1619"/>
      <c r="AE59" s="1619"/>
      <c r="AF59" s="1619"/>
      <c r="AG59" s="1619"/>
    </row>
    <row r="60" spans="1:33" s="2260" customFormat="1" ht="51">
      <c r="A60" s="2273" t="s">
        <v>2653</v>
      </c>
      <c r="B60" s="2285" t="str">
        <f>估价对象房地状况!C18</f>
        <v>估价对象周边道路状况、公共交通通达情况、停车便捷程度，综合评价交通便捷度较好</v>
      </c>
      <c r="C60" s="2161"/>
      <c r="D60" s="2278">
        <f t="shared" si="15"/>
        <v>0</v>
      </c>
      <c r="E60" s="2286"/>
      <c r="F60" s="2280"/>
      <c r="G60" s="2281"/>
      <c r="H60" s="2282" t="str">
        <f t="shared" si="16"/>
        <v>——</v>
      </c>
      <c r="I60" s="2283">
        <v>0.3</v>
      </c>
      <c r="J60" s="2284">
        <f t="shared" si="17"/>
        <v>0</v>
      </c>
      <c r="K60" s="2284">
        <f t="shared" si="18"/>
        <v>0</v>
      </c>
      <c r="L60" s="2284">
        <v>0</v>
      </c>
      <c r="M60" s="2284">
        <f t="shared" si="19"/>
        <v>0</v>
      </c>
      <c r="N60" s="2284">
        <f t="shared" si="19"/>
        <v>0</v>
      </c>
      <c r="O60" s="1619"/>
      <c r="P60" s="1619"/>
      <c r="Q60" s="3044"/>
      <c r="R60" s="3044"/>
      <c r="S60" s="3044"/>
      <c r="T60" s="3044"/>
      <c r="U60" s="3044"/>
      <c r="V60" s="3044"/>
      <c r="W60" s="3044"/>
      <c r="X60" s="1619"/>
      <c r="Y60" s="1619"/>
      <c r="Z60" s="1619"/>
      <c r="AA60" s="1619"/>
      <c r="AB60" s="1619"/>
      <c r="AC60" s="1619"/>
      <c r="AD60" s="1619"/>
      <c r="AE60" s="1619"/>
      <c r="AF60" s="1619"/>
      <c r="AG60" s="1619"/>
    </row>
    <row r="61" spans="1:33" s="2260" customFormat="1" ht="24">
      <c r="A61" s="2273" t="s">
        <v>2654</v>
      </c>
      <c r="B61" s="2285">
        <f>估价对象房地状况!C19</f>
        <v>0</v>
      </c>
      <c r="C61" s="2161"/>
      <c r="D61" s="2278">
        <f t="shared" si="15"/>
        <v>0</v>
      </c>
      <c r="E61" s="2286"/>
      <c r="F61" s="2280"/>
      <c r="G61" s="2281"/>
      <c r="H61" s="2282" t="str">
        <f t="shared" si="16"/>
        <v>——</v>
      </c>
      <c r="I61" s="2283">
        <v>0.08</v>
      </c>
      <c r="J61" s="2284">
        <f t="shared" si="17"/>
        <v>0</v>
      </c>
      <c r="K61" s="2284">
        <f t="shared" si="18"/>
        <v>0</v>
      </c>
      <c r="L61" s="2284">
        <v>0</v>
      </c>
      <c r="M61" s="2284">
        <f t="shared" si="19"/>
        <v>0</v>
      </c>
      <c r="N61" s="2284">
        <f t="shared" si="19"/>
        <v>0</v>
      </c>
      <c r="O61" s="1619"/>
      <c r="P61" s="1619"/>
      <c r="Q61" s="3044"/>
      <c r="R61" s="3044"/>
      <c r="S61" s="3044"/>
      <c r="T61" s="3044"/>
      <c r="U61" s="3044"/>
      <c r="V61" s="3044"/>
      <c r="W61" s="3044"/>
      <c r="X61" s="1619"/>
      <c r="Y61" s="1619"/>
      <c r="Z61" s="1619"/>
      <c r="AA61" s="1619"/>
      <c r="AB61" s="1619"/>
      <c r="AC61" s="1619"/>
      <c r="AD61" s="1619"/>
      <c r="AE61" s="1619"/>
      <c r="AF61" s="1619"/>
      <c r="AG61" s="1619"/>
    </row>
    <row r="62" spans="1:33" s="2260" customFormat="1" ht="36.75">
      <c r="A62" s="2273" t="s">
        <v>2655</v>
      </c>
      <c r="B62" s="2287" t="s">
        <v>2656</v>
      </c>
      <c r="C62" s="2161"/>
      <c r="D62" s="2278">
        <f t="shared" si="15"/>
        <v>0</v>
      </c>
      <c r="E62" s="2286"/>
      <c r="F62" s="2280"/>
      <c r="G62" s="2281"/>
      <c r="H62" s="2282" t="str">
        <f t="shared" si="16"/>
        <v>——</v>
      </c>
      <c r="I62" s="2283">
        <v>0.04</v>
      </c>
      <c r="J62" s="2284">
        <f t="shared" si="17"/>
        <v>0</v>
      </c>
      <c r="K62" s="2284">
        <f t="shared" si="18"/>
        <v>0</v>
      </c>
      <c r="L62" s="2284">
        <v>0</v>
      </c>
      <c r="M62" s="2284">
        <f t="shared" si="19"/>
        <v>0</v>
      </c>
      <c r="N62" s="2284">
        <f t="shared" si="19"/>
        <v>0</v>
      </c>
      <c r="O62" s="1619"/>
      <c r="P62" s="1619"/>
      <c r="Q62" s="3044"/>
      <c r="R62" s="3044"/>
      <c r="S62" s="3044"/>
      <c r="T62" s="3044"/>
      <c r="U62" s="3044"/>
      <c r="V62" s="3044"/>
      <c r="W62" s="3044"/>
      <c r="X62" s="1619"/>
      <c r="Y62" s="1619"/>
      <c r="Z62" s="1619"/>
      <c r="AA62" s="1619"/>
      <c r="AB62" s="1619"/>
      <c r="AC62" s="1619"/>
      <c r="AD62" s="1619"/>
      <c r="AE62" s="1619"/>
      <c r="AF62" s="1619"/>
      <c r="AG62" s="1619"/>
    </row>
    <row r="63" spans="1:33" s="2260" customFormat="1" ht="24">
      <c r="A63" s="2273" t="s">
        <v>2657</v>
      </c>
      <c r="B63" s="2285">
        <f>估价对象房地状况!C24</f>
        <v>0</v>
      </c>
      <c r="C63" s="2161"/>
      <c r="D63" s="2278">
        <f t="shared" si="15"/>
        <v>0</v>
      </c>
      <c r="E63" s="2286"/>
      <c r="F63" s="2280"/>
      <c r="G63" s="2281"/>
      <c r="H63" s="2282" t="str">
        <f t="shared" si="16"/>
        <v>——</v>
      </c>
      <c r="I63" s="2283">
        <v>0.05</v>
      </c>
      <c r="J63" s="2284">
        <f t="shared" si="17"/>
        <v>0</v>
      </c>
      <c r="K63" s="2284">
        <f t="shared" si="18"/>
        <v>0</v>
      </c>
      <c r="L63" s="2284">
        <v>0</v>
      </c>
      <c r="M63" s="2284">
        <f t="shared" si="19"/>
        <v>0</v>
      </c>
      <c r="N63" s="2284">
        <f t="shared" si="19"/>
        <v>0</v>
      </c>
      <c r="O63" s="1619"/>
      <c r="P63" s="1619"/>
      <c r="Q63" s="3044"/>
      <c r="R63" s="3044"/>
      <c r="S63" s="3044"/>
      <c r="T63" s="3044"/>
      <c r="U63" s="3044"/>
      <c r="V63" s="3044"/>
      <c r="W63" s="3044"/>
      <c r="X63" s="1619"/>
      <c r="Y63" s="1619"/>
      <c r="Z63" s="1619"/>
      <c r="AA63" s="1619"/>
      <c r="AB63" s="1619"/>
      <c r="AC63" s="1619"/>
      <c r="AD63" s="1619"/>
      <c r="AE63" s="1619"/>
      <c r="AF63" s="1619"/>
      <c r="AG63" s="1619"/>
    </row>
    <row r="64" spans="1:33" s="2260" customFormat="1" ht="24">
      <c r="A64" s="2273" t="s">
        <v>2658</v>
      </c>
      <c r="B64" s="2288" t="s">
        <v>2659</v>
      </c>
      <c r="C64" s="2161"/>
      <c r="D64" s="2278">
        <f t="shared" si="15"/>
        <v>0</v>
      </c>
      <c r="E64" s="2286"/>
      <c r="F64" s="2280"/>
      <c r="G64" s="2281"/>
      <c r="H64" s="2282" t="str">
        <f t="shared" si="16"/>
        <v>——</v>
      </c>
      <c r="I64" s="2283">
        <v>0.05</v>
      </c>
      <c r="J64" s="2284">
        <f t="shared" si="17"/>
        <v>0</v>
      </c>
      <c r="K64" s="2284">
        <f t="shared" si="18"/>
        <v>0</v>
      </c>
      <c r="L64" s="2284">
        <v>0</v>
      </c>
      <c r="M64" s="2284">
        <f t="shared" si="19"/>
        <v>0</v>
      </c>
      <c r="N64" s="2284">
        <f t="shared" si="19"/>
        <v>0</v>
      </c>
      <c r="O64" s="1619"/>
      <c r="P64" s="1619"/>
      <c r="Q64" s="3044"/>
      <c r="R64" s="3044"/>
      <c r="S64" s="3044"/>
      <c r="T64" s="3044"/>
      <c r="U64" s="3044"/>
      <c r="V64" s="3044"/>
      <c r="W64" s="3044"/>
      <c r="X64" s="1619"/>
      <c r="Y64" s="1619"/>
      <c r="Z64" s="1619"/>
      <c r="AA64" s="1619"/>
      <c r="AB64" s="1619"/>
      <c r="AC64" s="1619"/>
      <c r="AD64" s="1619"/>
      <c r="AE64" s="1619"/>
      <c r="AF64" s="1619"/>
      <c r="AG64" s="1619"/>
    </row>
    <row r="65" spans="1:33" s="2260" customFormat="1" ht="25.5">
      <c r="A65" s="2273" t="s">
        <v>2660</v>
      </c>
      <c r="B65" s="2290" t="str">
        <f>估价对象房地状况!C21</f>
        <v>估价对象所在区域公共配套设施齐备情况</v>
      </c>
      <c r="C65" s="2161"/>
      <c r="D65" s="2278">
        <f t="shared" si="15"/>
        <v>0</v>
      </c>
      <c r="E65" s="2286"/>
      <c r="F65" s="2280"/>
      <c r="G65" s="2281"/>
      <c r="H65" s="2282" t="str">
        <f t="shared" si="16"/>
        <v>——</v>
      </c>
      <c r="I65" s="2283">
        <v>0.06</v>
      </c>
      <c r="J65" s="2284">
        <f t="shared" si="17"/>
        <v>0</v>
      </c>
      <c r="K65" s="2284">
        <f t="shared" si="18"/>
        <v>0</v>
      </c>
      <c r="L65" s="2284">
        <v>0</v>
      </c>
      <c r="M65" s="2284">
        <f t="shared" si="19"/>
        <v>0</v>
      </c>
      <c r="N65" s="2284">
        <f t="shared" si="19"/>
        <v>0</v>
      </c>
      <c r="O65" s="1619"/>
      <c r="P65" s="1619"/>
      <c r="Q65" s="3044"/>
      <c r="R65" s="3044"/>
      <c r="S65" s="3044"/>
      <c r="T65" s="3044"/>
      <c r="U65" s="3044"/>
      <c r="V65" s="3044"/>
      <c r="W65" s="3044"/>
      <c r="X65" s="1619"/>
      <c r="Y65" s="1619"/>
      <c r="Z65" s="1619"/>
      <c r="AA65" s="1619"/>
      <c r="AB65" s="1619"/>
      <c r="AC65" s="1619"/>
      <c r="AD65" s="1619"/>
      <c r="AE65" s="1619"/>
      <c r="AF65" s="1619"/>
      <c r="AG65" s="1619"/>
    </row>
    <row r="66" spans="1:33" s="2260" customFormat="1" ht="25.5">
      <c r="A66" s="2273" t="s">
        <v>2661</v>
      </c>
      <c r="B66" s="2290" t="str">
        <f>估价对象房地状况!C22</f>
        <v>估价对象所在区域基础设施水平</v>
      </c>
      <c r="C66" s="2161"/>
      <c r="D66" s="2278">
        <f t="shared" si="15"/>
        <v>0</v>
      </c>
      <c r="E66" s="2286"/>
      <c r="F66" s="2280"/>
      <c r="G66" s="2281"/>
      <c r="H66" s="2282" t="str">
        <f t="shared" si="16"/>
        <v>——</v>
      </c>
      <c r="I66" s="2283">
        <v>0.12</v>
      </c>
      <c r="J66" s="2284">
        <f t="shared" si="17"/>
        <v>0</v>
      </c>
      <c r="K66" s="2284">
        <f t="shared" si="18"/>
        <v>0</v>
      </c>
      <c r="L66" s="2284">
        <v>0</v>
      </c>
      <c r="M66" s="2284">
        <f t="shared" si="19"/>
        <v>0</v>
      </c>
      <c r="N66" s="2284">
        <f t="shared" si="19"/>
        <v>0</v>
      </c>
      <c r="O66" s="1619"/>
      <c r="P66" s="1619"/>
      <c r="Q66" s="3044"/>
      <c r="R66" s="3044"/>
      <c r="S66" s="3044"/>
      <c r="T66" s="3044"/>
      <c r="U66" s="3044"/>
      <c r="V66" s="3044"/>
      <c r="W66" s="3044"/>
      <c r="X66" s="1619"/>
      <c r="Y66" s="1619"/>
      <c r="Z66" s="1619"/>
      <c r="AA66" s="1619"/>
      <c r="AB66" s="1619"/>
      <c r="AC66" s="1619"/>
      <c r="AD66" s="1619"/>
      <c r="AE66" s="1619"/>
      <c r="AF66" s="1619"/>
      <c r="AG66" s="1619"/>
    </row>
    <row r="67" spans="1:33" s="2260" customFormat="1" ht="39" thickBot="1">
      <c r="A67" s="2291" t="s">
        <v>2662</v>
      </c>
      <c r="B67" s="2296" t="str">
        <f>估价对象房地状况!C20</f>
        <v>区域自然环境：；人文环境；综合评价环境状况一般</v>
      </c>
      <c r="C67" s="2161"/>
      <c r="D67" s="2278">
        <f t="shared" si="15"/>
        <v>0</v>
      </c>
      <c r="E67" s="2293"/>
      <c r="F67" s="2280"/>
      <c r="G67" s="2281"/>
      <c r="H67" s="2282" t="str">
        <f t="shared" si="16"/>
        <v>——</v>
      </c>
      <c r="I67" s="2294">
        <v>0.06</v>
      </c>
      <c r="J67" s="2284">
        <f t="shared" si="17"/>
        <v>0</v>
      </c>
      <c r="K67" s="2284">
        <f t="shared" si="18"/>
        <v>0</v>
      </c>
      <c r="L67" s="2284">
        <v>0</v>
      </c>
      <c r="M67" s="2284">
        <f t="shared" si="19"/>
        <v>0</v>
      </c>
      <c r="N67" s="2284">
        <f t="shared" si="19"/>
        <v>0</v>
      </c>
      <c r="O67" s="1619"/>
      <c r="P67" s="1619"/>
      <c r="Q67" s="3044"/>
      <c r="R67" s="3044"/>
      <c r="S67" s="3044"/>
      <c r="T67" s="3044"/>
      <c r="U67" s="3044"/>
      <c r="V67" s="3044"/>
      <c r="W67" s="3044"/>
      <c r="X67" s="1619"/>
      <c r="Y67" s="1619"/>
      <c r="Z67" s="1619"/>
      <c r="AA67" s="1619"/>
      <c r="AB67" s="1619"/>
      <c r="AC67" s="1619"/>
      <c r="AD67" s="1619"/>
      <c r="AE67" s="1619"/>
      <c r="AF67" s="1619"/>
      <c r="AG67" s="1619"/>
    </row>
    <row r="68" spans="1:33" s="2260" customFormat="1" ht="15">
      <c r="A68" s="2266" t="s">
        <v>2668</v>
      </c>
      <c r="B68" s="2295">
        <f>1+E70</f>
        <v>1.0656000000000001</v>
      </c>
      <c r="C68" s="2269"/>
      <c r="D68" s="2269"/>
      <c r="E68" s="2270"/>
      <c r="F68" s="2271"/>
      <c r="G68" s="608"/>
      <c r="H68" s="608"/>
      <c r="I68" s="608"/>
      <c r="J68" s="608"/>
      <c r="K68" s="608"/>
      <c r="L68" s="608"/>
      <c r="M68" s="608"/>
      <c r="N68" s="608"/>
      <c r="O68" s="1619"/>
      <c r="P68" s="1619"/>
      <c r="Q68" s="3044"/>
      <c r="R68" s="3044"/>
      <c r="S68" s="3044"/>
      <c r="T68" s="3044"/>
      <c r="U68" s="3044"/>
      <c r="V68" s="3044"/>
      <c r="W68" s="3044"/>
      <c r="X68" s="1619"/>
      <c r="Y68" s="1619"/>
      <c r="Z68" s="1619"/>
      <c r="AA68" s="1619"/>
      <c r="AB68" s="1619"/>
      <c r="AC68" s="1619"/>
      <c r="AD68" s="1619"/>
      <c r="AE68" s="1619"/>
      <c r="AF68" s="1619"/>
      <c r="AG68" s="1619"/>
    </row>
    <row r="69" spans="1:33" s="2260" customFormat="1" ht="24.75">
      <c r="A69" s="2273" t="s">
        <v>2638</v>
      </c>
      <c r="B69" s="2285"/>
      <c r="C69" s="2274" t="s">
        <v>2640</v>
      </c>
      <c r="D69" s="2274" t="s">
        <v>2641</v>
      </c>
      <c r="E69" s="2275" t="s">
        <v>2642</v>
      </c>
      <c r="F69" s="2225" t="s">
        <v>2643</v>
      </c>
      <c r="G69" s="2274" t="s">
        <v>2664</v>
      </c>
      <c r="H69" s="2276" t="s">
        <v>2665</v>
      </c>
      <c r="I69" s="2274" t="s">
        <v>2666</v>
      </c>
      <c r="J69" s="1901" t="s">
        <v>2306</v>
      </c>
      <c r="K69" s="1901" t="s">
        <v>2307</v>
      </c>
      <c r="L69" s="1901" t="s">
        <v>2308</v>
      </c>
      <c r="M69" s="1901" t="s">
        <v>2309</v>
      </c>
      <c r="N69" s="1901" t="s">
        <v>2310</v>
      </c>
      <c r="O69" s="1619"/>
      <c r="P69" s="1619"/>
      <c r="Q69" s="3044"/>
      <c r="R69" s="3044"/>
      <c r="S69" s="3044"/>
      <c r="T69" s="3044"/>
      <c r="U69" s="3044"/>
      <c r="V69" s="3044"/>
      <c r="W69" s="3044"/>
      <c r="X69" s="1619"/>
      <c r="Y69" s="1619"/>
      <c r="Z69" s="1619"/>
      <c r="AA69" s="1619"/>
      <c r="AB69" s="1619"/>
      <c r="AC69" s="1619"/>
      <c r="AD69" s="1619"/>
      <c r="AE69" s="1619"/>
      <c r="AF69" s="1619"/>
      <c r="AG69" s="1619"/>
    </row>
    <row r="70" spans="1:33" s="2260" customFormat="1" ht="51">
      <c r="A70" s="2273" t="s">
        <v>2669</v>
      </c>
      <c r="B70" s="2277" t="str">
        <f>估价对象房地状况!C15</f>
        <v>估价对象周边居住用地比例、居住小区规模和社区发展完善程度，综合评价居住社区成熟度一般</v>
      </c>
      <c r="C70" s="3159" t="s">
        <v>2910</v>
      </c>
      <c r="D70" s="2278">
        <f t="shared" ref="D70:D78" si="20">SUMIF($J$69:$N$69,C70,J70:N70)</f>
        <v>6.1000000000000004E-3</v>
      </c>
      <c r="E70" s="2279">
        <f>ROUND(SUM(D70:D78),4)</f>
        <v>6.5600000000000006E-2</v>
      </c>
      <c r="F70" s="2280">
        <f>IF(E2="住宅",SUMIF(L1:L12,G2,N1:N12),"——")</f>
        <v>8.7999999999999995E-2</v>
      </c>
      <c r="G70" s="2281">
        <f>H70</f>
        <v>6.1000000000000004E-3</v>
      </c>
      <c r="H70" s="2282">
        <f t="shared" ref="H70:H78" si="21">IFERROR(ROUNDDOWN($F$70*I70/2,4),"——")</f>
        <v>6.1000000000000004E-3</v>
      </c>
      <c r="I70" s="2283">
        <v>0.14000000000000001</v>
      </c>
      <c r="J70" s="2284">
        <f t="shared" ref="J70:J78" si="22">K70+$G70</f>
        <v>1.2200000000000001E-2</v>
      </c>
      <c r="K70" s="2284">
        <f t="shared" ref="K70:K78" si="23">$L70+$G70</f>
        <v>6.1000000000000004E-3</v>
      </c>
      <c r="L70" s="2284">
        <v>0</v>
      </c>
      <c r="M70" s="2284">
        <f t="shared" ref="M70:N78" si="24">L70-$G70</f>
        <v>-6.1000000000000004E-3</v>
      </c>
      <c r="N70" s="2284">
        <f t="shared" si="24"/>
        <v>-1.2200000000000001E-2</v>
      </c>
      <c r="O70" s="1619"/>
      <c r="P70" s="1619"/>
      <c r="Q70" s="3044"/>
      <c r="R70" s="3044"/>
      <c r="S70" s="3044"/>
      <c r="T70" s="3044"/>
      <c r="U70" s="3044"/>
      <c r="V70" s="3044"/>
      <c r="W70" s="3044"/>
      <c r="X70" s="1619"/>
      <c r="Y70" s="1619"/>
      <c r="Z70" s="1619"/>
      <c r="AA70" s="1619"/>
      <c r="AB70" s="1619"/>
      <c r="AC70" s="1619"/>
      <c r="AD70" s="1619"/>
      <c r="AE70" s="1619"/>
      <c r="AF70" s="1619"/>
      <c r="AG70" s="1619"/>
    </row>
    <row r="71" spans="1:33" s="2260" customFormat="1" ht="51">
      <c r="A71" s="2273" t="s">
        <v>2653</v>
      </c>
      <c r="B71" s="2285" t="str">
        <f>估价对象房地状况!C18</f>
        <v>估价对象周边道路状况、公共交通通达情况、停车便捷程度，综合评价交通便捷度较好</v>
      </c>
      <c r="C71" s="3159" t="s">
        <v>2911</v>
      </c>
      <c r="D71" s="2278">
        <f t="shared" si="20"/>
        <v>2.64E-2</v>
      </c>
      <c r="E71" s="2286"/>
      <c r="F71" s="2280"/>
      <c r="G71" s="2281">
        <f t="shared" ref="G71:G78" si="25">H71</f>
        <v>1.32E-2</v>
      </c>
      <c r="H71" s="2282">
        <f t="shared" si="21"/>
        <v>1.32E-2</v>
      </c>
      <c r="I71" s="2283">
        <v>0.3</v>
      </c>
      <c r="J71" s="2284">
        <f t="shared" si="22"/>
        <v>2.64E-2</v>
      </c>
      <c r="K71" s="2284">
        <f t="shared" si="23"/>
        <v>1.32E-2</v>
      </c>
      <c r="L71" s="2284">
        <v>0</v>
      </c>
      <c r="M71" s="2284">
        <f t="shared" si="24"/>
        <v>-1.32E-2</v>
      </c>
      <c r="N71" s="2284">
        <f t="shared" si="24"/>
        <v>-2.64E-2</v>
      </c>
      <c r="O71" s="1619"/>
      <c r="P71" s="1619"/>
      <c r="Q71" s="3044"/>
      <c r="R71" s="3044"/>
      <c r="S71" s="3044"/>
      <c r="T71" s="3044"/>
      <c r="U71" s="3044"/>
      <c r="V71" s="3044"/>
      <c r="W71" s="3044"/>
      <c r="X71" s="1619"/>
      <c r="Y71" s="1619"/>
      <c r="Z71" s="1619"/>
      <c r="AA71" s="1619"/>
      <c r="AB71" s="1619"/>
      <c r="AC71" s="1619"/>
      <c r="AD71" s="1619"/>
      <c r="AE71" s="1619"/>
      <c r="AF71" s="1619"/>
      <c r="AG71" s="1619"/>
    </row>
    <row r="72" spans="1:33" s="2260" customFormat="1" ht="24">
      <c r="A72" s="2273" t="s">
        <v>2654</v>
      </c>
      <c r="B72" s="2285">
        <f>估价对象房地状况!C19</f>
        <v>0</v>
      </c>
      <c r="C72" s="3159" t="s">
        <v>2910</v>
      </c>
      <c r="D72" s="2278">
        <f t="shared" si="20"/>
        <v>3.5000000000000001E-3</v>
      </c>
      <c r="E72" s="2286"/>
      <c r="F72" s="2280"/>
      <c r="G72" s="2281">
        <f t="shared" si="25"/>
        <v>3.5000000000000001E-3</v>
      </c>
      <c r="H72" s="2282">
        <f t="shared" si="21"/>
        <v>3.5000000000000001E-3</v>
      </c>
      <c r="I72" s="2283">
        <v>0.08</v>
      </c>
      <c r="J72" s="2284">
        <f t="shared" si="22"/>
        <v>7.0000000000000001E-3</v>
      </c>
      <c r="K72" s="2284">
        <f t="shared" si="23"/>
        <v>3.5000000000000001E-3</v>
      </c>
      <c r="L72" s="2284">
        <v>0</v>
      </c>
      <c r="M72" s="2284">
        <f t="shared" si="24"/>
        <v>-3.5000000000000001E-3</v>
      </c>
      <c r="N72" s="2284">
        <f t="shared" si="24"/>
        <v>-7.0000000000000001E-3</v>
      </c>
      <c r="O72" s="1619"/>
      <c r="P72" s="1619"/>
      <c r="Q72" s="3044"/>
      <c r="R72" s="3044"/>
      <c r="S72" s="3044"/>
      <c r="T72" s="3044"/>
      <c r="U72" s="3044"/>
      <c r="V72" s="3044"/>
      <c r="W72" s="3044"/>
      <c r="X72" s="1619"/>
      <c r="Y72" s="1619"/>
      <c r="Z72" s="1619"/>
      <c r="AA72" s="1619"/>
      <c r="AB72" s="1619"/>
      <c r="AC72" s="1619"/>
      <c r="AD72" s="1619"/>
      <c r="AE72" s="1619"/>
      <c r="AF72" s="1619"/>
      <c r="AG72" s="1619"/>
    </row>
    <row r="73" spans="1:33" s="2260" customFormat="1" ht="14.25">
      <c r="A73" s="2273" t="s">
        <v>2670</v>
      </c>
      <c r="B73" s="2285">
        <f>估价对象房地状况!C24</f>
        <v>0</v>
      </c>
      <c r="C73" s="3159" t="s">
        <v>2910</v>
      </c>
      <c r="D73" s="2278">
        <f t="shared" si="20"/>
        <v>1.6999999999999999E-3</v>
      </c>
      <c r="E73" s="2286"/>
      <c r="F73" s="2280"/>
      <c r="G73" s="2281">
        <f t="shared" si="25"/>
        <v>1.6999999999999999E-3</v>
      </c>
      <c r="H73" s="2282">
        <f t="shared" si="21"/>
        <v>1.6999999999999999E-3</v>
      </c>
      <c r="I73" s="2283">
        <v>0.04</v>
      </c>
      <c r="J73" s="2284">
        <f t="shared" si="22"/>
        <v>3.3999999999999998E-3</v>
      </c>
      <c r="K73" s="2284">
        <f t="shared" si="23"/>
        <v>1.6999999999999999E-3</v>
      </c>
      <c r="L73" s="2284">
        <v>0</v>
      </c>
      <c r="M73" s="2284">
        <f t="shared" si="24"/>
        <v>-1.6999999999999999E-3</v>
      </c>
      <c r="N73" s="2284">
        <f t="shared" si="24"/>
        <v>-3.3999999999999998E-3</v>
      </c>
      <c r="O73" s="1619"/>
      <c r="P73" s="1619"/>
      <c r="Q73" s="3044"/>
      <c r="R73" s="3044"/>
      <c r="S73" s="3044"/>
      <c r="T73" s="3044"/>
      <c r="U73" s="3044"/>
      <c r="V73" s="3044"/>
      <c r="W73" s="3044"/>
      <c r="X73" s="1619"/>
      <c r="Y73" s="1619"/>
      <c r="Z73" s="1619"/>
      <c r="AA73" s="1619"/>
      <c r="AB73" s="1619"/>
      <c r="AC73" s="1619"/>
      <c r="AD73" s="1619"/>
      <c r="AE73" s="1619"/>
      <c r="AF73" s="1619"/>
      <c r="AG73" s="1619"/>
    </row>
    <row r="74" spans="1:33" s="2260" customFormat="1" ht="25.5">
      <c r="A74" s="2273" t="s">
        <v>2660</v>
      </c>
      <c r="B74" s="2290" t="str">
        <f>估价对象房地状况!C21</f>
        <v>估价对象所在区域公共配套设施齐备情况</v>
      </c>
      <c r="C74" s="3159" t="s">
        <v>2911</v>
      </c>
      <c r="D74" s="2278">
        <f t="shared" si="20"/>
        <v>7.0000000000000001E-3</v>
      </c>
      <c r="E74" s="2286"/>
      <c r="F74" s="2280"/>
      <c r="G74" s="2281">
        <f t="shared" si="25"/>
        <v>3.5000000000000001E-3</v>
      </c>
      <c r="H74" s="2282">
        <f t="shared" si="21"/>
        <v>3.5000000000000001E-3</v>
      </c>
      <c r="I74" s="2283">
        <v>0.08</v>
      </c>
      <c r="J74" s="2284">
        <f t="shared" si="22"/>
        <v>7.0000000000000001E-3</v>
      </c>
      <c r="K74" s="2284">
        <f t="shared" si="23"/>
        <v>3.5000000000000001E-3</v>
      </c>
      <c r="L74" s="2284">
        <v>0</v>
      </c>
      <c r="M74" s="2284">
        <f t="shared" si="24"/>
        <v>-3.5000000000000001E-3</v>
      </c>
      <c r="N74" s="2284">
        <f t="shared" si="24"/>
        <v>-7.0000000000000001E-3</v>
      </c>
      <c r="O74" s="1619"/>
      <c r="P74" s="1619"/>
      <c r="Q74" s="3044"/>
      <c r="R74" s="3044"/>
      <c r="S74" s="3044"/>
      <c r="T74" s="3044"/>
      <c r="U74" s="3044"/>
      <c r="V74" s="3044"/>
      <c r="W74" s="3044"/>
      <c r="X74" s="1619"/>
      <c r="Y74" s="1619"/>
      <c r="Z74" s="1619"/>
      <c r="AA74" s="1619"/>
      <c r="AB74" s="1619"/>
      <c r="AC74" s="1619"/>
      <c r="AD74" s="1619"/>
      <c r="AE74" s="1619"/>
      <c r="AF74" s="1619"/>
      <c r="AG74" s="1619"/>
    </row>
    <row r="75" spans="1:33" s="2260" customFormat="1" ht="25.5">
      <c r="A75" s="2273" t="s">
        <v>2661</v>
      </c>
      <c r="B75" s="2290" t="str">
        <f>估价对象房地状况!C22</f>
        <v>估价对象所在区域基础设施水平</v>
      </c>
      <c r="C75" s="3159" t="s">
        <v>2912</v>
      </c>
      <c r="D75" s="2278">
        <f t="shared" si="20"/>
        <v>1.04E-2</v>
      </c>
      <c r="E75" s="2286"/>
      <c r="F75" s="2280"/>
      <c r="G75" s="2281">
        <f t="shared" si="25"/>
        <v>5.1999999999999998E-3</v>
      </c>
      <c r="H75" s="2282">
        <f t="shared" si="21"/>
        <v>5.1999999999999998E-3</v>
      </c>
      <c r="I75" s="2283">
        <v>0.12</v>
      </c>
      <c r="J75" s="2284">
        <f t="shared" si="22"/>
        <v>1.04E-2</v>
      </c>
      <c r="K75" s="2284">
        <f t="shared" si="23"/>
        <v>5.1999999999999998E-3</v>
      </c>
      <c r="L75" s="2284">
        <v>0</v>
      </c>
      <c r="M75" s="2284">
        <f t="shared" si="24"/>
        <v>-5.1999999999999998E-3</v>
      </c>
      <c r="N75" s="2284">
        <f t="shared" si="24"/>
        <v>-1.04E-2</v>
      </c>
      <c r="O75" s="1619"/>
      <c r="P75" s="1619"/>
      <c r="Q75" s="3044"/>
      <c r="R75" s="3044"/>
      <c r="S75" s="3044"/>
      <c r="T75" s="3044"/>
      <c r="U75" s="3044"/>
      <c r="V75" s="3044"/>
      <c r="W75" s="3044"/>
      <c r="X75" s="1619"/>
      <c r="Y75" s="1619"/>
      <c r="Z75" s="1619"/>
      <c r="AA75" s="1619"/>
      <c r="AB75" s="1619"/>
      <c r="AC75" s="1619"/>
      <c r="AD75" s="1619"/>
      <c r="AE75" s="1619"/>
      <c r="AF75" s="1619"/>
      <c r="AG75" s="1619"/>
    </row>
    <row r="76" spans="1:33" ht="24">
      <c r="A76" s="2273" t="s">
        <v>2658</v>
      </c>
      <c r="B76" s="2288" t="s">
        <v>2659</v>
      </c>
      <c r="C76" s="3159" t="s">
        <v>2910</v>
      </c>
      <c r="D76" s="2278">
        <f t="shared" si="20"/>
        <v>2.2000000000000001E-3</v>
      </c>
      <c r="E76" s="2286"/>
      <c r="F76" s="2280"/>
      <c r="G76" s="2281">
        <f t="shared" si="25"/>
        <v>2.2000000000000001E-3</v>
      </c>
      <c r="H76" s="2282">
        <f t="shared" si="21"/>
        <v>2.2000000000000001E-3</v>
      </c>
      <c r="I76" s="2283">
        <v>0.05</v>
      </c>
      <c r="J76" s="2284">
        <f t="shared" si="22"/>
        <v>4.4000000000000003E-3</v>
      </c>
      <c r="K76" s="2284">
        <f t="shared" si="23"/>
        <v>2.2000000000000001E-3</v>
      </c>
      <c r="L76" s="2284">
        <v>0</v>
      </c>
      <c r="M76" s="2284">
        <f t="shared" si="24"/>
        <v>-2.2000000000000001E-3</v>
      </c>
      <c r="N76" s="2284">
        <f t="shared" si="24"/>
        <v>-4.4000000000000003E-3</v>
      </c>
      <c r="Q76" s="3052"/>
      <c r="R76" s="3052"/>
      <c r="S76" s="3052"/>
      <c r="T76" s="3052"/>
      <c r="U76" s="3052"/>
      <c r="V76" s="3052"/>
      <c r="W76" s="3052"/>
      <c r="AA76" s="1620"/>
      <c r="AG76" s="2260"/>
    </row>
    <row r="77" spans="1:33" ht="38.25">
      <c r="A77" s="2273" t="s">
        <v>2662</v>
      </c>
      <c r="B77" s="2277" t="str">
        <f>估价对象房地状况!C20</f>
        <v>区域自然环境：；人文环境；综合评价环境状况一般</v>
      </c>
      <c r="C77" s="3159" t="s">
        <v>2910</v>
      </c>
      <c r="D77" s="2278">
        <f t="shared" si="20"/>
        <v>6.6E-3</v>
      </c>
      <c r="E77" s="2286"/>
      <c r="F77" s="2280"/>
      <c r="G77" s="2281">
        <f t="shared" si="25"/>
        <v>6.6E-3</v>
      </c>
      <c r="H77" s="2282">
        <f t="shared" si="21"/>
        <v>6.6E-3</v>
      </c>
      <c r="I77" s="2283">
        <v>0.15</v>
      </c>
      <c r="J77" s="2284">
        <f t="shared" si="22"/>
        <v>1.32E-2</v>
      </c>
      <c r="K77" s="2284">
        <f t="shared" si="23"/>
        <v>6.6E-3</v>
      </c>
      <c r="L77" s="2284">
        <v>0</v>
      </c>
      <c r="M77" s="2284">
        <f t="shared" si="24"/>
        <v>-6.6E-3</v>
      </c>
      <c r="N77" s="2284">
        <f t="shared" si="24"/>
        <v>-1.32E-2</v>
      </c>
      <c r="Q77" s="3052"/>
      <c r="R77" s="3052"/>
      <c r="S77" s="3052"/>
      <c r="T77" s="3052"/>
      <c r="U77" s="3052"/>
      <c r="V77" s="3052"/>
      <c r="W77" s="3052"/>
      <c r="AA77" s="1620"/>
      <c r="AG77" s="2260"/>
    </row>
    <row r="78" spans="1:33" ht="24.75" thickBot="1">
      <c r="A78" s="2291" t="s">
        <v>2671</v>
      </c>
      <c r="B78" s="2297"/>
      <c r="C78" s="3159" t="s">
        <v>2910</v>
      </c>
      <c r="D78" s="2278">
        <f t="shared" si="20"/>
        <v>1.6999999999999999E-3</v>
      </c>
      <c r="E78" s="2293"/>
      <c r="F78" s="2280"/>
      <c r="G78" s="2281">
        <f t="shared" si="25"/>
        <v>1.6999999999999999E-3</v>
      </c>
      <c r="H78" s="2282">
        <f t="shared" si="21"/>
        <v>1.6999999999999999E-3</v>
      </c>
      <c r="I78" s="2294">
        <v>0.04</v>
      </c>
      <c r="J78" s="2284">
        <f t="shared" si="22"/>
        <v>3.3999999999999998E-3</v>
      </c>
      <c r="K78" s="2284">
        <f t="shared" si="23"/>
        <v>1.6999999999999999E-3</v>
      </c>
      <c r="L78" s="2284">
        <v>0</v>
      </c>
      <c r="M78" s="2284">
        <f t="shared" si="24"/>
        <v>-1.6999999999999999E-3</v>
      </c>
      <c r="N78" s="2284">
        <f t="shared" si="24"/>
        <v>-3.3999999999999998E-3</v>
      </c>
      <c r="Q78" s="3052"/>
      <c r="R78" s="3052"/>
      <c r="S78" s="3052"/>
      <c r="T78" s="3052"/>
      <c r="U78" s="3052"/>
      <c r="V78" s="3052"/>
      <c r="W78" s="3052"/>
      <c r="AA78" s="1620"/>
      <c r="AG78" s="2260"/>
    </row>
    <row r="79" spans="1:33" ht="15">
      <c r="A79" s="2266" t="s">
        <v>2672</v>
      </c>
      <c r="B79" s="2295">
        <f>1+E81</f>
        <v>1</v>
      </c>
      <c r="C79" s="2269"/>
      <c r="D79" s="2269"/>
      <c r="E79" s="2270"/>
      <c r="F79" s="2271"/>
      <c r="G79" s="608"/>
      <c r="H79" s="608"/>
      <c r="I79" s="608"/>
      <c r="J79" s="608"/>
      <c r="K79" s="608"/>
      <c r="L79" s="608"/>
      <c r="M79" s="608"/>
      <c r="N79" s="608"/>
      <c r="Q79" s="3052"/>
      <c r="R79" s="3052"/>
      <c r="S79" s="3052"/>
      <c r="T79" s="3052"/>
      <c r="U79" s="3052"/>
      <c r="V79" s="3052"/>
      <c r="W79" s="3052"/>
      <c r="AA79" s="1620"/>
      <c r="AG79" s="2260"/>
    </row>
    <row r="80" spans="1:33" ht="24.75">
      <c r="A80" s="2273" t="s">
        <v>2638</v>
      </c>
      <c r="B80" s="2285"/>
      <c r="C80" s="2274" t="s">
        <v>2640</v>
      </c>
      <c r="D80" s="2274" t="s">
        <v>2641</v>
      </c>
      <c r="E80" s="2275" t="s">
        <v>2642</v>
      </c>
      <c r="F80" s="2225" t="s">
        <v>2643</v>
      </c>
      <c r="G80" s="2274" t="s">
        <v>2664</v>
      </c>
      <c r="H80" s="2276" t="s">
        <v>2665</v>
      </c>
      <c r="I80" s="2274" t="s">
        <v>2666</v>
      </c>
      <c r="J80" s="1901" t="s">
        <v>2306</v>
      </c>
      <c r="K80" s="1901" t="s">
        <v>2307</v>
      </c>
      <c r="L80" s="1901" t="s">
        <v>2308</v>
      </c>
      <c r="M80" s="1901" t="s">
        <v>2309</v>
      </c>
      <c r="N80" s="1901" t="s">
        <v>2310</v>
      </c>
      <c r="Q80" s="3052"/>
      <c r="R80" s="3052"/>
      <c r="S80" s="3052"/>
      <c r="T80" s="3052"/>
      <c r="U80" s="3052"/>
      <c r="V80" s="3052"/>
      <c r="W80" s="3052"/>
      <c r="AA80" s="1620"/>
      <c r="AG80" s="2260"/>
    </row>
    <row r="81" spans="1:33" ht="38.25">
      <c r="A81" s="2273" t="s">
        <v>2673</v>
      </c>
      <c r="B81" s="2285" t="str">
        <f>估价对象房地状况!G15</f>
        <v>估价对象位于XX开发区，园区建设成熟度XX，产业集聚程度XX</v>
      </c>
      <c r="C81" s="2161"/>
      <c r="D81" s="2278">
        <f t="shared" ref="D81:D88" si="26">SUMIF($J$80:$N$80,C81,J81:N81)</f>
        <v>0</v>
      </c>
      <c r="E81" s="2279">
        <f>ROUND(SUM(D81:D88),4)</f>
        <v>0</v>
      </c>
      <c r="F81" s="2280" t="str">
        <f>IF(E2="工业",SUMIF(L1:L12,G2,N1:N12),"——")</f>
        <v>——</v>
      </c>
      <c r="G81" s="2281"/>
      <c r="H81" s="2282" t="str">
        <f t="shared" ref="H81:H88" si="27">IFERROR(ROUNDDOWN($F$81*I81/2,4),"——")</f>
        <v>——</v>
      </c>
      <c r="I81" s="2283">
        <v>0.26</v>
      </c>
      <c r="J81" s="2284">
        <f t="shared" ref="J81:J88" si="28">K81+$G81</f>
        <v>0</v>
      </c>
      <c r="K81" s="2284">
        <f t="shared" ref="K81:K88" si="29">$L81+$G81</f>
        <v>0</v>
      </c>
      <c r="L81" s="2284">
        <v>0</v>
      </c>
      <c r="M81" s="2284">
        <f t="shared" ref="M81:N88" si="30">L81-$G81</f>
        <v>0</v>
      </c>
      <c r="N81" s="2284">
        <f t="shared" si="30"/>
        <v>0</v>
      </c>
      <c r="Q81" s="3052"/>
      <c r="R81" s="3052"/>
      <c r="S81" s="3052"/>
      <c r="T81" s="3052"/>
      <c r="U81" s="3052"/>
      <c r="V81" s="3052"/>
      <c r="W81" s="3052"/>
      <c r="AA81" s="1620"/>
      <c r="AG81" s="2260"/>
    </row>
    <row r="82" spans="1:33" ht="51">
      <c r="A82" s="2273" t="s">
        <v>2653</v>
      </c>
      <c r="B82" s="2285" t="str">
        <f>估价对象房地状况!G16</f>
        <v>估价对象周边道路状况、公共交通通达情况、停车便捷程度，综合评价交通便捷度较好</v>
      </c>
      <c r="C82" s="2161"/>
      <c r="D82" s="2278">
        <f t="shared" si="26"/>
        <v>0</v>
      </c>
      <c r="E82" s="2286"/>
      <c r="F82" s="2280"/>
      <c r="G82" s="2281"/>
      <c r="H82" s="2282" t="str">
        <f t="shared" si="27"/>
        <v>——</v>
      </c>
      <c r="I82" s="2283">
        <v>0.33</v>
      </c>
      <c r="J82" s="2284">
        <f t="shared" si="28"/>
        <v>0</v>
      </c>
      <c r="K82" s="2284">
        <f t="shared" si="29"/>
        <v>0</v>
      </c>
      <c r="L82" s="2284">
        <v>0</v>
      </c>
      <c r="M82" s="2284">
        <f t="shared" si="30"/>
        <v>0</v>
      </c>
      <c r="N82" s="2284">
        <f t="shared" si="30"/>
        <v>0</v>
      </c>
      <c r="Q82" s="3052"/>
      <c r="R82" s="3052"/>
      <c r="S82" s="3052"/>
      <c r="T82" s="3052"/>
      <c r="U82" s="3052"/>
      <c r="V82" s="3052"/>
      <c r="W82" s="3052"/>
      <c r="AA82" s="1620"/>
      <c r="AG82" s="2260"/>
    </row>
    <row r="83" spans="1:33" ht="24">
      <c r="A83" s="2273" t="s">
        <v>2654</v>
      </c>
      <c r="B83" s="2285">
        <f>估价对象房地状况!G17</f>
        <v>0</v>
      </c>
      <c r="C83" s="2161"/>
      <c r="D83" s="2278">
        <f t="shared" si="26"/>
        <v>0</v>
      </c>
      <c r="E83" s="2286"/>
      <c r="F83" s="2280"/>
      <c r="G83" s="2281"/>
      <c r="H83" s="2282" t="str">
        <f t="shared" si="27"/>
        <v>——</v>
      </c>
      <c r="I83" s="2283">
        <v>0.05</v>
      </c>
      <c r="J83" s="2284">
        <f t="shared" si="28"/>
        <v>0</v>
      </c>
      <c r="K83" s="2284">
        <f t="shared" si="29"/>
        <v>0</v>
      </c>
      <c r="L83" s="2284">
        <v>0</v>
      </c>
      <c r="M83" s="2284">
        <f t="shared" si="30"/>
        <v>0</v>
      </c>
      <c r="N83" s="2284">
        <f t="shared" si="30"/>
        <v>0</v>
      </c>
      <c r="Q83" s="3052"/>
      <c r="R83" s="3052"/>
      <c r="S83" s="3052"/>
      <c r="T83" s="3052"/>
      <c r="U83" s="3052"/>
      <c r="V83" s="3052"/>
      <c r="W83" s="3052"/>
      <c r="AA83" s="1620"/>
      <c r="AG83" s="2260"/>
    </row>
    <row r="84" spans="1:33" ht="14.25">
      <c r="A84" s="2273" t="s">
        <v>2670</v>
      </c>
      <c r="B84" s="2285">
        <f>估价对象房地状况!G22</f>
        <v>0</v>
      </c>
      <c r="C84" s="2161"/>
      <c r="D84" s="2278">
        <f t="shared" si="26"/>
        <v>0</v>
      </c>
      <c r="E84" s="2286"/>
      <c r="F84" s="2280"/>
      <c r="G84" s="2281"/>
      <c r="H84" s="2282" t="str">
        <f t="shared" si="27"/>
        <v>——</v>
      </c>
      <c r="I84" s="2283">
        <v>0.04</v>
      </c>
      <c r="J84" s="2284">
        <f t="shared" si="28"/>
        <v>0</v>
      </c>
      <c r="K84" s="2284">
        <f t="shared" si="29"/>
        <v>0</v>
      </c>
      <c r="L84" s="2284">
        <v>0</v>
      </c>
      <c r="M84" s="2284">
        <f t="shared" si="30"/>
        <v>0</v>
      </c>
      <c r="N84" s="2284">
        <f t="shared" si="30"/>
        <v>0</v>
      </c>
      <c r="Q84" s="3052"/>
      <c r="R84" s="3052"/>
      <c r="S84" s="3052"/>
      <c r="T84" s="3052"/>
      <c r="U84" s="3052"/>
      <c r="V84" s="3052"/>
      <c r="W84" s="3052"/>
      <c r="AA84" s="1620"/>
      <c r="AG84" s="2260"/>
    </row>
    <row r="85" spans="1:33" ht="25.5">
      <c r="A85" s="2273" t="s">
        <v>2660</v>
      </c>
      <c r="B85" s="2290" t="str">
        <f>估价对象房地状况!G19</f>
        <v>估价对象所在区域公共配套设施齐备情况</v>
      </c>
      <c r="C85" s="2161"/>
      <c r="D85" s="2278">
        <f t="shared" si="26"/>
        <v>0</v>
      </c>
      <c r="E85" s="2286"/>
      <c r="F85" s="2280"/>
      <c r="G85" s="2281"/>
      <c r="H85" s="2282" t="str">
        <f t="shared" si="27"/>
        <v>——</v>
      </c>
      <c r="I85" s="2283">
        <v>0.06</v>
      </c>
      <c r="J85" s="2284">
        <f t="shared" si="28"/>
        <v>0</v>
      </c>
      <c r="K85" s="2284">
        <f t="shared" si="29"/>
        <v>0</v>
      </c>
      <c r="L85" s="2284">
        <v>0</v>
      </c>
      <c r="M85" s="2284">
        <f t="shared" si="30"/>
        <v>0</v>
      </c>
      <c r="N85" s="2284">
        <f t="shared" si="30"/>
        <v>0</v>
      </c>
      <c r="Q85" s="3052"/>
      <c r="R85" s="3052"/>
      <c r="S85" s="3052"/>
      <c r="T85" s="3052"/>
      <c r="U85" s="3052"/>
      <c r="V85" s="3052"/>
      <c r="W85" s="3052"/>
      <c r="AA85" s="1620"/>
      <c r="AG85" s="2260"/>
    </row>
    <row r="86" spans="1:33" ht="25.5">
      <c r="A86" s="2273" t="s">
        <v>2661</v>
      </c>
      <c r="B86" s="2290" t="str">
        <f>估价对象房地状况!G20</f>
        <v>估价对象所在区域基础设施水平</v>
      </c>
      <c r="C86" s="2161"/>
      <c r="D86" s="2278">
        <f t="shared" si="26"/>
        <v>0</v>
      </c>
      <c r="E86" s="2286"/>
      <c r="F86" s="2280"/>
      <c r="G86" s="2281"/>
      <c r="H86" s="2282" t="str">
        <f t="shared" si="27"/>
        <v>——</v>
      </c>
      <c r="I86" s="2283">
        <v>0.15</v>
      </c>
      <c r="J86" s="2284">
        <f t="shared" si="28"/>
        <v>0</v>
      </c>
      <c r="K86" s="2284">
        <f t="shared" si="29"/>
        <v>0</v>
      </c>
      <c r="L86" s="2284">
        <v>0</v>
      </c>
      <c r="M86" s="2284">
        <f t="shared" si="30"/>
        <v>0</v>
      </c>
      <c r="N86" s="2284">
        <f t="shared" si="30"/>
        <v>0</v>
      </c>
      <c r="Q86" s="3052"/>
      <c r="R86" s="3052"/>
      <c r="S86" s="3052"/>
      <c r="T86" s="3052"/>
      <c r="U86" s="3052"/>
      <c r="V86" s="3052"/>
      <c r="W86" s="3052"/>
      <c r="AA86" s="1620"/>
      <c r="AG86" s="2260"/>
    </row>
    <row r="87" spans="1:33" ht="24">
      <c r="A87" s="2273" t="s">
        <v>2658</v>
      </c>
      <c r="B87" s="2288" t="s">
        <v>2659</v>
      </c>
      <c r="C87" s="2161"/>
      <c r="D87" s="2278">
        <f t="shared" si="26"/>
        <v>0</v>
      </c>
      <c r="E87" s="2286"/>
      <c r="F87" s="2280"/>
      <c r="G87" s="2281"/>
      <c r="H87" s="2282" t="str">
        <f t="shared" si="27"/>
        <v>——</v>
      </c>
      <c r="I87" s="2283">
        <v>0.05</v>
      </c>
      <c r="J87" s="2284">
        <f t="shared" si="28"/>
        <v>0</v>
      </c>
      <c r="K87" s="2284">
        <f t="shared" si="29"/>
        <v>0</v>
      </c>
      <c r="L87" s="2284">
        <v>0</v>
      </c>
      <c r="M87" s="2284">
        <f t="shared" si="30"/>
        <v>0</v>
      </c>
      <c r="N87" s="2284">
        <f t="shared" si="30"/>
        <v>0</v>
      </c>
      <c r="Q87" s="3052"/>
      <c r="R87" s="3052"/>
      <c r="S87" s="3052"/>
      <c r="T87" s="3052"/>
      <c r="U87" s="3052"/>
      <c r="V87" s="3052"/>
      <c r="W87" s="3052"/>
      <c r="AA87" s="1620"/>
      <c r="AG87" s="2260"/>
    </row>
    <row r="88" spans="1:33" ht="39" thickBot="1">
      <c r="A88" s="2291" t="s">
        <v>2674</v>
      </c>
      <c r="B88" s="2298" t="str">
        <f>估价对象房地状况!G18</f>
        <v>该园区内是否有污染型企业，绿化情况，卫生条件，整体环境状况判断</v>
      </c>
      <c r="C88" s="2299"/>
      <c r="D88" s="2300">
        <f t="shared" si="26"/>
        <v>0</v>
      </c>
      <c r="E88" s="2293"/>
      <c r="F88" s="2280"/>
      <c r="G88" s="2281"/>
      <c r="H88" s="2282" t="str">
        <f t="shared" si="27"/>
        <v>——</v>
      </c>
      <c r="I88" s="2294">
        <v>0.06</v>
      </c>
      <c r="J88" s="2284">
        <f t="shared" si="28"/>
        <v>0</v>
      </c>
      <c r="K88" s="2284">
        <f t="shared" si="29"/>
        <v>0</v>
      </c>
      <c r="L88" s="2284">
        <v>0</v>
      </c>
      <c r="M88" s="2284">
        <f t="shared" si="30"/>
        <v>0</v>
      </c>
      <c r="N88" s="2284">
        <f t="shared" si="30"/>
        <v>0</v>
      </c>
      <c r="Q88" s="3052"/>
      <c r="R88" s="3052"/>
      <c r="S88" s="3052"/>
      <c r="T88" s="3052"/>
      <c r="U88" s="3052"/>
      <c r="V88" s="3052"/>
      <c r="W88" s="3052"/>
      <c r="AA88" s="1620"/>
      <c r="AG88" s="2260"/>
    </row>
    <row r="89" spans="1:33">
      <c r="Q89" s="3052"/>
      <c r="R89" s="3052"/>
      <c r="S89" s="3052"/>
      <c r="T89" s="3052"/>
      <c r="U89" s="3052"/>
      <c r="V89" s="3052"/>
      <c r="W89" s="3052"/>
    </row>
    <row r="90" spans="1:33">
      <c r="A90" s="3482" t="s">
        <v>2675</v>
      </c>
      <c r="B90" s="3482"/>
      <c r="C90" s="3482"/>
      <c r="D90" s="3482"/>
      <c r="E90" s="3482"/>
      <c r="F90" s="3482"/>
      <c r="G90" s="3482"/>
      <c r="H90" s="3482"/>
      <c r="I90" s="3482"/>
      <c r="J90" s="3482"/>
      <c r="K90" s="2301"/>
      <c r="L90" s="2301"/>
      <c r="M90" s="2301"/>
      <c r="N90" s="2301"/>
      <c r="Q90" s="3052"/>
      <c r="R90" s="3052"/>
      <c r="S90" s="3052"/>
      <c r="T90" s="3052"/>
      <c r="U90" s="3052"/>
      <c r="V90" s="3052"/>
      <c r="W90" s="3052"/>
    </row>
    <row r="91" spans="1:33">
      <c r="A91" s="3484" t="s">
        <v>2676</v>
      </c>
      <c r="B91" s="3484" t="s">
        <v>2677</v>
      </c>
      <c r="C91" s="2240" t="s">
        <v>2678</v>
      </c>
      <c r="D91" s="2241"/>
      <c r="E91" s="2241"/>
      <c r="F91" s="2241"/>
      <c r="G91" s="2241"/>
      <c r="H91" s="2241"/>
      <c r="I91" s="2241"/>
      <c r="J91" s="2303"/>
      <c r="K91" s="2063"/>
      <c r="L91" s="2063"/>
      <c r="M91" s="2063"/>
      <c r="N91" s="2063"/>
      <c r="Q91" s="3052"/>
      <c r="R91" s="3052"/>
      <c r="S91" s="3052"/>
      <c r="T91" s="3052"/>
      <c r="U91" s="3052"/>
      <c r="V91" s="3052"/>
      <c r="W91" s="3052"/>
    </row>
    <row r="92" spans="1:33">
      <c r="A92" s="3484"/>
      <c r="B92" s="3484"/>
      <c r="C92" s="2026" t="s">
        <v>2531</v>
      </c>
      <c r="D92" s="2026" t="s">
        <v>2532</v>
      </c>
      <c r="E92" s="2026" t="s">
        <v>2533</v>
      </c>
      <c r="F92" s="2026" t="s">
        <v>2534</v>
      </c>
      <c r="G92" s="2026" t="s">
        <v>2535</v>
      </c>
      <c r="H92" s="2026" t="s">
        <v>2536</v>
      </c>
      <c r="I92" s="2026" t="s">
        <v>2537</v>
      </c>
      <c r="J92" s="2026" t="s">
        <v>2538</v>
      </c>
      <c r="K92" s="2026" t="s">
        <v>2539</v>
      </c>
      <c r="L92" s="2026" t="s">
        <v>2540</v>
      </c>
      <c r="M92" s="2026" t="s">
        <v>2541</v>
      </c>
      <c r="N92" s="2026" t="s">
        <v>2542</v>
      </c>
      <c r="Q92" s="3052"/>
      <c r="R92" s="3052"/>
      <c r="S92" s="3052"/>
      <c r="T92" s="3052"/>
      <c r="U92" s="3052"/>
      <c r="V92" s="3052"/>
      <c r="W92" s="3052"/>
    </row>
    <row r="93" spans="1:33">
      <c r="A93" s="3485" t="s">
        <v>2679</v>
      </c>
      <c r="B93" s="2304">
        <v>1</v>
      </c>
      <c r="C93" s="2305">
        <v>1.9361999999999999</v>
      </c>
      <c r="D93" s="2305">
        <v>1.9361999999999999</v>
      </c>
      <c r="E93" s="2305">
        <v>1.8629</v>
      </c>
      <c r="F93" s="2305">
        <v>1.8629</v>
      </c>
      <c r="G93" s="2305">
        <v>1.8629</v>
      </c>
      <c r="H93" s="2305">
        <v>1.8629</v>
      </c>
      <c r="I93" s="2305">
        <v>1.8629</v>
      </c>
      <c r="J93" s="2305">
        <v>1.9419999999999999</v>
      </c>
      <c r="K93" s="2305">
        <v>1.9419999999999999</v>
      </c>
      <c r="L93" s="2305">
        <v>1.9419999999999999</v>
      </c>
      <c r="M93" s="2305">
        <v>1.9419999999999999</v>
      </c>
      <c r="N93" s="2305">
        <v>1.9419999999999999</v>
      </c>
      <c r="Q93" s="3052"/>
      <c r="R93" s="3052"/>
      <c r="S93" s="3052"/>
      <c r="T93" s="3052"/>
      <c r="U93" s="3052"/>
      <c r="V93" s="3052"/>
      <c r="W93" s="3052"/>
    </row>
    <row r="94" spans="1:33">
      <c r="A94" s="3486"/>
      <c r="B94" s="2304">
        <v>2</v>
      </c>
      <c r="C94" s="2305">
        <v>1.4198</v>
      </c>
      <c r="D94" s="2305">
        <v>1.4198</v>
      </c>
      <c r="E94" s="2305">
        <v>1.3371999999999999</v>
      </c>
      <c r="F94" s="2305">
        <v>1.3371999999999999</v>
      </c>
      <c r="G94" s="2305">
        <v>1.3371999999999999</v>
      </c>
      <c r="H94" s="2305">
        <v>1.3371999999999999</v>
      </c>
      <c r="I94" s="2305">
        <v>1.3371999999999999</v>
      </c>
      <c r="J94" s="2305">
        <v>1.2799</v>
      </c>
      <c r="K94" s="2305">
        <v>1.2799</v>
      </c>
      <c r="L94" s="2305">
        <v>1.2799</v>
      </c>
      <c r="M94" s="2305">
        <v>1.2799</v>
      </c>
      <c r="N94" s="2305">
        <v>1.2799</v>
      </c>
      <c r="Q94" s="3052"/>
      <c r="R94" s="3052"/>
      <c r="S94" s="3052"/>
      <c r="T94" s="3052"/>
      <c r="U94" s="3052"/>
      <c r="V94" s="3052"/>
      <c r="W94" s="3052"/>
    </row>
    <row r="95" spans="1:33">
      <c r="A95" s="3486"/>
      <c r="B95" s="2304">
        <v>3</v>
      </c>
      <c r="C95" s="2305">
        <v>1.1594</v>
      </c>
      <c r="D95" s="2305">
        <v>1.1594</v>
      </c>
      <c r="E95" s="2305">
        <v>1.0788</v>
      </c>
      <c r="F95" s="2305">
        <v>1.0788</v>
      </c>
      <c r="G95" s="2305">
        <v>1.0788</v>
      </c>
      <c r="H95" s="2305">
        <v>1.0788</v>
      </c>
      <c r="I95" s="2305">
        <v>1.0788</v>
      </c>
      <c r="J95" s="2305">
        <v>1.0072000000000001</v>
      </c>
      <c r="K95" s="2305">
        <v>1.0072000000000001</v>
      </c>
      <c r="L95" s="2305">
        <v>1.0072000000000001</v>
      </c>
      <c r="M95" s="2305">
        <v>1.0072000000000001</v>
      </c>
      <c r="N95" s="2305">
        <v>1.0072000000000001</v>
      </c>
      <c r="Q95" s="3052"/>
      <c r="R95" s="3052"/>
      <c r="S95" s="3052"/>
      <c r="T95" s="3052"/>
      <c r="U95" s="3052"/>
      <c r="V95" s="3052"/>
      <c r="W95" s="3052"/>
    </row>
    <row r="96" spans="1:33">
      <c r="A96" s="3486"/>
      <c r="B96" s="2304">
        <v>4</v>
      </c>
      <c r="C96" s="2305">
        <v>0.96220000000000006</v>
      </c>
      <c r="D96" s="2305">
        <v>0.96220000000000006</v>
      </c>
      <c r="E96" s="2305">
        <v>0.86560000000000004</v>
      </c>
      <c r="F96" s="2305">
        <v>0.86560000000000004</v>
      </c>
      <c r="G96" s="2305">
        <v>0.86560000000000004</v>
      </c>
      <c r="H96" s="2305">
        <v>0.86560000000000004</v>
      </c>
      <c r="I96" s="2305">
        <v>0.86560000000000004</v>
      </c>
      <c r="J96" s="2305">
        <v>0.75249999999999995</v>
      </c>
      <c r="K96" s="2305">
        <v>0.75249999999999995</v>
      </c>
      <c r="L96" s="2305">
        <v>0.75249999999999995</v>
      </c>
      <c r="M96" s="2305">
        <v>0.75249999999999995</v>
      </c>
      <c r="N96" s="2305">
        <v>0.75249999999999995</v>
      </c>
      <c r="Q96" s="3052"/>
      <c r="R96" s="3052"/>
      <c r="S96" s="3052"/>
      <c r="T96" s="3052"/>
      <c r="U96" s="3052"/>
      <c r="V96" s="3052"/>
      <c r="W96" s="3052"/>
    </row>
    <row r="97" spans="1:23">
      <c r="A97" s="3486"/>
      <c r="B97" s="2304">
        <v>5</v>
      </c>
      <c r="C97" s="2305">
        <v>0.8417</v>
      </c>
      <c r="D97" s="2305">
        <v>0.8417</v>
      </c>
      <c r="E97" s="2305">
        <v>0.73709999999999998</v>
      </c>
      <c r="F97" s="2305">
        <v>0.73709999999999998</v>
      </c>
      <c r="G97" s="2305">
        <v>0.73709999999999998</v>
      </c>
      <c r="H97" s="2305">
        <v>0.73709999999999998</v>
      </c>
      <c r="I97" s="2305">
        <v>0.73709999999999998</v>
      </c>
      <c r="J97" s="2305">
        <v>0.56589999999999996</v>
      </c>
      <c r="K97" s="2305">
        <v>0.56589999999999996</v>
      </c>
      <c r="L97" s="2305">
        <v>0.56589999999999996</v>
      </c>
      <c r="M97" s="2305">
        <v>0.56589999999999996</v>
      </c>
      <c r="N97" s="2305">
        <v>0.56589999999999996</v>
      </c>
      <c r="Q97" s="3052"/>
      <c r="R97" s="3052"/>
      <c r="S97" s="3052"/>
      <c r="T97" s="3052"/>
      <c r="U97" s="3052"/>
      <c r="V97" s="3052"/>
      <c r="W97" s="3052"/>
    </row>
    <row r="98" spans="1:23">
      <c r="A98" s="3486"/>
      <c r="B98" s="2304">
        <v>6</v>
      </c>
      <c r="C98" s="2305">
        <v>0.76080000000000003</v>
      </c>
      <c r="D98" s="2305">
        <v>0.76080000000000003</v>
      </c>
      <c r="E98" s="2305">
        <v>0.6482</v>
      </c>
      <c r="F98" s="2305">
        <v>0.6482</v>
      </c>
      <c r="G98" s="2305">
        <v>0.6482</v>
      </c>
      <c r="H98" s="2305">
        <v>0.6482</v>
      </c>
      <c r="I98" s="2305">
        <v>0.6482</v>
      </c>
      <c r="J98" s="2305">
        <v>0.45250000000000001</v>
      </c>
      <c r="K98" s="2305">
        <v>0.45250000000000001</v>
      </c>
      <c r="L98" s="2305">
        <v>0.45250000000000001</v>
      </c>
      <c r="M98" s="2305">
        <v>0.45250000000000001</v>
      </c>
      <c r="N98" s="2305">
        <v>0.45250000000000001</v>
      </c>
      <c r="Q98" s="3052"/>
      <c r="R98" s="3052"/>
      <c r="S98" s="3052"/>
      <c r="T98" s="3052"/>
      <c r="U98" s="3052"/>
      <c r="V98" s="3052"/>
      <c r="W98" s="3052"/>
    </row>
    <row r="99" spans="1:23">
      <c r="A99" s="3486"/>
      <c r="B99" s="2304" t="s">
        <v>2547</v>
      </c>
      <c r="C99" s="2306">
        <f>$I$3</f>
        <v>23</v>
      </c>
      <c r="D99" s="2306">
        <f t="shared" ref="D99:M99" si="31">$I$3</f>
        <v>23</v>
      </c>
      <c r="E99" s="2306">
        <f t="shared" si="31"/>
        <v>23</v>
      </c>
      <c r="F99" s="2306">
        <f t="shared" si="31"/>
        <v>23</v>
      </c>
      <c r="G99" s="2306">
        <f t="shared" si="31"/>
        <v>23</v>
      </c>
      <c r="H99" s="2306">
        <f t="shared" si="31"/>
        <v>23</v>
      </c>
      <c r="I99" s="2306">
        <f t="shared" si="31"/>
        <v>23</v>
      </c>
      <c r="J99" s="2306">
        <f t="shared" si="31"/>
        <v>23</v>
      </c>
      <c r="K99" s="2306">
        <f t="shared" si="31"/>
        <v>23</v>
      </c>
      <c r="L99" s="2306">
        <f t="shared" si="31"/>
        <v>23</v>
      </c>
      <c r="M99" s="2306">
        <f t="shared" si="31"/>
        <v>23</v>
      </c>
      <c r="N99" s="2306">
        <f>$I$3</f>
        <v>23</v>
      </c>
      <c r="Q99" s="3052"/>
      <c r="R99" s="3052"/>
      <c r="S99" s="3052"/>
      <c r="T99" s="3052"/>
      <c r="U99" s="3052"/>
      <c r="V99" s="3052"/>
      <c r="W99" s="3052"/>
    </row>
    <row r="100" spans="1:23">
      <c r="A100" s="3487"/>
      <c r="B100" s="2304">
        <v>7</v>
      </c>
      <c r="C100" s="2307">
        <f>(-0.163*(C99^2)-0.59*C99+7617)*(10^(-4))</f>
        <v>0.75172030000000012</v>
      </c>
      <c r="D100" s="2307">
        <f>(-0.163*(D99^2)-0.59*D99+7617)*(10^(-4))</f>
        <v>0.75172030000000012</v>
      </c>
      <c r="E100" s="2307">
        <f>(-0.161*(E99^2)-7.509*E99+6533)*(10^(-4))</f>
        <v>0.62751239999999997</v>
      </c>
      <c r="F100" s="2307">
        <f>(-0.161*(F99^2)-7.509*F99+6533)*(10^(-4))</f>
        <v>0.62751239999999997</v>
      </c>
      <c r="G100" s="2307">
        <f>(-0.161*(G99^2)-7.509*G99+6533)*(10^(-4))</f>
        <v>0.62751239999999997</v>
      </c>
      <c r="H100" s="2307">
        <f>(-0.161*(H99^2)-7.509*H99+6533)*(10^(-4))</f>
        <v>0.62751239999999997</v>
      </c>
      <c r="I100" s="2307">
        <f>(-0.161*(I99^2)-7.509*I99+6533)*(10^(-4))</f>
        <v>0.62751239999999997</v>
      </c>
      <c r="J100" s="2307">
        <f>(-0.214*(J99^2)-21.991*J99+4665)*(10^(-4))</f>
        <v>0.40460010000000002</v>
      </c>
      <c r="K100" s="2307">
        <f>(-0.214*(K99^2)-21.991*K99+4665)*(10^(-4))</f>
        <v>0.40460010000000002</v>
      </c>
      <c r="L100" s="2307">
        <f>(-0.214*(L99^2)-21.991*L99+4665)*(10^(-4))</f>
        <v>0.40460010000000002</v>
      </c>
      <c r="M100" s="2307">
        <f>(-0.214*(M99^2)-21.991*M99+4665)*(10^(-4))</f>
        <v>0.40460010000000002</v>
      </c>
      <c r="N100" s="2307">
        <f>(-0.214*(N99^2)-21.991*N99+4665)*(10^(-4))</f>
        <v>0.40460010000000002</v>
      </c>
      <c r="Q100" s="3052"/>
      <c r="R100" s="3052"/>
      <c r="S100" s="3052"/>
      <c r="T100" s="3052"/>
      <c r="U100" s="3052"/>
      <c r="V100" s="3052"/>
      <c r="W100" s="3052"/>
    </row>
    <row r="101" spans="1:23">
      <c r="A101" s="3485" t="s">
        <v>2680</v>
      </c>
      <c r="B101" s="2308" t="s">
        <v>2681</v>
      </c>
      <c r="C101" s="2309">
        <f>$G$3</f>
        <v>3.2</v>
      </c>
      <c r="D101" s="2309">
        <f t="shared" ref="D101:N101" si="32">$G$3</f>
        <v>3.2</v>
      </c>
      <c r="E101" s="2309">
        <f t="shared" si="32"/>
        <v>3.2</v>
      </c>
      <c r="F101" s="2309">
        <f t="shared" si="32"/>
        <v>3.2</v>
      </c>
      <c r="G101" s="2309">
        <f t="shared" si="32"/>
        <v>3.2</v>
      </c>
      <c r="H101" s="2309">
        <f t="shared" si="32"/>
        <v>3.2</v>
      </c>
      <c r="I101" s="2309">
        <f t="shared" si="32"/>
        <v>3.2</v>
      </c>
      <c r="J101" s="2309">
        <f t="shared" si="32"/>
        <v>3.2</v>
      </c>
      <c r="K101" s="2309">
        <f t="shared" si="32"/>
        <v>3.2</v>
      </c>
      <c r="L101" s="2309">
        <f t="shared" si="32"/>
        <v>3.2</v>
      </c>
      <c r="M101" s="2309">
        <f t="shared" si="32"/>
        <v>3.2</v>
      </c>
      <c r="N101" s="2309">
        <f t="shared" si="32"/>
        <v>3.2</v>
      </c>
      <c r="Q101" s="3052"/>
      <c r="R101" s="3052"/>
      <c r="S101" s="3052"/>
      <c r="T101" s="3052"/>
      <c r="U101" s="3052"/>
      <c r="V101" s="3052"/>
      <c r="W101" s="3052"/>
    </row>
    <row r="102" spans="1:23">
      <c r="A102" s="3486"/>
      <c r="B102" s="2304">
        <v>1</v>
      </c>
      <c r="C102" s="2305">
        <f>1.9362/C101</f>
        <v>0.60506249999999995</v>
      </c>
      <c r="D102" s="2305">
        <f>1.9362/D101</f>
        <v>0.60506249999999995</v>
      </c>
      <c r="E102" s="2305">
        <f>1.8629/E101</f>
        <v>0.58215624999999993</v>
      </c>
      <c r="F102" s="2305">
        <f>1.8629/F101</f>
        <v>0.58215624999999993</v>
      </c>
      <c r="G102" s="2305">
        <f>1.8629/G101</f>
        <v>0.58215624999999993</v>
      </c>
      <c r="H102" s="2305">
        <f>1.8629/H101</f>
        <v>0.58215624999999993</v>
      </c>
      <c r="I102" s="2305">
        <f>1.8629/I101</f>
        <v>0.58215624999999993</v>
      </c>
      <c r="J102" s="2305">
        <f>1.942/J101</f>
        <v>0.60687499999999994</v>
      </c>
      <c r="K102" s="2305">
        <f>1.942/K101</f>
        <v>0.60687499999999994</v>
      </c>
      <c r="L102" s="2305">
        <f>1.942/L101</f>
        <v>0.60687499999999994</v>
      </c>
      <c r="M102" s="2305">
        <f>1.942/M101</f>
        <v>0.60687499999999994</v>
      </c>
      <c r="N102" s="2305">
        <f>1.942/N101</f>
        <v>0.60687499999999994</v>
      </c>
      <c r="Q102" s="3052"/>
      <c r="R102" s="3052"/>
      <c r="S102" s="3052"/>
      <c r="T102" s="3052"/>
      <c r="U102" s="3052"/>
      <c r="V102" s="3052"/>
      <c r="W102" s="3052"/>
    </row>
    <row r="103" spans="1:23">
      <c r="A103" s="3486"/>
      <c r="B103" s="2304">
        <v>2</v>
      </c>
      <c r="C103" s="2305">
        <f>1.4198/C101</f>
        <v>0.44368749999999996</v>
      </c>
      <c r="D103" s="2305">
        <f>1.4198/D101</f>
        <v>0.44368749999999996</v>
      </c>
      <c r="E103" s="2305">
        <f>1.3372/E101</f>
        <v>0.41787499999999994</v>
      </c>
      <c r="F103" s="2305">
        <f>1.3372/F101</f>
        <v>0.41787499999999994</v>
      </c>
      <c r="G103" s="2305">
        <f>1.3372/G101</f>
        <v>0.41787499999999994</v>
      </c>
      <c r="H103" s="2305">
        <f>1.3372/H101</f>
        <v>0.41787499999999994</v>
      </c>
      <c r="I103" s="2305">
        <f>1.3372/I101</f>
        <v>0.41787499999999994</v>
      </c>
      <c r="J103" s="2305">
        <f>1.2799/J101</f>
        <v>0.39996874999999998</v>
      </c>
      <c r="K103" s="2305">
        <f>1.2799/K101</f>
        <v>0.39996874999999998</v>
      </c>
      <c r="L103" s="2305">
        <f>1.2799/L101</f>
        <v>0.39996874999999998</v>
      </c>
      <c r="M103" s="2305">
        <f>1.2799/M101</f>
        <v>0.39996874999999998</v>
      </c>
      <c r="N103" s="2305">
        <f>1.2799/N101</f>
        <v>0.39996874999999998</v>
      </c>
      <c r="Q103" s="3052"/>
      <c r="R103" s="3052"/>
      <c r="S103" s="3052"/>
      <c r="T103" s="3052"/>
      <c r="U103" s="3052"/>
      <c r="V103" s="3052"/>
      <c r="W103" s="3052"/>
    </row>
    <row r="104" spans="1:23">
      <c r="A104" s="3486"/>
      <c r="B104" s="2304">
        <v>3</v>
      </c>
      <c r="C104" s="2305">
        <f>1.1594/C101</f>
        <v>0.36231249999999998</v>
      </c>
      <c r="D104" s="2305">
        <f>1.1594/D101</f>
        <v>0.36231249999999998</v>
      </c>
      <c r="E104" s="2305">
        <f>1.0788/E101</f>
        <v>0.33712499999999995</v>
      </c>
      <c r="F104" s="2305">
        <f>1.0788/F101</f>
        <v>0.33712499999999995</v>
      </c>
      <c r="G104" s="2305">
        <f>1.0788/G101</f>
        <v>0.33712499999999995</v>
      </c>
      <c r="H104" s="2305">
        <f>1.0788/H101</f>
        <v>0.33712499999999995</v>
      </c>
      <c r="I104" s="2305">
        <f>1.0788/I101</f>
        <v>0.33712499999999995</v>
      </c>
      <c r="J104" s="2305">
        <f>1.0072/J101</f>
        <v>0.31475000000000003</v>
      </c>
      <c r="K104" s="2305">
        <f>1.0072/K101</f>
        <v>0.31475000000000003</v>
      </c>
      <c r="L104" s="2305">
        <f>1.0072/L101</f>
        <v>0.31475000000000003</v>
      </c>
      <c r="M104" s="2305">
        <f>1.0072/M101</f>
        <v>0.31475000000000003</v>
      </c>
      <c r="N104" s="2305">
        <f>1.0072/N101</f>
        <v>0.31475000000000003</v>
      </c>
      <c r="Q104" s="3052"/>
      <c r="R104" s="3052"/>
      <c r="S104" s="3052"/>
      <c r="T104" s="3052"/>
      <c r="U104" s="3052"/>
      <c r="V104" s="3052"/>
      <c r="W104" s="3052"/>
    </row>
    <row r="105" spans="1:23">
      <c r="A105" s="3486"/>
      <c r="B105" s="2304">
        <v>4</v>
      </c>
      <c r="C105" s="2305">
        <f>0.9622/C101</f>
        <v>0.3006875</v>
      </c>
      <c r="D105" s="2305">
        <f>0.9622/D101</f>
        <v>0.3006875</v>
      </c>
      <c r="E105" s="2305">
        <f>0.8656/E101</f>
        <v>0.27050000000000002</v>
      </c>
      <c r="F105" s="2305">
        <f>0.8656/F101</f>
        <v>0.27050000000000002</v>
      </c>
      <c r="G105" s="2305">
        <f>0.8656/G101</f>
        <v>0.27050000000000002</v>
      </c>
      <c r="H105" s="2305">
        <f>0.8656/H101</f>
        <v>0.27050000000000002</v>
      </c>
      <c r="I105" s="2305">
        <f>0.8656/I101</f>
        <v>0.27050000000000002</v>
      </c>
      <c r="J105" s="2305">
        <f>0.7525/J101</f>
        <v>0.23515624999999998</v>
      </c>
      <c r="K105" s="2305">
        <f>0.7525/K101</f>
        <v>0.23515624999999998</v>
      </c>
      <c r="L105" s="2305">
        <f>0.7525/L101</f>
        <v>0.23515624999999998</v>
      </c>
      <c r="M105" s="2305">
        <f>0.7525/M101</f>
        <v>0.23515624999999998</v>
      </c>
      <c r="N105" s="2305">
        <f>0.7525/N101</f>
        <v>0.23515624999999998</v>
      </c>
      <c r="Q105" s="3052"/>
      <c r="R105" s="3052"/>
      <c r="S105" s="3052"/>
      <c r="T105" s="3052"/>
      <c r="U105" s="3052"/>
      <c r="V105" s="3052"/>
      <c r="W105" s="3052"/>
    </row>
    <row r="106" spans="1:23">
      <c r="A106" s="3486"/>
      <c r="B106" s="2304">
        <v>5</v>
      </c>
      <c r="C106" s="2305">
        <f>0.8417/C101</f>
        <v>0.26303124999999999</v>
      </c>
      <c r="D106" s="2305">
        <f>0.8417/D101</f>
        <v>0.26303124999999999</v>
      </c>
      <c r="E106" s="2305">
        <f>0.7371/E101</f>
        <v>0.23034374999999999</v>
      </c>
      <c r="F106" s="2305">
        <f>0.7371/F101</f>
        <v>0.23034374999999999</v>
      </c>
      <c r="G106" s="2305">
        <f>0.7371/G101</f>
        <v>0.23034374999999999</v>
      </c>
      <c r="H106" s="2305">
        <f>0.7371/H101</f>
        <v>0.23034374999999999</v>
      </c>
      <c r="I106" s="2305">
        <f>0.7371/I101</f>
        <v>0.23034374999999999</v>
      </c>
      <c r="J106" s="2305">
        <f>0.5659/J101</f>
        <v>0.17684374999999997</v>
      </c>
      <c r="K106" s="2305">
        <f>0.5659/K101</f>
        <v>0.17684374999999997</v>
      </c>
      <c r="L106" s="2305">
        <f>0.5659/L101</f>
        <v>0.17684374999999997</v>
      </c>
      <c r="M106" s="2305">
        <f>0.5659/M101</f>
        <v>0.17684374999999997</v>
      </c>
      <c r="N106" s="2305">
        <f>0.5659/N101</f>
        <v>0.17684374999999997</v>
      </c>
      <c r="Q106" s="3052"/>
      <c r="R106" s="3052"/>
      <c r="S106" s="3052"/>
      <c r="T106" s="3052"/>
      <c r="U106" s="3052"/>
      <c r="V106" s="3052"/>
      <c r="W106" s="3052"/>
    </row>
    <row r="107" spans="1:23">
      <c r="A107" s="3486"/>
      <c r="B107" s="2304">
        <v>6</v>
      </c>
      <c r="C107" s="2305">
        <f>0.7608/C101</f>
        <v>0.23774999999999999</v>
      </c>
      <c r="D107" s="2305">
        <f>0.7608/D101</f>
        <v>0.23774999999999999</v>
      </c>
      <c r="E107" s="2305">
        <f>0.6482/E101</f>
        <v>0.20256249999999998</v>
      </c>
      <c r="F107" s="2305">
        <f>0.6482/F101</f>
        <v>0.20256249999999998</v>
      </c>
      <c r="G107" s="2305">
        <f>0.6482/G101</f>
        <v>0.20256249999999998</v>
      </c>
      <c r="H107" s="2305">
        <f>0.6482/H101</f>
        <v>0.20256249999999998</v>
      </c>
      <c r="I107" s="2305">
        <f>0.6482/I101</f>
        <v>0.20256249999999998</v>
      </c>
      <c r="J107" s="2305">
        <f>0.4525/J101</f>
        <v>0.14140624999999998</v>
      </c>
      <c r="K107" s="2305">
        <f>0.4525/K101</f>
        <v>0.14140624999999998</v>
      </c>
      <c r="L107" s="2305">
        <f>0.4525/L101</f>
        <v>0.14140624999999998</v>
      </c>
      <c r="M107" s="2305">
        <f>0.4525/M101</f>
        <v>0.14140624999999998</v>
      </c>
      <c r="N107" s="2305">
        <f>0.4525/N101</f>
        <v>0.14140624999999998</v>
      </c>
      <c r="Q107" s="3052"/>
      <c r="R107" s="3052"/>
      <c r="S107" s="3052"/>
      <c r="T107" s="3052"/>
      <c r="U107" s="3052"/>
      <c r="V107" s="3052"/>
      <c r="W107" s="3052"/>
    </row>
    <row r="108" spans="1:23">
      <c r="A108" s="3486"/>
      <c r="B108" s="3488" t="s">
        <v>2682</v>
      </c>
      <c r="C108" s="2306">
        <f>C99</f>
        <v>23</v>
      </c>
      <c r="D108" s="2306">
        <f t="shared" ref="D108:N108" si="33">D99</f>
        <v>23</v>
      </c>
      <c r="E108" s="2306">
        <f t="shared" si="33"/>
        <v>23</v>
      </c>
      <c r="F108" s="2306">
        <f t="shared" si="33"/>
        <v>23</v>
      </c>
      <c r="G108" s="2306">
        <f t="shared" si="33"/>
        <v>23</v>
      </c>
      <c r="H108" s="2306">
        <f t="shared" si="33"/>
        <v>23</v>
      </c>
      <c r="I108" s="2306">
        <f t="shared" si="33"/>
        <v>23</v>
      </c>
      <c r="J108" s="2306">
        <f t="shared" si="33"/>
        <v>23</v>
      </c>
      <c r="K108" s="2306">
        <f t="shared" si="33"/>
        <v>23</v>
      </c>
      <c r="L108" s="2306">
        <f t="shared" si="33"/>
        <v>23</v>
      </c>
      <c r="M108" s="2306">
        <f t="shared" si="33"/>
        <v>23</v>
      </c>
      <c r="N108" s="2306">
        <f t="shared" si="33"/>
        <v>23</v>
      </c>
      <c r="Q108" s="3052"/>
      <c r="R108" s="3052"/>
      <c r="S108" s="3052"/>
      <c r="T108" s="3052"/>
      <c r="U108" s="3052"/>
      <c r="V108" s="3052"/>
      <c r="W108" s="3052"/>
    </row>
    <row r="109" spans="1:23">
      <c r="A109" s="3487"/>
      <c r="B109" s="3489"/>
      <c r="C109" s="2307">
        <f>(-0.163*(C108^2)-0.59*C108+7617)*(10^(-4))/C101</f>
        <v>0.23491259375000004</v>
      </c>
      <c r="D109" s="2307">
        <f>(-0.163*(D108^2)-0.59*D108+7617)*(10^(-4))/D101</f>
        <v>0.23491259375000004</v>
      </c>
      <c r="E109" s="2307">
        <f>(-0.161*(E108^2)-7.509*E108+6533)*(10^(-4))/E101</f>
        <v>0.19609762499999997</v>
      </c>
      <c r="F109" s="2307">
        <f>(-0.161*(F108^2)-7.509*F108+6533)*(10^(-4))/F101</f>
        <v>0.19609762499999997</v>
      </c>
      <c r="G109" s="2307">
        <f>(-0.161*(G108^2)-7.509*G108+6533)*(10^(-4))/G101</f>
        <v>0.19609762499999997</v>
      </c>
      <c r="H109" s="2307">
        <f>(-0.161*(H108^2)-7.509*H108+6533)*(10^(-4))/H101</f>
        <v>0.19609762499999997</v>
      </c>
      <c r="I109" s="2307">
        <f>(-0.161*(I108^2)-7.509*I108+6533)*(10^(-4))/I101</f>
        <v>0.19609762499999997</v>
      </c>
      <c r="J109" s="2307">
        <f>(-0.214*(J108^2)-21.991*J108+4665)*(10^(-4))/J101</f>
        <v>0.12643753124999998</v>
      </c>
      <c r="K109" s="2307">
        <f>(-0.214*(K108^2)-21.991*K108+4665)*(10^(-4))/K101</f>
        <v>0.12643753124999998</v>
      </c>
      <c r="L109" s="2307">
        <f>(-0.214*(L108^2)-21.991*L108+4665)*(10^(-4))/L101</f>
        <v>0.12643753124999998</v>
      </c>
      <c r="M109" s="2307">
        <f>(-0.214*(M108^2)-21.991*M108+4665)*(10^(-4))/M101</f>
        <v>0.12643753124999998</v>
      </c>
      <c r="N109" s="2307">
        <f>(-0.214*(N108^2)-21.991*N108+4665)*(10^(-4))/N101</f>
        <v>0.12643753124999998</v>
      </c>
      <c r="Q109" s="3052"/>
      <c r="R109" s="3052"/>
      <c r="S109" s="3052"/>
      <c r="T109" s="3052"/>
      <c r="U109" s="3052"/>
      <c r="V109" s="3052"/>
      <c r="W109" s="3052"/>
    </row>
    <row r="110" spans="1:23">
      <c r="A110" s="3483" t="s">
        <v>2683</v>
      </c>
      <c r="B110" s="3483"/>
      <c r="C110" s="3483"/>
      <c r="D110" s="3483"/>
      <c r="E110" s="3483"/>
      <c r="F110" s="3483"/>
      <c r="G110" s="3483"/>
      <c r="H110" s="3483"/>
      <c r="I110" s="3483"/>
      <c r="J110" s="3483"/>
      <c r="K110" s="2075"/>
      <c r="L110" s="2075"/>
      <c r="M110" s="2075"/>
      <c r="N110" s="2075"/>
      <c r="Q110" s="3052"/>
      <c r="R110" s="3052"/>
      <c r="S110" s="3052"/>
      <c r="T110" s="3052"/>
      <c r="U110" s="3052"/>
      <c r="V110" s="3052"/>
      <c r="W110" s="3052"/>
    </row>
    <row r="112" spans="1:23" ht="13.5" thickBot="1"/>
    <row r="113" spans="1:13" ht="25.5" thickBot="1">
      <c r="A113" s="2310" t="s">
        <v>2684</v>
      </c>
      <c r="B113" s="2311">
        <f>G3</f>
        <v>3.2</v>
      </c>
      <c r="C113" s="2312" t="s">
        <v>2685</v>
      </c>
      <c r="D113" s="2313">
        <f>SUMPRODUCT((A115:A118=F113)*(B114:M114=H113)*B115:M118)</f>
        <v>0.84919999999999995</v>
      </c>
      <c r="E113" s="1598" t="s">
        <v>2571</v>
      </c>
      <c r="F113" s="2314" t="str">
        <f>E2</f>
        <v>住宅</v>
      </c>
      <c r="G113" s="1598" t="s">
        <v>2505</v>
      </c>
      <c r="H113" s="2314" t="str">
        <f>G2</f>
        <v>三级</v>
      </c>
      <c r="I113" s="1598"/>
      <c r="J113" s="2315"/>
      <c r="K113" s="2315"/>
      <c r="L113" s="2315"/>
      <c r="M113" s="2315"/>
    </row>
    <row r="114" spans="1:13">
      <c r="A114" s="2316"/>
      <c r="B114" s="2317" t="s">
        <v>2686</v>
      </c>
      <c r="C114" s="2317" t="s">
        <v>2687</v>
      </c>
      <c r="D114" s="2317" t="s">
        <v>2688</v>
      </c>
      <c r="E114" s="2318" t="s">
        <v>2689</v>
      </c>
      <c r="F114" s="2318" t="s">
        <v>2690</v>
      </c>
      <c r="G114" s="2318" t="s">
        <v>2691</v>
      </c>
      <c r="H114" s="2319" t="s">
        <v>2692</v>
      </c>
      <c r="I114" s="2319" t="s">
        <v>2693</v>
      </c>
      <c r="J114" s="2320" t="s">
        <v>2694</v>
      </c>
      <c r="K114" s="2320" t="s">
        <v>2695</v>
      </c>
      <c r="L114" s="2320" t="s">
        <v>2696</v>
      </c>
      <c r="M114" s="2321" t="s">
        <v>2697</v>
      </c>
    </row>
    <row r="115" spans="1:13">
      <c r="A115" s="2322" t="s">
        <v>2572</v>
      </c>
      <c r="B115" s="2323">
        <f>ROUND(0.9335-0.0094*B113,4)</f>
        <v>0.90339999999999998</v>
      </c>
      <c r="C115" s="2323">
        <f>B115</f>
        <v>0.90339999999999998</v>
      </c>
      <c r="D115" s="2323">
        <f>ROUND(0.8331-0.0109*B113,4)</f>
        <v>0.79820000000000002</v>
      </c>
      <c r="E115" s="2323">
        <f>D115</f>
        <v>0.79820000000000002</v>
      </c>
      <c r="F115" s="2323">
        <f>E115</f>
        <v>0.79820000000000002</v>
      </c>
      <c r="G115" s="2323">
        <f>F115</f>
        <v>0.79820000000000002</v>
      </c>
      <c r="H115" s="2323">
        <f>G115</f>
        <v>0.79820000000000002</v>
      </c>
      <c r="I115" s="2323">
        <f>ROUND(0.689-0.0155*B113,4)</f>
        <v>0.63939999999999997</v>
      </c>
      <c r="J115" s="2323">
        <f t="shared" ref="J115:M118" si="34">I115</f>
        <v>0.63939999999999997</v>
      </c>
      <c r="K115" s="2323">
        <f t="shared" si="34"/>
        <v>0.63939999999999997</v>
      </c>
      <c r="L115" s="2323">
        <f t="shared" si="34"/>
        <v>0.63939999999999997</v>
      </c>
      <c r="M115" s="2324">
        <f t="shared" si="34"/>
        <v>0.63939999999999997</v>
      </c>
    </row>
    <row r="116" spans="1:13">
      <c r="A116" s="2322" t="s">
        <v>2573</v>
      </c>
      <c r="B116" s="2323">
        <f>ROUND(0.949-0.012*B113,4)</f>
        <v>0.91059999999999997</v>
      </c>
      <c r="C116" s="2323">
        <f>B116</f>
        <v>0.91059999999999997</v>
      </c>
      <c r="D116" s="2323">
        <f>ROUND(0.8567-0.013*B113,4)</f>
        <v>0.81510000000000005</v>
      </c>
      <c r="E116" s="2323">
        <f t="shared" ref="E116:H117" si="35">D116</f>
        <v>0.81510000000000005</v>
      </c>
      <c r="F116" s="2323">
        <f t="shared" si="35"/>
        <v>0.81510000000000005</v>
      </c>
      <c r="G116" s="2323">
        <f t="shared" si="35"/>
        <v>0.81510000000000005</v>
      </c>
      <c r="H116" s="2323">
        <f t="shared" si="35"/>
        <v>0.81510000000000005</v>
      </c>
      <c r="I116" s="2323">
        <f>ROUND(0.7694-0.014*B113,4)</f>
        <v>0.72460000000000002</v>
      </c>
      <c r="J116" s="2323">
        <f t="shared" si="34"/>
        <v>0.72460000000000002</v>
      </c>
      <c r="K116" s="2323">
        <f t="shared" si="34"/>
        <v>0.72460000000000002</v>
      </c>
      <c r="L116" s="2323">
        <f t="shared" si="34"/>
        <v>0.72460000000000002</v>
      </c>
      <c r="M116" s="2324">
        <f t="shared" si="34"/>
        <v>0.72460000000000002</v>
      </c>
    </row>
    <row r="117" spans="1:13">
      <c r="A117" s="2322" t="s">
        <v>2574</v>
      </c>
      <c r="B117" s="2323">
        <f>ROUND(0.8808-0.006*B113,4)</f>
        <v>0.86160000000000003</v>
      </c>
      <c r="C117" s="2323">
        <f>B117</f>
        <v>0.86160000000000003</v>
      </c>
      <c r="D117" s="2323">
        <f>ROUND(0.8748-0.008*B113,4)</f>
        <v>0.84919999999999995</v>
      </c>
      <c r="E117" s="2323">
        <f t="shared" si="35"/>
        <v>0.84919999999999995</v>
      </c>
      <c r="F117" s="2323">
        <f t="shared" si="35"/>
        <v>0.84919999999999995</v>
      </c>
      <c r="G117" s="2323">
        <f t="shared" si="35"/>
        <v>0.84919999999999995</v>
      </c>
      <c r="H117" s="2323">
        <f t="shared" si="35"/>
        <v>0.84919999999999995</v>
      </c>
      <c r="I117" s="2323">
        <f>ROUND(0.7412-0.0095*B113,4)</f>
        <v>0.71079999999999999</v>
      </c>
      <c r="J117" s="2323">
        <f t="shared" si="34"/>
        <v>0.71079999999999999</v>
      </c>
      <c r="K117" s="2323">
        <f t="shared" si="34"/>
        <v>0.71079999999999999</v>
      </c>
      <c r="L117" s="2323">
        <f t="shared" si="34"/>
        <v>0.71079999999999999</v>
      </c>
      <c r="M117" s="2324">
        <f t="shared" si="34"/>
        <v>0.71079999999999999</v>
      </c>
    </row>
    <row r="118" spans="1:13" ht="13.5" thickBot="1">
      <c r="A118" s="2325" t="s">
        <v>2575</v>
      </c>
      <c r="B118" s="2326">
        <f>ROUND(0.7275-0.01*B113,4)</f>
        <v>0.69550000000000001</v>
      </c>
      <c r="C118" s="2326">
        <f>B118</f>
        <v>0.69550000000000001</v>
      </c>
      <c r="D118" s="2326">
        <f>ROUND(0.7043-0.012*B113,4)</f>
        <v>0.66590000000000005</v>
      </c>
      <c r="E118" s="2326">
        <f>D118</f>
        <v>0.66590000000000005</v>
      </c>
      <c r="F118" s="2326">
        <f>E118</f>
        <v>0.66590000000000005</v>
      </c>
      <c r="G118" s="2326">
        <f>ROUND(0.6299-0.0122*B113,4)</f>
        <v>0.59089999999999998</v>
      </c>
      <c r="H118" s="2326">
        <f>G118</f>
        <v>0.59089999999999998</v>
      </c>
      <c r="I118" s="2326">
        <f>ROUND(0.5667-0.0136*B113,4)</f>
        <v>0.5232</v>
      </c>
      <c r="J118" s="2326">
        <f t="shared" si="34"/>
        <v>0.5232</v>
      </c>
      <c r="K118" s="2326">
        <f t="shared" si="34"/>
        <v>0.5232</v>
      </c>
      <c r="L118" s="2326">
        <f t="shared" si="34"/>
        <v>0.5232</v>
      </c>
      <c r="M118" s="2327">
        <f t="shared" si="34"/>
        <v>0.5232</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40" priority="5" stopIfTrue="1" operator="notEqual">
      <formula>"——"</formula>
    </cfRule>
  </conditionalFormatting>
  <conditionalFormatting sqref="F59">
    <cfRule type="cellIs" dxfId="139" priority="4" stopIfTrue="1" operator="notEqual">
      <formula>"——"</formula>
    </cfRule>
  </conditionalFormatting>
  <conditionalFormatting sqref="F70">
    <cfRule type="cellIs" dxfId="138" priority="3" stopIfTrue="1" operator="notEqual">
      <formula>"——"</formula>
    </cfRule>
  </conditionalFormatting>
  <conditionalFormatting sqref="F81">
    <cfRule type="cellIs" dxfId="137"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L1" zoomScale="80" zoomScaleNormal="90" zoomScaleSheetLayoutView="80" workbookViewId="0">
      <pane ySplit="27" topLeftCell="A28" activePane="bottomLeft" state="frozen"/>
      <selection activeCell="A11" sqref="A11:D11"/>
      <selection pane="bottomLeft" activeCell="V33" sqref="V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 ca="1">B23</f>
        <v>63992968</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f ca="1">B24</f>
        <v>873815004</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508" t="s">
        <v>2213</v>
      </c>
      <c r="D4" s="3509"/>
      <c r="E4" s="3509"/>
      <c r="F4" s="3509"/>
      <c r="G4" s="3509"/>
      <c r="H4" s="3509"/>
      <c r="I4" s="3509"/>
      <c r="J4" s="3509"/>
      <c r="K4" s="3509"/>
      <c r="L4" s="3509"/>
      <c r="M4" s="3509"/>
      <c r="N4" s="3509"/>
      <c r="O4" s="3509"/>
      <c r="P4" s="3509"/>
      <c r="Q4" s="3509"/>
      <c r="R4" s="3509"/>
      <c r="S4" s="3510"/>
      <c r="T4" s="575" t="s">
        <v>2214</v>
      </c>
      <c r="U4" s="999"/>
      <c r="V4" s="999"/>
      <c r="X4" s="999"/>
      <c r="Y4" s="999"/>
    </row>
    <row r="5" spans="1:44" s="587" customFormat="1" ht="38.25">
      <c r="A5" s="1003"/>
      <c r="B5" s="583" t="s">
        <v>2215</v>
      </c>
      <c r="C5" s="584" t="str">
        <f t="shared" ref="C5:L5" si="0">C6&amp;"(含)"&amp;"-"&amp;D6</f>
        <v>0(含)-100</v>
      </c>
      <c r="D5" s="585" t="str">
        <f t="shared" si="0"/>
        <v>100(含)-200</v>
      </c>
      <c r="E5" s="585" t="str">
        <f t="shared" si="0"/>
        <v>200(含)-300</v>
      </c>
      <c r="F5" s="585" t="str">
        <f t="shared" si="0"/>
        <v>300(含)-400</v>
      </c>
      <c r="G5" s="585" t="str">
        <f t="shared" si="0"/>
        <v>400(含)-500</v>
      </c>
      <c r="H5" s="585" t="str">
        <f t="shared" si="0"/>
        <v>500(含)-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200</v>
      </c>
      <c r="F6" s="590">
        <v>300</v>
      </c>
      <c r="G6" s="590">
        <v>400</v>
      </c>
      <c r="H6" s="590">
        <v>500</v>
      </c>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96</v>
      </c>
      <c r="D7" s="884">
        <v>98</v>
      </c>
      <c r="E7" s="884">
        <v>100</v>
      </c>
      <c r="F7" s="884">
        <v>98</v>
      </c>
      <c r="G7" s="884">
        <v>96</v>
      </c>
      <c r="H7" s="884">
        <v>94</v>
      </c>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24">
      <c r="A8" s="1006"/>
      <c r="B8" s="3171" t="s">
        <v>2940</v>
      </c>
      <c r="C8" s="3172" t="str">
        <f>'比较法-住宅'!C88</f>
        <v>南北东</v>
      </c>
      <c r="D8" s="3172" t="str">
        <f>'比较法-住宅'!D88</f>
        <v>南北西</v>
      </c>
      <c r="E8" s="3172" t="str">
        <f>'比较法-住宅'!E88</f>
        <v>南北</v>
      </c>
      <c r="F8" s="888"/>
      <c r="G8" s="888"/>
      <c r="H8" s="888"/>
      <c r="I8" s="888"/>
      <c r="J8" s="888"/>
      <c r="K8" s="888"/>
      <c r="L8" s="889"/>
      <c r="M8" s="890"/>
      <c r="N8" s="890"/>
      <c r="O8" s="888"/>
      <c r="P8" s="888"/>
      <c r="Q8" s="888"/>
      <c r="R8" s="888"/>
      <c r="S8" s="915"/>
      <c r="T8" s="891">
        <v>2</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98</v>
      </c>
      <c r="E9" s="879">
        <f t="shared" si="7"/>
        <v>96</v>
      </c>
      <c r="F9" s="879">
        <f t="shared" si="7"/>
        <v>94</v>
      </c>
      <c r="G9" s="879">
        <f t="shared" si="7"/>
        <v>92</v>
      </c>
      <c r="H9" s="879">
        <f t="shared" si="7"/>
        <v>90</v>
      </c>
      <c r="I9" s="879">
        <f t="shared" si="7"/>
        <v>88</v>
      </c>
      <c r="J9" s="879">
        <f t="shared" si="7"/>
        <v>86</v>
      </c>
      <c r="K9" s="879">
        <f t="shared" si="7"/>
        <v>84</v>
      </c>
      <c r="L9" s="879">
        <f t="shared" si="7"/>
        <v>82</v>
      </c>
      <c r="M9" s="880">
        <f t="shared" si="7"/>
        <v>80</v>
      </c>
      <c r="N9" s="880">
        <f t="shared" si="7"/>
        <v>78</v>
      </c>
      <c r="O9" s="879">
        <f t="shared" si="7"/>
        <v>76</v>
      </c>
      <c r="P9" s="879">
        <f t="shared" si="7"/>
        <v>74</v>
      </c>
      <c r="Q9" s="879">
        <f t="shared" si="7"/>
        <v>72</v>
      </c>
      <c r="R9" s="879">
        <f t="shared" si="7"/>
        <v>70</v>
      </c>
      <c r="S9" s="916">
        <f t="shared" si="7"/>
        <v>68</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3173" t="s">
        <v>2941</v>
      </c>
      <c r="C10" s="872" t="str">
        <f>'比较法-住宅'!C122</f>
        <v>精装</v>
      </c>
      <c r="D10" s="872" t="str">
        <f>'比较法-住宅'!D122</f>
        <v>普装</v>
      </c>
      <c r="E10" s="872" t="str">
        <f>'比较法-住宅'!E122</f>
        <v>简装</v>
      </c>
      <c r="F10" s="872" t="str">
        <f>'比较法-住宅'!F122</f>
        <v>毛坯</v>
      </c>
      <c r="G10" s="873"/>
      <c r="H10" s="873"/>
      <c r="I10" s="873"/>
      <c r="J10" s="873"/>
      <c r="K10" s="873"/>
      <c r="L10" s="873"/>
      <c r="M10" s="875"/>
      <c r="N10" s="866"/>
      <c r="O10" s="868"/>
      <c r="P10" s="869"/>
      <c r="Q10" s="870"/>
      <c r="R10" s="871"/>
      <c r="S10" s="917"/>
      <c r="T10" s="595">
        <v>2</v>
      </c>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98</v>
      </c>
      <c r="E11" s="879">
        <f t="shared" si="8"/>
        <v>96</v>
      </c>
      <c r="F11" s="879">
        <f t="shared" si="8"/>
        <v>94</v>
      </c>
      <c r="G11" s="879">
        <f t="shared" si="8"/>
        <v>92</v>
      </c>
      <c r="H11" s="879">
        <f t="shared" si="8"/>
        <v>90</v>
      </c>
      <c r="I11" s="879">
        <f t="shared" si="8"/>
        <v>88</v>
      </c>
      <c r="J11" s="879">
        <f t="shared" si="8"/>
        <v>86</v>
      </c>
      <c r="K11" s="879">
        <f t="shared" si="8"/>
        <v>84</v>
      </c>
      <c r="L11" s="879">
        <f t="shared" si="8"/>
        <v>82</v>
      </c>
      <c r="M11" s="880">
        <f t="shared" si="8"/>
        <v>80</v>
      </c>
      <c r="N11" s="880">
        <f t="shared" ref="N11:S11" si="9">M11-$T$10</f>
        <v>78</v>
      </c>
      <c r="O11" s="879">
        <f t="shared" si="9"/>
        <v>76</v>
      </c>
      <c r="P11" s="879">
        <f t="shared" si="9"/>
        <v>74</v>
      </c>
      <c r="Q11" s="879">
        <f t="shared" si="9"/>
        <v>72</v>
      </c>
      <c r="R11" s="879">
        <f t="shared" si="9"/>
        <v>70</v>
      </c>
      <c r="S11" s="916">
        <f t="shared" si="9"/>
        <v>68</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3.5" thickBot="1">
      <c r="A20" s="1548" t="s">
        <v>2220</v>
      </c>
      <c r="B20" s="1549" t="s">
        <v>2221</v>
      </c>
      <c r="C20" s="3168" t="str">
        <f>'比较法-住宅'!C126</f>
        <v>高区</v>
      </c>
      <c r="D20" s="3168" t="str">
        <f>'比较法-住宅'!D126</f>
        <v>中区</v>
      </c>
      <c r="E20" s="3168" t="str">
        <f>'比较法-住宅'!E126</f>
        <v>低区</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3168">
        <f>'比较法-住宅'!C127</f>
        <v>100</v>
      </c>
      <c r="D21" s="3168">
        <f>'比较法-住宅'!D127</f>
        <v>95</v>
      </c>
      <c r="E21" s="3168">
        <f>'比较法-住宅'!E127</f>
        <v>90</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50" t="s">
        <v>2222</v>
      </c>
      <c r="G22" s="1322"/>
      <c r="H22" s="1322"/>
      <c r="I22" s="1322"/>
      <c r="J22" s="1323"/>
      <c r="K22" s="37"/>
      <c r="L22" s="37"/>
      <c r="M22" s="37"/>
      <c r="N22" s="37"/>
      <c r="O22" s="37"/>
      <c r="P22" s="37"/>
      <c r="Q22" s="37"/>
      <c r="R22" s="645"/>
      <c r="S22" s="31"/>
      <c r="T22" s="31"/>
      <c r="U22" s="999"/>
      <c r="V22" s="1000"/>
      <c r="W22" s="662"/>
      <c r="X22" s="662"/>
      <c r="Y22" s="662"/>
      <c r="Z22" s="662"/>
    </row>
    <row r="23" spans="1:45" ht="16.5" thickBot="1">
      <c r="A23" s="81" t="s">
        <v>2223</v>
      </c>
      <c r="B23" s="224">
        <f ca="1">IF(F23="——",IF(C23="万元",T25,S25),IF(C23="万元",T25-H23,S25-H23))</f>
        <v>63992968</v>
      </c>
      <c r="C23" s="1551" t="str">
        <f>'数据-取费表'!B3</f>
        <v>元</v>
      </c>
      <c r="D23" s="37"/>
      <c r="E23" s="37"/>
      <c r="F23" s="1552" t="s">
        <v>1241</v>
      </c>
      <c r="G23" s="1324"/>
      <c r="H23" s="575" t="e">
        <f ca="1">SUMIF(INDIRECT("'"&amp;J23&amp;"'"&amp;"!A:A"),"承租人权益价值",INDIRECT("'"&amp;J23&amp;"'"&amp;"!c:c"))</f>
        <v>#REF!</v>
      </c>
      <c r="I23" s="575" t="str">
        <f>C2</f>
        <v>元</v>
      </c>
      <c r="J23" s="1553"/>
      <c r="K23" s="37"/>
      <c r="L23" s="37"/>
      <c r="M23" s="37"/>
      <c r="N23" s="37"/>
      <c r="O23" s="37"/>
      <c r="P23" s="37"/>
      <c r="Q23" s="37"/>
      <c r="R23" s="645"/>
      <c r="S23" s="31"/>
      <c r="T23" s="31"/>
      <c r="U23" s="999"/>
      <c r="V23" s="1000"/>
      <c r="W23" s="662"/>
      <c r="X23" s="662"/>
      <c r="Y23" s="662"/>
      <c r="Z23" s="662"/>
    </row>
    <row r="24" spans="1:45" ht="15.75">
      <c r="A24" s="1551" t="s">
        <v>2224</v>
      </c>
      <c r="B24" s="224">
        <f ca="1">ROUND(B23*10000/B25,0)</f>
        <v>873815004</v>
      </c>
      <c r="C24" s="864"/>
      <c r="D24" s="37"/>
      <c r="E24" s="37"/>
      <c r="F24" s="37"/>
      <c r="G24" s="37"/>
      <c r="H24" s="37"/>
      <c r="I24" s="37"/>
      <c r="J24" s="37"/>
      <c r="K24" s="37"/>
      <c r="L24" s="37"/>
      <c r="M24" s="37"/>
      <c r="N24" s="37"/>
      <c r="O24" s="37"/>
      <c r="P24" s="37"/>
      <c r="Q24" s="37"/>
      <c r="R24" s="645"/>
      <c r="S24" s="13" t="s">
        <v>2225</v>
      </c>
      <c r="T24" s="1330" t="s">
        <v>2226</v>
      </c>
      <c r="U24" s="2240" t="s">
        <v>2227</v>
      </c>
      <c r="V24" s="2982"/>
      <c r="W24" s="2983" t="s">
        <v>2228</v>
      </c>
      <c r="X24" s="2240" t="s">
        <v>2229</v>
      </c>
      <c r="Y24" s="2982"/>
      <c r="Z24" s="2984" t="s">
        <v>2228</v>
      </c>
    </row>
    <row r="25" spans="1:45">
      <c r="A25" s="250" t="s">
        <v>2230</v>
      </c>
      <c r="B25" s="13">
        <f>SUM(B27:B10000)</f>
        <v>732.34</v>
      </c>
      <c r="C25" s="3505" t="s">
        <v>45</v>
      </c>
      <c r="D25" s="3506"/>
      <c r="E25" s="3506"/>
      <c r="F25" s="3506"/>
      <c r="G25" s="3506"/>
      <c r="H25" s="3506"/>
      <c r="I25" s="3506"/>
      <c r="J25" s="3506"/>
      <c r="K25" s="3506"/>
      <c r="L25" s="3506"/>
      <c r="M25" s="3506"/>
      <c r="N25" s="3506"/>
      <c r="O25" s="3506"/>
      <c r="P25" s="3506"/>
      <c r="Q25" s="3507"/>
      <c r="R25" s="597">
        <f ca="1">IF(C23="万元",ROUND(T25*10000/B25,0),ROUND(S25/B25,0))</f>
        <v>87382</v>
      </c>
      <c r="S25" s="13">
        <f ca="1">SUM(S27:S10000)</f>
        <v>63992968</v>
      </c>
      <c r="T25" s="13">
        <f ca="1">SUM(T27:T10000)</f>
        <v>6399</v>
      </c>
      <c r="U25" s="17">
        <f>SUM(U27:U10000)</f>
        <v>0</v>
      </c>
      <c r="V25" s="17">
        <f>SUM(V27:V10000)</f>
        <v>0</v>
      </c>
      <c r="W25" s="2986"/>
      <c r="X25" s="17">
        <f>SUM(X27:X10000)</f>
        <v>0</v>
      </c>
      <c r="Y25" s="17">
        <f>SUM(Y27:Y10000)</f>
        <v>0</v>
      </c>
      <c r="Z25" s="1554"/>
    </row>
    <row r="26" spans="1:45" s="11" customFormat="1" ht="24">
      <c r="A26" s="10" t="s">
        <v>2231</v>
      </c>
      <c r="B26" s="10" t="s">
        <v>2232</v>
      </c>
      <c r="C26" s="10" t="s">
        <v>2233</v>
      </c>
      <c r="D26" s="10" t="str">
        <f>B8</f>
        <v>朝向</v>
      </c>
      <c r="E26" s="10" t="s">
        <v>2233</v>
      </c>
      <c r="F26" s="10" t="str">
        <f>B10</f>
        <v>装修</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901</v>
      </c>
      <c r="B27" s="600">
        <f>'数据-取费表'!E5</f>
        <v>366.17</v>
      </c>
      <c r="C27" s="901">
        <v>1</v>
      </c>
      <c r="D27" s="601" t="s">
        <v>2927</v>
      </c>
      <c r="E27" s="901">
        <v>1</v>
      </c>
      <c r="F27" s="601" t="s">
        <v>2933</v>
      </c>
      <c r="G27" s="901">
        <v>1</v>
      </c>
      <c r="H27" s="601"/>
      <c r="I27" s="901">
        <v>1</v>
      </c>
      <c r="J27" s="601"/>
      <c r="K27" s="901">
        <v>1</v>
      </c>
      <c r="L27" s="601"/>
      <c r="M27" s="901">
        <v>1</v>
      </c>
      <c r="N27" s="601"/>
      <c r="O27" s="901">
        <v>1</v>
      </c>
      <c r="P27" s="3169" t="s">
        <v>2924</v>
      </c>
      <c r="Q27" s="901">
        <v>1</v>
      </c>
      <c r="R27" s="907">
        <f ca="1">'结果表 (1修多)'!G20</f>
        <v>88300</v>
      </c>
      <c r="S27" s="600">
        <f ca="1">ROUND(R27*B27,0)</f>
        <v>32332811</v>
      </c>
      <c r="T27" s="600">
        <f ca="1">ROUND(R27*B27/10000,0)</f>
        <v>3233</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902</v>
      </c>
      <c r="B28" s="20">
        <v>366.17</v>
      </c>
      <c r="C28" s="13">
        <f t="shared" ref="C28:C91" si="14">IF(B28="",1,(LOOKUP(B28,$6:$6,$7:$7)-LOOKUP($B$27,$6:$6,$7:$7)+100)/100)</f>
        <v>1</v>
      </c>
      <c r="D28" s="601" t="s">
        <v>2931</v>
      </c>
      <c r="E28" s="13">
        <f t="shared" ref="E28:E91" si="15">(SUMIF($8:$8,D28,$9:$9)-SUMIF($8:$8,$D$27,$9:$9)+100)/100</f>
        <v>1.02</v>
      </c>
      <c r="F28" s="601" t="s">
        <v>2938</v>
      </c>
      <c r="G28" s="13">
        <f t="shared" ref="G28:G91" si="16">(SUMIF($10:$10,F28,$11:$11)-SUMIF($10:$10,$F$27,$11:$11)+100)/100</f>
        <v>0.96</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3169" t="s">
        <v>2924</v>
      </c>
      <c r="Q28" s="13">
        <f t="shared" ref="Q28:Q91" si="21">(SUMIF($20:$20,P28,$21:$21)-SUMIF($20:$20,$P$27,$21:$21)+100)/100</f>
        <v>1</v>
      </c>
      <c r="R28" s="597">
        <f ca="1">IF(B28="",0,ROUND($R$27*C28*E28*G28*I28*K28*M28*O28*Q28,0))</f>
        <v>86463</v>
      </c>
      <c r="S28" s="250">
        <f ca="1">ROUND(R28*B28,0)</f>
        <v>31660157</v>
      </c>
      <c r="T28" s="901">
        <f ca="1">ROUND(R28*B28/10000,0)</f>
        <v>3166</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0.02</v>
      </c>
      <c r="F29" s="601"/>
      <c r="G29" s="13">
        <f t="shared" si="16"/>
        <v>0.02</v>
      </c>
      <c r="H29" s="601"/>
      <c r="I29" s="13">
        <f t="shared" si="17"/>
        <v>1</v>
      </c>
      <c r="J29" s="601"/>
      <c r="K29" s="13">
        <f t="shared" si="18"/>
        <v>1</v>
      </c>
      <c r="L29" s="601"/>
      <c r="M29" s="13">
        <f t="shared" si="19"/>
        <v>1</v>
      </c>
      <c r="N29" s="601"/>
      <c r="O29" s="13">
        <f t="shared" si="20"/>
        <v>1</v>
      </c>
      <c r="P29" s="601"/>
      <c r="Q29" s="13">
        <f t="shared" si="21"/>
        <v>0.05</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0.02</v>
      </c>
      <c r="F30" s="601"/>
      <c r="G30" s="13">
        <f t="shared" si="16"/>
        <v>0.02</v>
      </c>
      <c r="H30" s="601"/>
      <c r="I30" s="13">
        <f t="shared" si="17"/>
        <v>1</v>
      </c>
      <c r="J30" s="601"/>
      <c r="K30" s="13">
        <f t="shared" si="18"/>
        <v>1</v>
      </c>
      <c r="L30" s="601"/>
      <c r="M30" s="13">
        <f t="shared" si="19"/>
        <v>1</v>
      </c>
      <c r="N30" s="601"/>
      <c r="O30" s="13">
        <f t="shared" si="20"/>
        <v>1</v>
      </c>
      <c r="P30" s="601"/>
      <c r="Q30" s="13">
        <f t="shared" si="21"/>
        <v>0.05</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0.02</v>
      </c>
      <c r="F31" s="601"/>
      <c r="G31" s="13">
        <f t="shared" si="16"/>
        <v>0.02</v>
      </c>
      <c r="H31" s="601"/>
      <c r="I31" s="13">
        <f t="shared" si="17"/>
        <v>1</v>
      </c>
      <c r="J31" s="601"/>
      <c r="K31" s="13">
        <f t="shared" si="18"/>
        <v>1</v>
      </c>
      <c r="L31" s="601"/>
      <c r="M31" s="13">
        <f t="shared" si="19"/>
        <v>1</v>
      </c>
      <c r="N31" s="601"/>
      <c r="O31" s="13">
        <f t="shared" si="20"/>
        <v>1</v>
      </c>
      <c r="P31" s="601"/>
      <c r="Q31" s="13">
        <f t="shared" si="21"/>
        <v>0.05</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0.02</v>
      </c>
      <c r="F32" s="601"/>
      <c r="G32" s="13">
        <f t="shared" si="16"/>
        <v>0.02</v>
      </c>
      <c r="H32" s="601"/>
      <c r="I32" s="13">
        <f t="shared" si="17"/>
        <v>1</v>
      </c>
      <c r="J32" s="601"/>
      <c r="K32" s="13">
        <f t="shared" si="18"/>
        <v>1</v>
      </c>
      <c r="L32" s="601"/>
      <c r="M32" s="13">
        <f t="shared" si="19"/>
        <v>1</v>
      </c>
      <c r="N32" s="601"/>
      <c r="O32" s="13">
        <f t="shared" si="20"/>
        <v>1</v>
      </c>
      <c r="P32" s="601"/>
      <c r="Q32" s="13">
        <f t="shared" si="21"/>
        <v>0.05</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0.02</v>
      </c>
      <c r="F33" s="601"/>
      <c r="G33" s="13">
        <f t="shared" si="16"/>
        <v>0.02</v>
      </c>
      <c r="H33" s="601"/>
      <c r="I33" s="13">
        <f t="shared" si="17"/>
        <v>1</v>
      </c>
      <c r="J33" s="601"/>
      <c r="K33" s="13">
        <f t="shared" si="18"/>
        <v>1</v>
      </c>
      <c r="L33" s="601"/>
      <c r="M33" s="13">
        <f t="shared" si="19"/>
        <v>1</v>
      </c>
      <c r="N33" s="601"/>
      <c r="O33" s="13">
        <f t="shared" si="20"/>
        <v>1</v>
      </c>
      <c r="P33" s="601"/>
      <c r="Q33" s="13">
        <f t="shared" si="21"/>
        <v>0.05</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0.02</v>
      </c>
      <c r="F34" s="601"/>
      <c r="G34" s="13">
        <f t="shared" si="16"/>
        <v>0.02</v>
      </c>
      <c r="H34" s="601"/>
      <c r="I34" s="13">
        <f t="shared" si="17"/>
        <v>1</v>
      </c>
      <c r="J34" s="601"/>
      <c r="K34" s="13">
        <f t="shared" si="18"/>
        <v>1</v>
      </c>
      <c r="L34" s="601"/>
      <c r="M34" s="13">
        <f t="shared" si="19"/>
        <v>1</v>
      </c>
      <c r="N34" s="601"/>
      <c r="O34" s="13">
        <f t="shared" si="20"/>
        <v>1</v>
      </c>
      <c r="P34" s="601"/>
      <c r="Q34" s="13">
        <f t="shared" si="21"/>
        <v>0.05</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0.02</v>
      </c>
      <c r="F35" s="601"/>
      <c r="G35" s="13">
        <f t="shared" si="16"/>
        <v>0.02</v>
      </c>
      <c r="H35" s="601"/>
      <c r="I35" s="13">
        <f t="shared" si="17"/>
        <v>1</v>
      </c>
      <c r="J35" s="601"/>
      <c r="K35" s="13">
        <f t="shared" si="18"/>
        <v>1</v>
      </c>
      <c r="L35" s="601"/>
      <c r="M35" s="13">
        <f t="shared" si="19"/>
        <v>1</v>
      </c>
      <c r="N35" s="601"/>
      <c r="O35" s="13">
        <f t="shared" si="20"/>
        <v>1</v>
      </c>
      <c r="P35" s="601"/>
      <c r="Q35" s="13">
        <f t="shared" si="21"/>
        <v>0.05</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0.02</v>
      </c>
      <c r="F36" s="601"/>
      <c r="G36" s="13">
        <f t="shared" si="16"/>
        <v>0.02</v>
      </c>
      <c r="H36" s="601"/>
      <c r="I36" s="13">
        <f t="shared" si="17"/>
        <v>1</v>
      </c>
      <c r="J36" s="601"/>
      <c r="K36" s="13">
        <f t="shared" si="18"/>
        <v>1</v>
      </c>
      <c r="L36" s="601"/>
      <c r="M36" s="13">
        <f t="shared" si="19"/>
        <v>1</v>
      </c>
      <c r="N36" s="601"/>
      <c r="O36" s="13">
        <f t="shared" si="20"/>
        <v>1</v>
      </c>
      <c r="P36" s="601"/>
      <c r="Q36" s="13">
        <f t="shared" si="21"/>
        <v>0.05</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0.02</v>
      </c>
      <c r="F37" s="601"/>
      <c r="G37" s="13">
        <f t="shared" si="16"/>
        <v>0.02</v>
      </c>
      <c r="H37" s="601"/>
      <c r="I37" s="13">
        <f t="shared" si="17"/>
        <v>1</v>
      </c>
      <c r="J37" s="601"/>
      <c r="K37" s="13">
        <f t="shared" si="18"/>
        <v>1</v>
      </c>
      <c r="L37" s="601"/>
      <c r="M37" s="13">
        <f t="shared" si="19"/>
        <v>1</v>
      </c>
      <c r="N37" s="601"/>
      <c r="O37" s="13">
        <f t="shared" si="20"/>
        <v>1</v>
      </c>
      <c r="P37" s="601"/>
      <c r="Q37" s="13">
        <f t="shared" si="21"/>
        <v>0.05</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0.02</v>
      </c>
      <c r="F38" s="601"/>
      <c r="G38" s="13">
        <f t="shared" si="16"/>
        <v>0.02</v>
      </c>
      <c r="H38" s="601"/>
      <c r="I38" s="13">
        <f t="shared" si="17"/>
        <v>1</v>
      </c>
      <c r="J38" s="601"/>
      <c r="K38" s="13">
        <f t="shared" si="18"/>
        <v>1</v>
      </c>
      <c r="L38" s="601"/>
      <c r="M38" s="13">
        <f t="shared" si="19"/>
        <v>1</v>
      </c>
      <c r="N38" s="601"/>
      <c r="O38" s="13">
        <f t="shared" si="20"/>
        <v>1</v>
      </c>
      <c r="P38" s="601"/>
      <c r="Q38" s="13">
        <f t="shared" si="21"/>
        <v>0.05</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0.02</v>
      </c>
      <c r="F39" s="601"/>
      <c r="G39" s="13">
        <f t="shared" si="16"/>
        <v>0.02</v>
      </c>
      <c r="H39" s="601"/>
      <c r="I39" s="13">
        <f t="shared" si="17"/>
        <v>1</v>
      </c>
      <c r="J39" s="601"/>
      <c r="K39" s="13">
        <f t="shared" si="18"/>
        <v>1</v>
      </c>
      <c r="L39" s="601"/>
      <c r="M39" s="13">
        <f t="shared" si="19"/>
        <v>1</v>
      </c>
      <c r="N39" s="601"/>
      <c r="O39" s="13">
        <f t="shared" si="20"/>
        <v>1</v>
      </c>
      <c r="P39" s="601"/>
      <c r="Q39" s="13">
        <f t="shared" si="21"/>
        <v>0.05</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0.02</v>
      </c>
      <c r="F40" s="601"/>
      <c r="G40" s="13">
        <f t="shared" si="16"/>
        <v>0.02</v>
      </c>
      <c r="H40" s="601"/>
      <c r="I40" s="13">
        <f t="shared" si="17"/>
        <v>1</v>
      </c>
      <c r="J40" s="601"/>
      <c r="K40" s="13">
        <f t="shared" si="18"/>
        <v>1</v>
      </c>
      <c r="L40" s="601"/>
      <c r="M40" s="13">
        <f t="shared" si="19"/>
        <v>1</v>
      </c>
      <c r="N40" s="601"/>
      <c r="O40" s="13">
        <f t="shared" si="20"/>
        <v>1</v>
      </c>
      <c r="P40" s="601"/>
      <c r="Q40" s="13">
        <f t="shared" si="21"/>
        <v>0.05</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0.02</v>
      </c>
      <c r="F41" s="601"/>
      <c r="G41" s="13">
        <f t="shared" si="16"/>
        <v>0.02</v>
      </c>
      <c r="H41" s="601"/>
      <c r="I41" s="13">
        <f t="shared" si="17"/>
        <v>1</v>
      </c>
      <c r="J41" s="601"/>
      <c r="K41" s="13">
        <f t="shared" si="18"/>
        <v>1</v>
      </c>
      <c r="L41" s="601"/>
      <c r="M41" s="13">
        <f t="shared" si="19"/>
        <v>1</v>
      </c>
      <c r="N41" s="601"/>
      <c r="O41" s="13">
        <f t="shared" si="20"/>
        <v>1</v>
      </c>
      <c r="P41" s="601"/>
      <c r="Q41" s="13">
        <f t="shared" si="21"/>
        <v>0.05</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0.02</v>
      </c>
      <c r="F42" s="601"/>
      <c r="G42" s="13">
        <f t="shared" si="16"/>
        <v>0.02</v>
      </c>
      <c r="H42" s="601"/>
      <c r="I42" s="13">
        <f t="shared" si="17"/>
        <v>1</v>
      </c>
      <c r="J42" s="601"/>
      <c r="K42" s="13">
        <f t="shared" si="18"/>
        <v>1</v>
      </c>
      <c r="L42" s="601"/>
      <c r="M42" s="13">
        <f t="shared" si="19"/>
        <v>1</v>
      </c>
      <c r="N42" s="601"/>
      <c r="O42" s="13">
        <f t="shared" si="20"/>
        <v>1</v>
      </c>
      <c r="P42" s="601"/>
      <c r="Q42" s="13">
        <f t="shared" si="21"/>
        <v>0.05</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0.02</v>
      </c>
      <c r="F43" s="601"/>
      <c r="G43" s="13">
        <f t="shared" si="16"/>
        <v>0.02</v>
      </c>
      <c r="H43" s="601"/>
      <c r="I43" s="13">
        <f t="shared" si="17"/>
        <v>1</v>
      </c>
      <c r="J43" s="601"/>
      <c r="K43" s="13">
        <f t="shared" si="18"/>
        <v>1</v>
      </c>
      <c r="L43" s="601"/>
      <c r="M43" s="13">
        <f t="shared" si="19"/>
        <v>1</v>
      </c>
      <c r="N43" s="601"/>
      <c r="O43" s="13">
        <f t="shared" si="20"/>
        <v>1</v>
      </c>
      <c r="P43" s="601"/>
      <c r="Q43" s="13">
        <f t="shared" si="21"/>
        <v>0.05</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0.02</v>
      </c>
      <c r="F44" s="601"/>
      <c r="G44" s="13">
        <f t="shared" si="16"/>
        <v>0.02</v>
      </c>
      <c r="H44" s="601"/>
      <c r="I44" s="13">
        <f t="shared" si="17"/>
        <v>1</v>
      </c>
      <c r="J44" s="601"/>
      <c r="K44" s="13">
        <f t="shared" si="18"/>
        <v>1</v>
      </c>
      <c r="L44" s="601"/>
      <c r="M44" s="13">
        <f t="shared" si="19"/>
        <v>1</v>
      </c>
      <c r="N44" s="601"/>
      <c r="O44" s="13">
        <f t="shared" si="20"/>
        <v>1</v>
      </c>
      <c r="P44" s="601"/>
      <c r="Q44" s="13">
        <f t="shared" si="21"/>
        <v>0.05</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0.02</v>
      </c>
      <c r="F45" s="601"/>
      <c r="G45" s="13">
        <f t="shared" si="16"/>
        <v>0.02</v>
      </c>
      <c r="H45" s="601"/>
      <c r="I45" s="13">
        <f t="shared" si="17"/>
        <v>1</v>
      </c>
      <c r="J45" s="601"/>
      <c r="K45" s="13">
        <f t="shared" si="18"/>
        <v>1</v>
      </c>
      <c r="L45" s="601"/>
      <c r="M45" s="13">
        <f t="shared" si="19"/>
        <v>1</v>
      </c>
      <c r="N45" s="601"/>
      <c r="O45" s="13">
        <f t="shared" si="20"/>
        <v>1</v>
      </c>
      <c r="P45" s="601"/>
      <c r="Q45" s="13">
        <f t="shared" si="21"/>
        <v>0.05</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0.02</v>
      </c>
      <c r="F46" s="601"/>
      <c r="G46" s="13">
        <f t="shared" si="16"/>
        <v>0.02</v>
      </c>
      <c r="H46" s="601"/>
      <c r="I46" s="13">
        <f t="shared" si="17"/>
        <v>1</v>
      </c>
      <c r="J46" s="601"/>
      <c r="K46" s="13">
        <f t="shared" si="18"/>
        <v>1</v>
      </c>
      <c r="L46" s="601"/>
      <c r="M46" s="13">
        <f t="shared" si="19"/>
        <v>1</v>
      </c>
      <c r="N46" s="601"/>
      <c r="O46" s="13">
        <f t="shared" si="20"/>
        <v>1</v>
      </c>
      <c r="P46" s="601"/>
      <c r="Q46" s="13">
        <f t="shared" si="21"/>
        <v>0.05</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0.02</v>
      </c>
      <c r="F47" s="601"/>
      <c r="G47" s="13">
        <f t="shared" si="16"/>
        <v>0.02</v>
      </c>
      <c r="H47" s="601"/>
      <c r="I47" s="13">
        <f t="shared" si="17"/>
        <v>1</v>
      </c>
      <c r="J47" s="601"/>
      <c r="K47" s="13">
        <f t="shared" si="18"/>
        <v>1</v>
      </c>
      <c r="L47" s="601"/>
      <c r="M47" s="13">
        <f t="shared" si="19"/>
        <v>1</v>
      </c>
      <c r="N47" s="601"/>
      <c r="O47" s="13">
        <f t="shared" si="20"/>
        <v>1</v>
      </c>
      <c r="P47" s="601"/>
      <c r="Q47" s="13">
        <f t="shared" si="21"/>
        <v>0.05</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0.02</v>
      </c>
      <c r="F48" s="601"/>
      <c r="G48" s="13">
        <f t="shared" si="16"/>
        <v>0.02</v>
      </c>
      <c r="H48" s="601"/>
      <c r="I48" s="13">
        <f t="shared" si="17"/>
        <v>1</v>
      </c>
      <c r="J48" s="601"/>
      <c r="K48" s="13">
        <f t="shared" si="18"/>
        <v>1</v>
      </c>
      <c r="L48" s="601"/>
      <c r="M48" s="13">
        <f t="shared" si="19"/>
        <v>1</v>
      </c>
      <c r="N48" s="601"/>
      <c r="O48" s="13">
        <f t="shared" si="20"/>
        <v>1</v>
      </c>
      <c r="P48" s="601"/>
      <c r="Q48" s="13">
        <f t="shared" si="21"/>
        <v>0.05</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0.02</v>
      </c>
      <c r="F49" s="601"/>
      <c r="G49" s="13">
        <f t="shared" si="16"/>
        <v>0.02</v>
      </c>
      <c r="H49" s="601"/>
      <c r="I49" s="13">
        <f t="shared" si="17"/>
        <v>1</v>
      </c>
      <c r="J49" s="601"/>
      <c r="K49" s="13">
        <f t="shared" si="18"/>
        <v>1</v>
      </c>
      <c r="L49" s="601"/>
      <c r="M49" s="13">
        <f t="shared" si="19"/>
        <v>1</v>
      </c>
      <c r="N49" s="601"/>
      <c r="O49" s="13">
        <f t="shared" si="20"/>
        <v>1</v>
      </c>
      <c r="P49" s="601"/>
      <c r="Q49" s="13">
        <f t="shared" si="21"/>
        <v>0.05</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0.02</v>
      </c>
      <c r="F50" s="601"/>
      <c r="G50" s="13">
        <f t="shared" si="16"/>
        <v>0.02</v>
      </c>
      <c r="H50" s="601"/>
      <c r="I50" s="13">
        <f t="shared" si="17"/>
        <v>1</v>
      </c>
      <c r="J50" s="601"/>
      <c r="K50" s="13">
        <f t="shared" si="18"/>
        <v>1</v>
      </c>
      <c r="L50" s="601"/>
      <c r="M50" s="13">
        <f t="shared" si="19"/>
        <v>1</v>
      </c>
      <c r="N50" s="601"/>
      <c r="O50" s="13">
        <f t="shared" si="20"/>
        <v>1</v>
      </c>
      <c r="P50" s="601"/>
      <c r="Q50" s="13">
        <f t="shared" si="21"/>
        <v>0.05</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0.02</v>
      </c>
      <c r="F51" s="601"/>
      <c r="G51" s="13">
        <f t="shared" si="16"/>
        <v>0.02</v>
      </c>
      <c r="H51" s="601"/>
      <c r="I51" s="13">
        <f t="shared" si="17"/>
        <v>1</v>
      </c>
      <c r="J51" s="601"/>
      <c r="K51" s="13">
        <f t="shared" si="18"/>
        <v>1</v>
      </c>
      <c r="L51" s="601"/>
      <c r="M51" s="13">
        <f t="shared" si="19"/>
        <v>1</v>
      </c>
      <c r="N51" s="601"/>
      <c r="O51" s="13">
        <f t="shared" si="20"/>
        <v>1</v>
      </c>
      <c r="P51" s="601"/>
      <c r="Q51" s="13">
        <f t="shared" si="21"/>
        <v>0.05</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0.02</v>
      </c>
      <c r="F52" s="601"/>
      <c r="G52" s="13">
        <f t="shared" si="16"/>
        <v>0.02</v>
      </c>
      <c r="H52" s="601"/>
      <c r="I52" s="13">
        <f t="shared" si="17"/>
        <v>1</v>
      </c>
      <c r="J52" s="601"/>
      <c r="K52" s="13">
        <f t="shared" si="18"/>
        <v>1</v>
      </c>
      <c r="L52" s="601"/>
      <c r="M52" s="13">
        <f t="shared" si="19"/>
        <v>1</v>
      </c>
      <c r="N52" s="601"/>
      <c r="O52" s="13">
        <f t="shared" si="20"/>
        <v>1</v>
      </c>
      <c r="P52" s="601"/>
      <c r="Q52" s="13">
        <f t="shared" si="21"/>
        <v>0.05</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0.02</v>
      </c>
      <c r="F53" s="601"/>
      <c r="G53" s="13">
        <f t="shared" si="16"/>
        <v>0.02</v>
      </c>
      <c r="H53" s="601"/>
      <c r="I53" s="13">
        <f t="shared" si="17"/>
        <v>1</v>
      </c>
      <c r="J53" s="601"/>
      <c r="K53" s="13">
        <f t="shared" si="18"/>
        <v>1</v>
      </c>
      <c r="L53" s="601"/>
      <c r="M53" s="13">
        <f t="shared" si="19"/>
        <v>1</v>
      </c>
      <c r="N53" s="601"/>
      <c r="O53" s="13">
        <f t="shared" si="20"/>
        <v>1</v>
      </c>
      <c r="P53" s="601"/>
      <c r="Q53" s="13">
        <f t="shared" si="21"/>
        <v>0.05</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0.02</v>
      </c>
      <c r="F54" s="601"/>
      <c r="G54" s="13">
        <f t="shared" si="16"/>
        <v>0.02</v>
      </c>
      <c r="H54" s="601"/>
      <c r="I54" s="13">
        <f t="shared" si="17"/>
        <v>1</v>
      </c>
      <c r="J54" s="601"/>
      <c r="K54" s="13">
        <f t="shared" si="18"/>
        <v>1</v>
      </c>
      <c r="L54" s="601"/>
      <c r="M54" s="13">
        <f t="shared" si="19"/>
        <v>1</v>
      </c>
      <c r="N54" s="601"/>
      <c r="O54" s="13">
        <f t="shared" si="20"/>
        <v>1</v>
      </c>
      <c r="P54" s="601"/>
      <c r="Q54" s="13">
        <f t="shared" si="21"/>
        <v>0.05</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0.02</v>
      </c>
      <c r="F55" s="601"/>
      <c r="G55" s="13">
        <f t="shared" si="16"/>
        <v>0.02</v>
      </c>
      <c r="H55" s="601"/>
      <c r="I55" s="13">
        <f t="shared" si="17"/>
        <v>1</v>
      </c>
      <c r="J55" s="601"/>
      <c r="K55" s="13">
        <f t="shared" si="18"/>
        <v>1</v>
      </c>
      <c r="L55" s="601"/>
      <c r="M55" s="13">
        <f t="shared" si="19"/>
        <v>1</v>
      </c>
      <c r="N55" s="601"/>
      <c r="O55" s="13">
        <f t="shared" si="20"/>
        <v>1</v>
      </c>
      <c r="P55" s="601"/>
      <c r="Q55" s="13">
        <f t="shared" si="21"/>
        <v>0.05</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0.02</v>
      </c>
      <c r="F56" s="601"/>
      <c r="G56" s="13">
        <f t="shared" si="16"/>
        <v>0.02</v>
      </c>
      <c r="H56" s="601"/>
      <c r="I56" s="13">
        <f t="shared" si="17"/>
        <v>1</v>
      </c>
      <c r="J56" s="601"/>
      <c r="K56" s="13">
        <f t="shared" si="18"/>
        <v>1</v>
      </c>
      <c r="L56" s="601"/>
      <c r="M56" s="13">
        <f t="shared" si="19"/>
        <v>1</v>
      </c>
      <c r="N56" s="601"/>
      <c r="O56" s="13">
        <f t="shared" si="20"/>
        <v>1</v>
      </c>
      <c r="P56" s="601"/>
      <c r="Q56" s="13">
        <f t="shared" si="21"/>
        <v>0.05</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0.02</v>
      </c>
      <c r="F57" s="601"/>
      <c r="G57" s="13">
        <f t="shared" si="16"/>
        <v>0.02</v>
      </c>
      <c r="H57" s="601"/>
      <c r="I57" s="13">
        <f t="shared" si="17"/>
        <v>1</v>
      </c>
      <c r="J57" s="601"/>
      <c r="K57" s="13">
        <f t="shared" si="18"/>
        <v>1</v>
      </c>
      <c r="L57" s="601"/>
      <c r="M57" s="13">
        <f t="shared" si="19"/>
        <v>1</v>
      </c>
      <c r="N57" s="601"/>
      <c r="O57" s="13">
        <f t="shared" si="20"/>
        <v>1</v>
      </c>
      <c r="P57" s="601"/>
      <c r="Q57" s="13">
        <f t="shared" si="21"/>
        <v>0.05</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0.02</v>
      </c>
      <c r="F58" s="601"/>
      <c r="G58" s="13">
        <f t="shared" si="16"/>
        <v>0.02</v>
      </c>
      <c r="H58" s="601"/>
      <c r="I58" s="13">
        <f t="shared" si="17"/>
        <v>1</v>
      </c>
      <c r="J58" s="601"/>
      <c r="K58" s="13">
        <f t="shared" si="18"/>
        <v>1</v>
      </c>
      <c r="L58" s="601"/>
      <c r="M58" s="13">
        <f t="shared" si="19"/>
        <v>1</v>
      </c>
      <c r="N58" s="601"/>
      <c r="O58" s="13">
        <f t="shared" si="20"/>
        <v>1</v>
      </c>
      <c r="P58" s="601"/>
      <c r="Q58" s="13">
        <f t="shared" si="21"/>
        <v>0.05</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0.02</v>
      </c>
      <c r="F59" s="601"/>
      <c r="G59" s="13">
        <f t="shared" si="16"/>
        <v>0.02</v>
      </c>
      <c r="H59" s="601"/>
      <c r="I59" s="13">
        <f t="shared" si="17"/>
        <v>1</v>
      </c>
      <c r="J59" s="601"/>
      <c r="K59" s="13">
        <f t="shared" si="18"/>
        <v>1</v>
      </c>
      <c r="L59" s="601"/>
      <c r="M59" s="13">
        <f t="shared" si="19"/>
        <v>1</v>
      </c>
      <c r="N59" s="601"/>
      <c r="O59" s="13">
        <f t="shared" si="20"/>
        <v>1</v>
      </c>
      <c r="P59" s="601"/>
      <c r="Q59" s="13">
        <f t="shared" si="21"/>
        <v>0.05</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0.02</v>
      </c>
      <c r="F60" s="601"/>
      <c r="G60" s="13">
        <f t="shared" si="16"/>
        <v>0.02</v>
      </c>
      <c r="H60" s="601"/>
      <c r="I60" s="13">
        <f t="shared" si="17"/>
        <v>1</v>
      </c>
      <c r="J60" s="601"/>
      <c r="K60" s="13">
        <f t="shared" si="18"/>
        <v>1</v>
      </c>
      <c r="L60" s="601"/>
      <c r="M60" s="13">
        <f t="shared" si="19"/>
        <v>1</v>
      </c>
      <c r="N60" s="601"/>
      <c r="O60" s="13">
        <f t="shared" si="20"/>
        <v>1</v>
      </c>
      <c r="P60" s="601"/>
      <c r="Q60" s="13">
        <f t="shared" si="21"/>
        <v>0.05</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0.02</v>
      </c>
      <c r="F61" s="601"/>
      <c r="G61" s="13">
        <f t="shared" si="16"/>
        <v>0.02</v>
      </c>
      <c r="H61" s="601"/>
      <c r="I61" s="13">
        <f t="shared" si="17"/>
        <v>1</v>
      </c>
      <c r="J61" s="601"/>
      <c r="K61" s="13">
        <f t="shared" si="18"/>
        <v>1</v>
      </c>
      <c r="L61" s="601"/>
      <c r="M61" s="13">
        <f t="shared" si="19"/>
        <v>1</v>
      </c>
      <c r="N61" s="601"/>
      <c r="O61" s="13">
        <f t="shared" si="20"/>
        <v>1</v>
      </c>
      <c r="P61" s="601"/>
      <c r="Q61" s="13">
        <f t="shared" si="21"/>
        <v>0.05</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0.02</v>
      </c>
      <c r="F62" s="601"/>
      <c r="G62" s="13">
        <f t="shared" si="16"/>
        <v>0.02</v>
      </c>
      <c r="H62" s="601"/>
      <c r="I62" s="13">
        <f t="shared" si="17"/>
        <v>1</v>
      </c>
      <c r="J62" s="601"/>
      <c r="K62" s="13">
        <f t="shared" si="18"/>
        <v>1</v>
      </c>
      <c r="L62" s="601"/>
      <c r="M62" s="13">
        <f t="shared" si="19"/>
        <v>1</v>
      </c>
      <c r="N62" s="601"/>
      <c r="O62" s="13">
        <f t="shared" si="20"/>
        <v>1</v>
      </c>
      <c r="P62" s="601"/>
      <c r="Q62" s="13">
        <f t="shared" si="21"/>
        <v>0.05</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0.02</v>
      </c>
      <c r="F63" s="601"/>
      <c r="G63" s="13">
        <f t="shared" si="16"/>
        <v>0.02</v>
      </c>
      <c r="H63" s="601"/>
      <c r="I63" s="13">
        <f t="shared" si="17"/>
        <v>1</v>
      </c>
      <c r="J63" s="601"/>
      <c r="K63" s="13">
        <f t="shared" si="18"/>
        <v>1</v>
      </c>
      <c r="L63" s="601"/>
      <c r="M63" s="13">
        <f t="shared" si="19"/>
        <v>1</v>
      </c>
      <c r="N63" s="601"/>
      <c r="O63" s="13">
        <f t="shared" si="20"/>
        <v>1</v>
      </c>
      <c r="P63" s="601"/>
      <c r="Q63" s="13">
        <f t="shared" si="21"/>
        <v>0.05</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0.02</v>
      </c>
      <c r="F64" s="601"/>
      <c r="G64" s="13">
        <f t="shared" si="16"/>
        <v>0.02</v>
      </c>
      <c r="H64" s="601"/>
      <c r="I64" s="13">
        <f t="shared" si="17"/>
        <v>1</v>
      </c>
      <c r="J64" s="601"/>
      <c r="K64" s="13">
        <f t="shared" si="18"/>
        <v>1</v>
      </c>
      <c r="L64" s="601"/>
      <c r="M64" s="13">
        <f t="shared" si="19"/>
        <v>1</v>
      </c>
      <c r="N64" s="601"/>
      <c r="O64" s="13">
        <f t="shared" si="20"/>
        <v>1</v>
      </c>
      <c r="P64" s="601"/>
      <c r="Q64" s="13">
        <f t="shared" si="21"/>
        <v>0.05</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0.02</v>
      </c>
      <c r="F65" s="601"/>
      <c r="G65" s="13">
        <f t="shared" si="16"/>
        <v>0.02</v>
      </c>
      <c r="H65" s="601"/>
      <c r="I65" s="13">
        <f t="shared" si="17"/>
        <v>1</v>
      </c>
      <c r="J65" s="601"/>
      <c r="K65" s="13">
        <f t="shared" si="18"/>
        <v>1</v>
      </c>
      <c r="L65" s="601"/>
      <c r="M65" s="13">
        <f t="shared" si="19"/>
        <v>1</v>
      </c>
      <c r="N65" s="601"/>
      <c r="O65" s="13">
        <f t="shared" si="20"/>
        <v>1</v>
      </c>
      <c r="P65" s="601"/>
      <c r="Q65" s="13">
        <f t="shared" si="21"/>
        <v>0.05</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0.02</v>
      </c>
      <c r="F66" s="601"/>
      <c r="G66" s="13">
        <f t="shared" si="16"/>
        <v>0.02</v>
      </c>
      <c r="H66" s="601"/>
      <c r="I66" s="13">
        <f t="shared" si="17"/>
        <v>1</v>
      </c>
      <c r="J66" s="601"/>
      <c r="K66" s="13">
        <f t="shared" si="18"/>
        <v>1</v>
      </c>
      <c r="L66" s="601"/>
      <c r="M66" s="13">
        <f t="shared" si="19"/>
        <v>1</v>
      </c>
      <c r="N66" s="601"/>
      <c r="O66" s="13">
        <f t="shared" si="20"/>
        <v>1</v>
      </c>
      <c r="P66" s="601"/>
      <c r="Q66" s="13">
        <f t="shared" si="21"/>
        <v>0.05</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0.02</v>
      </c>
      <c r="F67" s="601"/>
      <c r="G67" s="13">
        <f t="shared" si="16"/>
        <v>0.02</v>
      </c>
      <c r="H67" s="601"/>
      <c r="I67" s="13">
        <f t="shared" si="17"/>
        <v>1</v>
      </c>
      <c r="J67" s="601"/>
      <c r="K67" s="13">
        <f t="shared" si="18"/>
        <v>1</v>
      </c>
      <c r="L67" s="601"/>
      <c r="M67" s="13">
        <f t="shared" si="19"/>
        <v>1</v>
      </c>
      <c r="N67" s="601"/>
      <c r="O67" s="13">
        <f t="shared" si="20"/>
        <v>1</v>
      </c>
      <c r="P67" s="601"/>
      <c r="Q67" s="13">
        <f t="shared" si="21"/>
        <v>0.05</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0.02</v>
      </c>
      <c r="F68" s="601"/>
      <c r="G68" s="13">
        <f t="shared" si="16"/>
        <v>0.02</v>
      </c>
      <c r="H68" s="601"/>
      <c r="I68" s="13">
        <f t="shared" si="17"/>
        <v>1</v>
      </c>
      <c r="J68" s="601"/>
      <c r="K68" s="13">
        <f t="shared" si="18"/>
        <v>1</v>
      </c>
      <c r="L68" s="601"/>
      <c r="M68" s="13">
        <f t="shared" si="19"/>
        <v>1</v>
      </c>
      <c r="N68" s="601"/>
      <c r="O68" s="13">
        <f t="shared" si="20"/>
        <v>1</v>
      </c>
      <c r="P68" s="601"/>
      <c r="Q68" s="13">
        <f t="shared" si="21"/>
        <v>0.05</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0.02</v>
      </c>
      <c r="F69" s="601"/>
      <c r="G69" s="13">
        <f t="shared" si="16"/>
        <v>0.02</v>
      </c>
      <c r="H69" s="601"/>
      <c r="I69" s="13">
        <f t="shared" si="17"/>
        <v>1</v>
      </c>
      <c r="J69" s="601"/>
      <c r="K69" s="13">
        <f t="shared" si="18"/>
        <v>1</v>
      </c>
      <c r="L69" s="601"/>
      <c r="M69" s="13">
        <f t="shared" si="19"/>
        <v>1</v>
      </c>
      <c r="N69" s="601"/>
      <c r="O69" s="13">
        <f t="shared" si="20"/>
        <v>1</v>
      </c>
      <c r="P69" s="601"/>
      <c r="Q69" s="13">
        <f t="shared" si="21"/>
        <v>0.05</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0.02</v>
      </c>
      <c r="F70" s="601"/>
      <c r="G70" s="13">
        <f t="shared" si="16"/>
        <v>0.02</v>
      </c>
      <c r="H70" s="601"/>
      <c r="I70" s="13">
        <f t="shared" si="17"/>
        <v>1</v>
      </c>
      <c r="J70" s="601"/>
      <c r="K70" s="13">
        <f t="shared" si="18"/>
        <v>1</v>
      </c>
      <c r="L70" s="601"/>
      <c r="M70" s="13">
        <f t="shared" si="19"/>
        <v>1</v>
      </c>
      <c r="N70" s="601"/>
      <c r="O70" s="13">
        <f t="shared" si="20"/>
        <v>1</v>
      </c>
      <c r="P70" s="601"/>
      <c r="Q70" s="13">
        <f t="shared" si="21"/>
        <v>0.05</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0.02</v>
      </c>
      <c r="F71" s="601"/>
      <c r="G71" s="13">
        <f t="shared" si="16"/>
        <v>0.02</v>
      </c>
      <c r="H71" s="601"/>
      <c r="I71" s="13">
        <f t="shared" si="17"/>
        <v>1</v>
      </c>
      <c r="J71" s="601"/>
      <c r="K71" s="13">
        <f t="shared" si="18"/>
        <v>1</v>
      </c>
      <c r="L71" s="601"/>
      <c r="M71" s="13">
        <f t="shared" si="19"/>
        <v>1</v>
      </c>
      <c r="N71" s="601"/>
      <c r="O71" s="13">
        <f t="shared" si="20"/>
        <v>1</v>
      </c>
      <c r="P71" s="601"/>
      <c r="Q71" s="13">
        <f t="shared" si="21"/>
        <v>0.05</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0.02</v>
      </c>
      <c r="F72" s="601"/>
      <c r="G72" s="13">
        <f t="shared" si="16"/>
        <v>0.02</v>
      </c>
      <c r="H72" s="601"/>
      <c r="I72" s="13">
        <f t="shared" si="17"/>
        <v>1</v>
      </c>
      <c r="J72" s="601"/>
      <c r="K72" s="13">
        <f t="shared" si="18"/>
        <v>1</v>
      </c>
      <c r="L72" s="601"/>
      <c r="M72" s="13">
        <f t="shared" si="19"/>
        <v>1</v>
      </c>
      <c r="N72" s="601"/>
      <c r="O72" s="13">
        <f t="shared" si="20"/>
        <v>1</v>
      </c>
      <c r="P72" s="601"/>
      <c r="Q72" s="13">
        <f t="shared" si="21"/>
        <v>0.05</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0.02</v>
      </c>
      <c r="F73" s="601"/>
      <c r="G73" s="13">
        <f t="shared" si="16"/>
        <v>0.02</v>
      </c>
      <c r="H73" s="601"/>
      <c r="I73" s="13">
        <f t="shared" si="17"/>
        <v>1</v>
      </c>
      <c r="J73" s="601"/>
      <c r="K73" s="13">
        <f t="shared" si="18"/>
        <v>1</v>
      </c>
      <c r="L73" s="601"/>
      <c r="M73" s="13">
        <f t="shared" si="19"/>
        <v>1</v>
      </c>
      <c r="N73" s="601"/>
      <c r="O73" s="13">
        <f t="shared" si="20"/>
        <v>1</v>
      </c>
      <c r="P73" s="601"/>
      <c r="Q73" s="13">
        <f t="shared" si="21"/>
        <v>0.05</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0.02</v>
      </c>
      <c r="F74" s="601"/>
      <c r="G74" s="13">
        <f t="shared" si="16"/>
        <v>0.02</v>
      </c>
      <c r="H74" s="601"/>
      <c r="I74" s="13">
        <f t="shared" si="17"/>
        <v>1</v>
      </c>
      <c r="J74" s="601"/>
      <c r="K74" s="13">
        <f t="shared" si="18"/>
        <v>1</v>
      </c>
      <c r="L74" s="601"/>
      <c r="M74" s="13">
        <f t="shared" si="19"/>
        <v>1</v>
      </c>
      <c r="N74" s="601"/>
      <c r="O74" s="13">
        <f t="shared" si="20"/>
        <v>1</v>
      </c>
      <c r="P74" s="601"/>
      <c r="Q74" s="13">
        <f t="shared" si="21"/>
        <v>0.05</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0.02</v>
      </c>
      <c r="F75" s="601"/>
      <c r="G75" s="13">
        <f t="shared" si="16"/>
        <v>0.02</v>
      </c>
      <c r="H75" s="601"/>
      <c r="I75" s="13">
        <f t="shared" si="17"/>
        <v>1</v>
      </c>
      <c r="J75" s="601"/>
      <c r="K75" s="13">
        <f t="shared" si="18"/>
        <v>1</v>
      </c>
      <c r="L75" s="601"/>
      <c r="M75" s="13">
        <f t="shared" si="19"/>
        <v>1</v>
      </c>
      <c r="N75" s="601"/>
      <c r="O75" s="13">
        <f t="shared" si="20"/>
        <v>1</v>
      </c>
      <c r="P75" s="601"/>
      <c r="Q75" s="13">
        <f t="shared" si="21"/>
        <v>0.05</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0.02</v>
      </c>
      <c r="F76" s="601"/>
      <c r="G76" s="13">
        <f t="shared" si="16"/>
        <v>0.02</v>
      </c>
      <c r="H76" s="601"/>
      <c r="I76" s="13">
        <f t="shared" si="17"/>
        <v>1</v>
      </c>
      <c r="J76" s="601"/>
      <c r="K76" s="13">
        <f t="shared" si="18"/>
        <v>1</v>
      </c>
      <c r="L76" s="601"/>
      <c r="M76" s="13">
        <f t="shared" si="19"/>
        <v>1</v>
      </c>
      <c r="N76" s="601"/>
      <c r="O76" s="13">
        <f t="shared" si="20"/>
        <v>1</v>
      </c>
      <c r="P76" s="601"/>
      <c r="Q76" s="13">
        <f t="shared" si="21"/>
        <v>0.05</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0.02</v>
      </c>
      <c r="F77" s="601"/>
      <c r="G77" s="13">
        <f t="shared" si="16"/>
        <v>0.02</v>
      </c>
      <c r="H77" s="601"/>
      <c r="I77" s="13">
        <f t="shared" si="17"/>
        <v>1</v>
      </c>
      <c r="J77" s="601"/>
      <c r="K77" s="13">
        <f t="shared" si="18"/>
        <v>1</v>
      </c>
      <c r="L77" s="601"/>
      <c r="M77" s="13">
        <f t="shared" si="19"/>
        <v>1</v>
      </c>
      <c r="N77" s="601"/>
      <c r="O77" s="13">
        <f t="shared" si="20"/>
        <v>1</v>
      </c>
      <c r="P77" s="601"/>
      <c r="Q77" s="13">
        <f t="shared" si="21"/>
        <v>0.05</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0.02</v>
      </c>
      <c r="F78" s="601"/>
      <c r="G78" s="13">
        <f t="shared" si="16"/>
        <v>0.02</v>
      </c>
      <c r="H78" s="601"/>
      <c r="I78" s="13">
        <f t="shared" si="17"/>
        <v>1</v>
      </c>
      <c r="J78" s="601"/>
      <c r="K78" s="13">
        <f t="shared" si="18"/>
        <v>1</v>
      </c>
      <c r="L78" s="601"/>
      <c r="M78" s="13">
        <f t="shared" si="19"/>
        <v>1</v>
      </c>
      <c r="N78" s="601"/>
      <c r="O78" s="13">
        <f t="shared" si="20"/>
        <v>1</v>
      </c>
      <c r="P78" s="601"/>
      <c r="Q78" s="13">
        <f t="shared" si="21"/>
        <v>0.05</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0.02</v>
      </c>
      <c r="F79" s="601"/>
      <c r="G79" s="13">
        <f t="shared" si="16"/>
        <v>0.02</v>
      </c>
      <c r="H79" s="601"/>
      <c r="I79" s="13">
        <f t="shared" si="17"/>
        <v>1</v>
      </c>
      <c r="J79" s="601"/>
      <c r="K79" s="13">
        <f t="shared" si="18"/>
        <v>1</v>
      </c>
      <c r="L79" s="601"/>
      <c r="M79" s="13">
        <f t="shared" si="19"/>
        <v>1</v>
      </c>
      <c r="N79" s="601"/>
      <c r="O79" s="13">
        <f t="shared" si="20"/>
        <v>1</v>
      </c>
      <c r="P79" s="601"/>
      <c r="Q79" s="13">
        <f t="shared" si="21"/>
        <v>0.05</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0.02</v>
      </c>
      <c r="F80" s="601"/>
      <c r="G80" s="13">
        <f t="shared" si="16"/>
        <v>0.02</v>
      </c>
      <c r="H80" s="601"/>
      <c r="I80" s="13">
        <f t="shared" si="17"/>
        <v>1</v>
      </c>
      <c r="J80" s="601"/>
      <c r="K80" s="13">
        <f t="shared" si="18"/>
        <v>1</v>
      </c>
      <c r="L80" s="601"/>
      <c r="M80" s="13">
        <f t="shared" si="19"/>
        <v>1</v>
      </c>
      <c r="N80" s="601"/>
      <c r="O80" s="13">
        <f t="shared" si="20"/>
        <v>1</v>
      </c>
      <c r="P80" s="601"/>
      <c r="Q80" s="13">
        <f t="shared" si="21"/>
        <v>0.05</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0.02</v>
      </c>
      <c r="F81" s="601"/>
      <c r="G81" s="13">
        <f t="shared" si="16"/>
        <v>0.02</v>
      </c>
      <c r="H81" s="601"/>
      <c r="I81" s="13">
        <f t="shared" si="17"/>
        <v>1</v>
      </c>
      <c r="J81" s="601"/>
      <c r="K81" s="13">
        <f t="shared" si="18"/>
        <v>1</v>
      </c>
      <c r="L81" s="601"/>
      <c r="M81" s="13">
        <f t="shared" si="19"/>
        <v>1</v>
      </c>
      <c r="N81" s="601"/>
      <c r="O81" s="13">
        <f t="shared" si="20"/>
        <v>1</v>
      </c>
      <c r="P81" s="601"/>
      <c r="Q81" s="13">
        <f t="shared" si="21"/>
        <v>0.05</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0.02</v>
      </c>
      <c r="F82" s="601"/>
      <c r="G82" s="13">
        <f t="shared" si="16"/>
        <v>0.02</v>
      </c>
      <c r="H82" s="601"/>
      <c r="I82" s="13">
        <f t="shared" si="17"/>
        <v>1</v>
      </c>
      <c r="J82" s="601"/>
      <c r="K82" s="13">
        <f t="shared" si="18"/>
        <v>1</v>
      </c>
      <c r="L82" s="601"/>
      <c r="M82" s="13">
        <f t="shared" si="19"/>
        <v>1</v>
      </c>
      <c r="N82" s="601"/>
      <c r="O82" s="13">
        <f t="shared" si="20"/>
        <v>1</v>
      </c>
      <c r="P82" s="601"/>
      <c r="Q82" s="13">
        <f t="shared" si="21"/>
        <v>0.05</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0.02</v>
      </c>
      <c r="F83" s="601"/>
      <c r="G83" s="13">
        <f t="shared" si="16"/>
        <v>0.02</v>
      </c>
      <c r="H83" s="601"/>
      <c r="I83" s="13">
        <f t="shared" si="17"/>
        <v>1</v>
      </c>
      <c r="J83" s="601"/>
      <c r="K83" s="13">
        <f t="shared" si="18"/>
        <v>1</v>
      </c>
      <c r="L83" s="601"/>
      <c r="M83" s="13">
        <f t="shared" si="19"/>
        <v>1</v>
      </c>
      <c r="N83" s="601"/>
      <c r="O83" s="13">
        <f t="shared" si="20"/>
        <v>1</v>
      </c>
      <c r="P83" s="601"/>
      <c r="Q83" s="13">
        <f t="shared" si="21"/>
        <v>0.05</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0.02</v>
      </c>
      <c r="F84" s="601"/>
      <c r="G84" s="13">
        <f t="shared" si="16"/>
        <v>0.02</v>
      </c>
      <c r="H84" s="601"/>
      <c r="I84" s="13">
        <f t="shared" si="17"/>
        <v>1</v>
      </c>
      <c r="J84" s="601"/>
      <c r="K84" s="13">
        <f t="shared" si="18"/>
        <v>1</v>
      </c>
      <c r="L84" s="601"/>
      <c r="M84" s="13">
        <f t="shared" si="19"/>
        <v>1</v>
      </c>
      <c r="N84" s="601"/>
      <c r="O84" s="13">
        <f t="shared" si="20"/>
        <v>1</v>
      </c>
      <c r="P84" s="601"/>
      <c r="Q84" s="13">
        <f t="shared" si="21"/>
        <v>0.05</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0.02</v>
      </c>
      <c r="F85" s="601"/>
      <c r="G85" s="13">
        <f t="shared" si="16"/>
        <v>0.02</v>
      </c>
      <c r="H85" s="601"/>
      <c r="I85" s="13">
        <f t="shared" si="17"/>
        <v>1</v>
      </c>
      <c r="J85" s="601"/>
      <c r="K85" s="13">
        <f t="shared" si="18"/>
        <v>1</v>
      </c>
      <c r="L85" s="601"/>
      <c r="M85" s="13">
        <f t="shared" si="19"/>
        <v>1</v>
      </c>
      <c r="N85" s="601"/>
      <c r="O85" s="13">
        <f t="shared" si="20"/>
        <v>1</v>
      </c>
      <c r="P85" s="601"/>
      <c r="Q85" s="13">
        <f t="shared" si="21"/>
        <v>0.05</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0.02</v>
      </c>
      <c r="F86" s="601"/>
      <c r="G86" s="13">
        <f t="shared" si="16"/>
        <v>0.02</v>
      </c>
      <c r="H86" s="601"/>
      <c r="I86" s="13">
        <f t="shared" si="17"/>
        <v>1</v>
      </c>
      <c r="J86" s="601"/>
      <c r="K86" s="13">
        <f t="shared" si="18"/>
        <v>1</v>
      </c>
      <c r="L86" s="601"/>
      <c r="M86" s="13">
        <f t="shared" si="19"/>
        <v>1</v>
      </c>
      <c r="N86" s="601"/>
      <c r="O86" s="13">
        <f t="shared" si="20"/>
        <v>1</v>
      </c>
      <c r="P86" s="601"/>
      <c r="Q86" s="13">
        <f t="shared" si="21"/>
        <v>0.05</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0.02</v>
      </c>
      <c r="F87" s="601"/>
      <c r="G87" s="13">
        <f t="shared" si="16"/>
        <v>0.02</v>
      </c>
      <c r="H87" s="601"/>
      <c r="I87" s="13">
        <f t="shared" si="17"/>
        <v>1</v>
      </c>
      <c r="J87" s="601"/>
      <c r="K87" s="13">
        <f t="shared" si="18"/>
        <v>1</v>
      </c>
      <c r="L87" s="601"/>
      <c r="M87" s="13">
        <f t="shared" si="19"/>
        <v>1</v>
      </c>
      <c r="N87" s="601"/>
      <c r="O87" s="13">
        <f t="shared" si="20"/>
        <v>1</v>
      </c>
      <c r="P87" s="601"/>
      <c r="Q87" s="13">
        <f t="shared" si="21"/>
        <v>0.05</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0.02</v>
      </c>
      <c r="F88" s="601"/>
      <c r="G88" s="13">
        <f t="shared" si="16"/>
        <v>0.02</v>
      </c>
      <c r="H88" s="601"/>
      <c r="I88" s="13">
        <f t="shared" si="17"/>
        <v>1</v>
      </c>
      <c r="J88" s="601"/>
      <c r="K88" s="13">
        <f t="shared" si="18"/>
        <v>1</v>
      </c>
      <c r="L88" s="601"/>
      <c r="M88" s="13">
        <f t="shared" si="19"/>
        <v>1</v>
      </c>
      <c r="N88" s="601"/>
      <c r="O88" s="13">
        <f t="shared" si="20"/>
        <v>1</v>
      </c>
      <c r="P88" s="601"/>
      <c r="Q88" s="13">
        <f t="shared" si="21"/>
        <v>0.05</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0.02</v>
      </c>
      <c r="F89" s="601"/>
      <c r="G89" s="13">
        <f t="shared" si="16"/>
        <v>0.02</v>
      </c>
      <c r="H89" s="601"/>
      <c r="I89" s="13">
        <f t="shared" si="17"/>
        <v>1</v>
      </c>
      <c r="J89" s="601"/>
      <c r="K89" s="13">
        <f t="shared" si="18"/>
        <v>1</v>
      </c>
      <c r="L89" s="601"/>
      <c r="M89" s="13">
        <f t="shared" si="19"/>
        <v>1</v>
      </c>
      <c r="N89" s="601"/>
      <c r="O89" s="13">
        <f t="shared" si="20"/>
        <v>1</v>
      </c>
      <c r="P89" s="601"/>
      <c r="Q89" s="13">
        <f t="shared" si="21"/>
        <v>0.05</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0.02</v>
      </c>
      <c r="F90" s="601"/>
      <c r="G90" s="13">
        <f t="shared" si="16"/>
        <v>0.02</v>
      </c>
      <c r="H90" s="601"/>
      <c r="I90" s="13">
        <f t="shared" si="17"/>
        <v>1</v>
      </c>
      <c r="J90" s="601"/>
      <c r="K90" s="13">
        <f t="shared" si="18"/>
        <v>1</v>
      </c>
      <c r="L90" s="601"/>
      <c r="M90" s="13">
        <f t="shared" si="19"/>
        <v>1</v>
      </c>
      <c r="N90" s="601"/>
      <c r="O90" s="13">
        <f t="shared" si="20"/>
        <v>1</v>
      </c>
      <c r="P90" s="601"/>
      <c r="Q90" s="13">
        <f t="shared" si="21"/>
        <v>0.05</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0.02</v>
      </c>
      <c r="F91" s="601"/>
      <c r="G91" s="13">
        <f t="shared" si="16"/>
        <v>0.02</v>
      </c>
      <c r="H91" s="601"/>
      <c r="I91" s="13">
        <f t="shared" si="17"/>
        <v>1</v>
      </c>
      <c r="J91" s="601"/>
      <c r="K91" s="13">
        <f t="shared" si="18"/>
        <v>1</v>
      </c>
      <c r="L91" s="601"/>
      <c r="M91" s="13">
        <f t="shared" si="19"/>
        <v>1</v>
      </c>
      <c r="N91" s="601"/>
      <c r="O91" s="13">
        <f t="shared" si="20"/>
        <v>1</v>
      </c>
      <c r="P91" s="601"/>
      <c r="Q91" s="13">
        <f t="shared" si="21"/>
        <v>0.05</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0.02</v>
      </c>
      <c r="F92" s="601"/>
      <c r="G92" s="13">
        <f t="shared" ref="G92:G155" si="31">(SUMIF($10:$10,F92,$11:$11)-SUMIF($10:$10,$F$27,$11:$11)+100)/100</f>
        <v>0.02</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0.05</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0.02</v>
      </c>
      <c r="F93" s="601"/>
      <c r="G93" s="13">
        <f t="shared" si="31"/>
        <v>0.02</v>
      </c>
      <c r="H93" s="601"/>
      <c r="I93" s="13">
        <f t="shared" si="32"/>
        <v>1</v>
      </c>
      <c r="J93" s="601"/>
      <c r="K93" s="13">
        <f t="shared" si="33"/>
        <v>1</v>
      </c>
      <c r="L93" s="601"/>
      <c r="M93" s="13">
        <f t="shared" si="34"/>
        <v>1</v>
      </c>
      <c r="N93" s="601"/>
      <c r="O93" s="13">
        <f t="shared" si="35"/>
        <v>1</v>
      </c>
      <c r="P93" s="601"/>
      <c r="Q93" s="13">
        <f t="shared" si="36"/>
        <v>0.05</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0.02</v>
      </c>
      <c r="F94" s="601"/>
      <c r="G94" s="13">
        <f t="shared" si="31"/>
        <v>0.02</v>
      </c>
      <c r="H94" s="601"/>
      <c r="I94" s="13">
        <f t="shared" si="32"/>
        <v>1</v>
      </c>
      <c r="J94" s="601"/>
      <c r="K94" s="13">
        <f t="shared" si="33"/>
        <v>1</v>
      </c>
      <c r="L94" s="601"/>
      <c r="M94" s="13">
        <f t="shared" si="34"/>
        <v>1</v>
      </c>
      <c r="N94" s="601"/>
      <c r="O94" s="13">
        <f t="shared" si="35"/>
        <v>1</v>
      </c>
      <c r="P94" s="601"/>
      <c r="Q94" s="13">
        <f t="shared" si="36"/>
        <v>0.05</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0.02</v>
      </c>
      <c r="F95" s="601"/>
      <c r="G95" s="13">
        <f t="shared" si="31"/>
        <v>0.02</v>
      </c>
      <c r="H95" s="601"/>
      <c r="I95" s="13">
        <f t="shared" si="32"/>
        <v>1</v>
      </c>
      <c r="J95" s="601"/>
      <c r="K95" s="13">
        <f t="shared" si="33"/>
        <v>1</v>
      </c>
      <c r="L95" s="601"/>
      <c r="M95" s="13">
        <f t="shared" si="34"/>
        <v>1</v>
      </c>
      <c r="N95" s="601"/>
      <c r="O95" s="13">
        <f t="shared" si="35"/>
        <v>1</v>
      </c>
      <c r="P95" s="601"/>
      <c r="Q95" s="13">
        <f t="shared" si="36"/>
        <v>0.05</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0.02</v>
      </c>
      <c r="F96" s="601"/>
      <c r="G96" s="13">
        <f t="shared" si="31"/>
        <v>0.02</v>
      </c>
      <c r="H96" s="601"/>
      <c r="I96" s="13">
        <f t="shared" si="32"/>
        <v>1</v>
      </c>
      <c r="J96" s="601"/>
      <c r="K96" s="13">
        <f t="shared" si="33"/>
        <v>1</v>
      </c>
      <c r="L96" s="601"/>
      <c r="M96" s="13">
        <f t="shared" si="34"/>
        <v>1</v>
      </c>
      <c r="N96" s="601"/>
      <c r="O96" s="13">
        <f t="shared" si="35"/>
        <v>1</v>
      </c>
      <c r="P96" s="601"/>
      <c r="Q96" s="13">
        <f t="shared" si="36"/>
        <v>0.05</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0.02</v>
      </c>
      <c r="F97" s="601"/>
      <c r="G97" s="13">
        <f t="shared" si="31"/>
        <v>0.02</v>
      </c>
      <c r="H97" s="601"/>
      <c r="I97" s="13">
        <f t="shared" si="32"/>
        <v>1</v>
      </c>
      <c r="J97" s="601"/>
      <c r="K97" s="13">
        <f t="shared" si="33"/>
        <v>1</v>
      </c>
      <c r="L97" s="601"/>
      <c r="M97" s="13">
        <f t="shared" si="34"/>
        <v>1</v>
      </c>
      <c r="N97" s="601"/>
      <c r="O97" s="13">
        <f t="shared" si="35"/>
        <v>1</v>
      </c>
      <c r="P97" s="601"/>
      <c r="Q97" s="13">
        <f t="shared" si="36"/>
        <v>0.05</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0.02</v>
      </c>
      <c r="F98" s="601"/>
      <c r="G98" s="13">
        <f t="shared" si="31"/>
        <v>0.02</v>
      </c>
      <c r="H98" s="601"/>
      <c r="I98" s="13">
        <f t="shared" si="32"/>
        <v>1</v>
      </c>
      <c r="J98" s="601"/>
      <c r="K98" s="13">
        <f t="shared" si="33"/>
        <v>1</v>
      </c>
      <c r="L98" s="601"/>
      <c r="M98" s="13">
        <f t="shared" si="34"/>
        <v>1</v>
      </c>
      <c r="N98" s="601"/>
      <c r="O98" s="13">
        <f t="shared" si="35"/>
        <v>1</v>
      </c>
      <c r="P98" s="601"/>
      <c r="Q98" s="13">
        <f t="shared" si="36"/>
        <v>0.05</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0.02</v>
      </c>
      <c r="F99" s="601"/>
      <c r="G99" s="13">
        <f t="shared" si="31"/>
        <v>0.02</v>
      </c>
      <c r="H99" s="601"/>
      <c r="I99" s="13">
        <f t="shared" si="32"/>
        <v>1</v>
      </c>
      <c r="J99" s="601"/>
      <c r="K99" s="13">
        <f t="shared" si="33"/>
        <v>1</v>
      </c>
      <c r="L99" s="601"/>
      <c r="M99" s="13">
        <f t="shared" si="34"/>
        <v>1</v>
      </c>
      <c r="N99" s="601"/>
      <c r="O99" s="13">
        <f t="shared" si="35"/>
        <v>1</v>
      </c>
      <c r="P99" s="601"/>
      <c r="Q99" s="13">
        <f t="shared" si="36"/>
        <v>0.05</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0.02</v>
      </c>
      <c r="F100" s="601"/>
      <c r="G100" s="13">
        <f t="shared" si="31"/>
        <v>0.02</v>
      </c>
      <c r="H100" s="601"/>
      <c r="I100" s="13">
        <f t="shared" si="32"/>
        <v>1</v>
      </c>
      <c r="J100" s="601"/>
      <c r="K100" s="13">
        <f t="shared" si="33"/>
        <v>1</v>
      </c>
      <c r="L100" s="601"/>
      <c r="M100" s="13">
        <f t="shared" si="34"/>
        <v>1</v>
      </c>
      <c r="N100" s="601"/>
      <c r="O100" s="13">
        <f t="shared" si="35"/>
        <v>1</v>
      </c>
      <c r="P100" s="601"/>
      <c r="Q100" s="13">
        <f t="shared" si="36"/>
        <v>0.05</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0.02</v>
      </c>
      <c r="F101" s="601"/>
      <c r="G101" s="13">
        <f t="shared" si="31"/>
        <v>0.02</v>
      </c>
      <c r="H101" s="601"/>
      <c r="I101" s="13">
        <f t="shared" si="32"/>
        <v>1</v>
      </c>
      <c r="J101" s="601"/>
      <c r="K101" s="13">
        <f t="shared" si="33"/>
        <v>1</v>
      </c>
      <c r="L101" s="601"/>
      <c r="M101" s="13">
        <f t="shared" si="34"/>
        <v>1</v>
      </c>
      <c r="N101" s="601"/>
      <c r="O101" s="13">
        <f t="shared" si="35"/>
        <v>1</v>
      </c>
      <c r="P101" s="601"/>
      <c r="Q101" s="13">
        <f t="shared" si="36"/>
        <v>0.05</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0.02</v>
      </c>
      <c r="F102" s="601"/>
      <c r="G102" s="13">
        <f t="shared" si="31"/>
        <v>0.02</v>
      </c>
      <c r="H102" s="601"/>
      <c r="I102" s="13">
        <f t="shared" si="32"/>
        <v>1</v>
      </c>
      <c r="J102" s="601"/>
      <c r="K102" s="13">
        <f t="shared" si="33"/>
        <v>1</v>
      </c>
      <c r="L102" s="601"/>
      <c r="M102" s="13">
        <f t="shared" si="34"/>
        <v>1</v>
      </c>
      <c r="N102" s="601"/>
      <c r="O102" s="13">
        <f t="shared" si="35"/>
        <v>1</v>
      </c>
      <c r="P102" s="601"/>
      <c r="Q102" s="13">
        <f t="shared" si="36"/>
        <v>0.05</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0.02</v>
      </c>
      <c r="F103" s="601"/>
      <c r="G103" s="13">
        <f t="shared" si="31"/>
        <v>0.02</v>
      </c>
      <c r="H103" s="601"/>
      <c r="I103" s="13">
        <f t="shared" si="32"/>
        <v>1</v>
      </c>
      <c r="J103" s="601"/>
      <c r="K103" s="13">
        <f t="shared" si="33"/>
        <v>1</v>
      </c>
      <c r="L103" s="601"/>
      <c r="M103" s="13">
        <f t="shared" si="34"/>
        <v>1</v>
      </c>
      <c r="N103" s="601"/>
      <c r="O103" s="13">
        <f t="shared" si="35"/>
        <v>1</v>
      </c>
      <c r="P103" s="601"/>
      <c r="Q103" s="13">
        <f t="shared" si="36"/>
        <v>0.05</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0.02</v>
      </c>
      <c r="F104" s="601"/>
      <c r="G104" s="13">
        <f t="shared" si="31"/>
        <v>0.02</v>
      </c>
      <c r="H104" s="601"/>
      <c r="I104" s="13">
        <f t="shared" si="32"/>
        <v>1</v>
      </c>
      <c r="J104" s="601"/>
      <c r="K104" s="13">
        <f t="shared" si="33"/>
        <v>1</v>
      </c>
      <c r="L104" s="601"/>
      <c r="M104" s="13">
        <f t="shared" si="34"/>
        <v>1</v>
      </c>
      <c r="N104" s="601"/>
      <c r="O104" s="13">
        <f t="shared" si="35"/>
        <v>1</v>
      </c>
      <c r="P104" s="601"/>
      <c r="Q104" s="13">
        <f t="shared" si="36"/>
        <v>0.05</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0.02</v>
      </c>
      <c r="F105" s="601"/>
      <c r="G105" s="13">
        <f t="shared" si="31"/>
        <v>0.02</v>
      </c>
      <c r="H105" s="601"/>
      <c r="I105" s="13">
        <f t="shared" si="32"/>
        <v>1</v>
      </c>
      <c r="J105" s="601"/>
      <c r="K105" s="13">
        <f t="shared" si="33"/>
        <v>1</v>
      </c>
      <c r="L105" s="601"/>
      <c r="M105" s="13">
        <f t="shared" si="34"/>
        <v>1</v>
      </c>
      <c r="N105" s="601"/>
      <c r="O105" s="13">
        <f t="shared" si="35"/>
        <v>1</v>
      </c>
      <c r="P105" s="601"/>
      <c r="Q105" s="13">
        <f t="shared" si="36"/>
        <v>0.05</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0.02</v>
      </c>
      <c r="F106" s="601"/>
      <c r="G106" s="13">
        <f t="shared" si="31"/>
        <v>0.02</v>
      </c>
      <c r="H106" s="601"/>
      <c r="I106" s="13">
        <f t="shared" si="32"/>
        <v>1</v>
      </c>
      <c r="J106" s="601"/>
      <c r="K106" s="13">
        <f t="shared" si="33"/>
        <v>1</v>
      </c>
      <c r="L106" s="601"/>
      <c r="M106" s="13">
        <f t="shared" si="34"/>
        <v>1</v>
      </c>
      <c r="N106" s="601"/>
      <c r="O106" s="13">
        <f t="shared" si="35"/>
        <v>1</v>
      </c>
      <c r="P106" s="601"/>
      <c r="Q106" s="13">
        <f t="shared" si="36"/>
        <v>0.05</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0.02</v>
      </c>
      <c r="F107" s="601"/>
      <c r="G107" s="13">
        <f t="shared" si="31"/>
        <v>0.02</v>
      </c>
      <c r="H107" s="601"/>
      <c r="I107" s="13">
        <f t="shared" si="32"/>
        <v>1</v>
      </c>
      <c r="J107" s="601"/>
      <c r="K107" s="13">
        <f t="shared" si="33"/>
        <v>1</v>
      </c>
      <c r="L107" s="601"/>
      <c r="M107" s="13">
        <f t="shared" si="34"/>
        <v>1</v>
      </c>
      <c r="N107" s="601"/>
      <c r="O107" s="13">
        <f t="shared" si="35"/>
        <v>1</v>
      </c>
      <c r="P107" s="601"/>
      <c r="Q107" s="13">
        <f t="shared" si="36"/>
        <v>0.05</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0.02</v>
      </c>
      <c r="F108" s="601"/>
      <c r="G108" s="13">
        <f t="shared" si="31"/>
        <v>0.02</v>
      </c>
      <c r="H108" s="601"/>
      <c r="I108" s="13">
        <f t="shared" si="32"/>
        <v>1</v>
      </c>
      <c r="J108" s="601"/>
      <c r="K108" s="13">
        <f t="shared" si="33"/>
        <v>1</v>
      </c>
      <c r="L108" s="601"/>
      <c r="M108" s="13">
        <f t="shared" si="34"/>
        <v>1</v>
      </c>
      <c r="N108" s="601"/>
      <c r="O108" s="13">
        <f t="shared" si="35"/>
        <v>1</v>
      </c>
      <c r="P108" s="601"/>
      <c r="Q108" s="13">
        <f t="shared" si="36"/>
        <v>0.05</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0.02</v>
      </c>
      <c r="F109" s="601"/>
      <c r="G109" s="13">
        <f t="shared" si="31"/>
        <v>0.02</v>
      </c>
      <c r="H109" s="601"/>
      <c r="I109" s="13">
        <f t="shared" si="32"/>
        <v>1</v>
      </c>
      <c r="J109" s="601"/>
      <c r="K109" s="13">
        <f t="shared" si="33"/>
        <v>1</v>
      </c>
      <c r="L109" s="601"/>
      <c r="M109" s="13">
        <f t="shared" si="34"/>
        <v>1</v>
      </c>
      <c r="N109" s="601"/>
      <c r="O109" s="13">
        <f t="shared" si="35"/>
        <v>1</v>
      </c>
      <c r="P109" s="601"/>
      <c r="Q109" s="13">
        <f t="shared" si="36"/>
        <v>0.05</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0.02</v>
      </c>
      <c r="F110" s="601"/>
      <c r="G110" s="13">
        <f t="shared" si="31"/>
        <v>0.02</v>
      </c>
      <c r="H110" s="601"/>
      <c r="I110" s="13">
        <f t="shared" si="32"/>
        <v>1</v>
      </c>
      <c r="J110" s="601"/>
      <c r="K110" s="13">
        <f t="shared" si="33"/>
        <v>1</v>
      </c>
      <c r="L110" s="601"/>
      <c r="M110" s="13">
        <f t="shared" si="34"/>
        <v>1</v>
      </c>
      <c r="N110" s="601"/>
      <c r="O110" s="13">
        <f t="shared" si="35"/>
        <v>1</v>
      </c>
      <c r="P110" s="601"/>
      <c r="Q110" s="13">
        <f t="shared" si="36"/>
        <v>0.05</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0.02</v>
      </c>
      <c r="F111" s="601"/>
      <c r="G111" s="13">
        <f t="shared" si="31"/>
        <v>0.02</v>
      </c>
      <c r="H111" s="601"/>
      <c r="I111" s="13">
        <f t="shared" si="32"/>
        <v>1</v>
      </c>
      <c r="J111" s="601"/>
      <c r="K111" s="13">
        <f t="shared" si="33"/>
        <v>1</v>
      </c>
      <c r="L111" s="601"/>
      <c r="M111" s="13">
        <f t="shared" si="34"/>
        <v>1</v>
      </c>
      <c r="N111" s="601"/>
      <c r="O111" s="13">
        <f t="shared" si="35"/>
        <v>1</v>
      </c>
      <c r="P111" s="601"/>
      <c r="Q111" s="13">
        <f t="shared" si="36"/>
        <v>0.05</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0.02</v>
      </c>
      <c r="F112" s="601"/>
      <c r="G112" s="13">
        <f t="shared" si="31"/>
        <v>0.02</v>
      </c>
      <c r="H112" s="601"/>
      <c r="I112" s="13">
        <f t="shared" si="32"/>
        <v>1</v>
      </c>
      <c r="J112" s="601"/>
      <c r="K112" s="13">
        <f t="shared" si="33"/>
        <v>1</v>
      </c>
      <c r="L112" s="601"/>
      <c r="M112" s="13">
        <f t="shared" si="34"/>
        <v>1</v>
      </c>
      <c r="N112" s="601"/>
      <c r="O112" s="13">
        <f t="shared" si="35"/>
        <v>1</v>
      </c>
      <c r="P112" s="601"/>
      <c r="Q112" s="13">
        <f t="shared" si="36"/>
        <v>0.05</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0.02</v>
      </c>
      <c r="F113" s="601"/>
      <c r="G113" s="13">
        <f t="shared" si="31"/>
        <v>0.02</v>
      </c>
      <c r="H113" s="601"/>
      <c r="I113" s="13">
        <f t="shared" si="32"/>
        <v>1</v>
      </c>
      <c r="J113" s="601"/>
      <c r="K113" s="13">
        <f t="shared" si="33"/>
        <v>1</v>
      </c>
      <c r="L113" s="601"/>
      <c r="M113" s="13">
        <f t="shared" si="34"/>
        <v>1</v>
      </c>
      <c r="N113" s="601"/>
      <c r="O113" s="13">
        <f t="shared" si="35"/>
        <v>1</v>
      </c>
      <c r="P113" s="601"/>
      <c r="Q113" s="13">
        <f t="shared" si="36"/>
        <v>0.05</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0.02</v>
      </c>
      <c r="F114" s="601"/>
      <c r="G114" s="13">
        <f t="shared" si="31"/>
        <v>0.02</v>
      </c>
      <c r="H114" s="601"/>
      <c r="I114" s="13">
        <f t="shared" si="32"/>
        <v>1</v>
      </c>
      <c r="J114" s="601"/>
      <c r="K114" s="13">
        <f t="shared" si="33"/>
        <v>1</v>
      </c>
      <c r="L114" s="601"/>
      <c r="M114" s="13">
        <f t="shared" si="34"/>
        <v>1</v>
      </c>
      <c r="N114" s="601"/>
      <c r="O114" s="13">
        <f t="shared" si="35"/>
        <v>1</v>
      </c>
      <c r="P114" s="601"/>
      <c r="Q114" s="13">
        <f t="shared" si="36"/>
        <v>0.05</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0.02</v>
      </c>
      <c r="F115" s="601"/>
      <c r="G115" s="13">
        <f t="shared" si="31"/>
        <v>0.02</v>
      </c>
      <c r="H115" s="601"/>
      <c r="I115" s="13">
        <f t="shared" si="32"/>
        <v>1</v>
      </c>
      <c r="J115" s="601"/>
      <c r="K115" s="13">
        <f t="shared" si="33"/>
        <v>1</v>
      </c>
      <c r="L115" s="601"/>
      <c r="M115" s="13">
        <f t="shared" si="34"/>
        <v>1</v>
      </c>
      <c r="N115" s="601"/>
      <c r="O115" s="13">
        <f t="shared" si="35"/>
        <v>1</v>
      </c>
      <c r="P115" s="601"/>
      <c r="Q115" s="13">
        <f t="shared" si="36"/>
        <v>0.05</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0.02</v>
      </c>
      <c r="F116" s="601"/>
      <c r="G116" s="13">
        <f t="shared" si="31"/>
        <v>0.02</v>
      </c>
      <c r="H116" s="601"/>
      <c r="I116" s="13">
        <f t="shared" si="32"/>
        <v>1</v>
      </c>
      <c r="J116" s="601"/>
      <c r="K116" s="13">
        <f t="shared" si="33"/>
        <v>1</v>
      </c>
      <c r="L116" s="601"/>
      <c r="M116" s="13">
        <f t="shared" si="34"/>
        <v>1</v>
      </c>
      <c r="N116" s="601"/>
      <c r="O116" s="13">
        <f t="shared" si="35"/>
        <v>1</v>
      </c>
      <c r="P116" s="601"/>
      <c r="Q116" s="13">
        <f t="shared" si="36"/>
        <v>0.05</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0.02</v>
      </c>
      <c r="F117" s="601"/>
      <c r="G117" s="13">
        <f t="shared" si="31"/>
        <v>0.02</v>
      </c>
      <c r="H117" s="601"/>
      <c r="I117" s="13">
        <f t="shared" si="32"/>
        <v>1</v>
      </c>
      <c r="J117" s="601"/>
      <c r="K117" s="13">
        <f t="shared" si="33"/>
        <v>1</v>
      </c>
      <c r="L117" s="601"/>
      <c r="M117" s="13">
        <f t="shared" si="34"/>
        <v>1</v>
      </c>
      <c r="N117" s="601"/>
      <c r="O117" s="13">
        <f t="shared" si="35"/>
        <v>1</v>
      </c>
      <c r="P117" s="601"/>
      <c r="Q117" s="13">
        <f t="shared" si="36"/>
        <v>0.05</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0.02</v>
      </c>
      <c r="F118" s="601"/>
      <c r="G118" s="13">
        <f t="shared" si="31"/>
        <v>0.02</v>
      </c>
      <c r="H118" s="601"/>
      <c r="I118" s="13">
        <f t="shared" si="32"/>
        <v>1</v>
      </c>
      <c r="J118" s="601"/>
      <c r="K118" s="13">
        <f t="shared" si="33"/>
        <v>1</v>
      </c>
      <c r="L118" s="601"/>
      <c r="M118" s="13">
        <f t="shared" si="34"/>
        <v>1</v>
      </c>
      <c r="N118" s="601"/>
      <c r="O118" s="13">
        <f t="shared" si="35"/>
        <v>1</v>
      </c>
      <c r="P118" s="601"/>
      <c r="Q118" s="13">
        <f t="shared" si="36"/>
        <v>0.05</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0.02</v>
      </c>
      <c r="F119" s="601"/>
      <c r="G119" s="13">
        <f t="shared" si="31"/>
        <v>0.02</v>
      </c>
      <c r="H119" s="601"/>
      <c r="I119" s="13">
        <f t="shared" si="32"/>
        <v>1</v>
      </c>
      <c r="J119" s="601"/>
      <c r="K119" s="13">
        <f t="shared" si="33"/>
        <v>1</v>
      </c>
      <c r="L119" s="601"/>
      <c r="M119" s="13">
        <f t="shared" si="34"/>
        <v>1</v>
      </c>
      <c r="N119" s="601"/>
      <c r="O119" s="13">
        <f t="shared" si="35"/>
        <v>1</v>
      </c>
      <c r="P119" s="601"/>
      <c r="Q119" s="13">
        <f t="shared" si="36"/>
        <v>0.05</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0.02</v>
      </c>
      <c r="F120" s="601"/>
      <c r="G120" s="13">
        <f t="shared" si="31"/>
        <v>0.02</v>
      </c>
      <c r="H120" s="601"/>
      <c r="I120" s="13">
        <f t="shared" si="32"/>
        <v>1</v>
      </c>
      <c r="J120" s="601"/>
      <c r="K120" s="13">
        <f t="shared" si="33"/>
        <v>1</v>
      </c>
      <c r="L120" s="601"/>
      <c r="M120" s="13">
        <f t="shared" si="34"/>
        <v>1</v>
      </c>
      <c r="N120" s="601"/>
      <c r="O120" s="13">
        <f t="shared" si="35"/>
        <v>1</v>
      </c>
      <c r="P120" s="601"/>
      <c r="Q120" s="13">
        <f t="shared" si="36"/>
        <v>0.05</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0.02</v>
      </c>
      <c r="F121" s="601"/>
      <c r="G121" s="13">
        <f t="shared" si="31"/>
        <v>0.02</v>
      </c>
      <c r="H121" s="601"/>
      <c r="I121" s="13">
        <f t="shared" si="32"/>
        <v>1</v>
      </c>
      <c r="J121" s="601"/>
      <c r="K121" s="13">
        <f t="shared" si="33"/>
        <v>1</v>
      </c>
      <c r="L121" s="601"/>
      <c r="M121" s="13">
        <f t="shared" si="34"/>
        <v>1</v>
      </c>
      <c r="N121" s="601"/>
      <c r="O121" s="13">
        <f t="shared" si="35"/>
        <v>1</v>
      </c>
      <c r="P121" s="601"/>
      <c r="Q121" s="13">
        <f t="shared" si="36"/>
        <v>0.05</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0.02</v>
      </c>
      <c r="F122" s="601"/>
      <c r="G122" s="13">
        <f t="shared" si="31"/>
        <v>0.02</v>
      </c>
      <c r="H122" s="601"/>
      <c r="I122" s="13">
        <f t="shared" si="32"/>
        <v>1</v>
      </c>
      <c r="J122" s="601"/>
      <c r="K122" s="13">
        <f t="shared" si="33"/>
        <v>1</v>
      </c>
      <c r="L122" s="601"/>
      <c r="M122" s="13">
        <f t="shared" si="34"/>
        <v>1</v>
      </c>
      <c r="N122" s="601"/>
      <c r="O122" s="13">
        <f t="shared" si="35"/>
        <v>1</v>
      </c>
      <c r="P122" s="601"/>
      <c r="Q122" s="13">
        <f t="shared" si="36"/>
        <v>0.05</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0.02</v>
      </c>
      <c r="F123" s="601"/>
      <c r="G123" s="13">
        <f t="shared" si="31"/>
        <v>0.02</v>
      </c>
      <c r="H123" s="601"/>
      <c r="I123" s="13">
        <f t="shared" si="32"/>
        <v>1</v>
      </c>
      <c r="J123" s="601"/>
      <c r="K123" s="13">
        <f t="shared" si="33"/>
        <v>1</v>
      </c>
      <c r="L123" s="601"/>
      <c r="M123" s="13">
        <f t="shared" si="34"/>
        <v>1</v>
      </c>
      <c r="N123" s="601"/>
      <c r="O123" s="13">
        <f t="shared" si="35"/>
        <v>1</v>
      </c>
      <c r="P123" s="601"/>
      <c r="Q123" s="13">
        <f t="shared" si="36"/>
        <v>0.05</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0.02</v>
      </c>
      <c r="F124" s="601"/>
      <c r="G124" s="13">
        <f t="shared" si="31"/>
        <v>0.02</v>
      </c>
      <c r="H124" s="601"/>
      <c r="I124" s="13">
        <f t="shared" si="32"/>
        <v>1</v>
      </c>
      <c r="J124" s="601"/>
      <c r="K124" s="13">
        <f t="shared" si="33"/>
        <v>1</v>
      </c>
      <c r="L124" s="601"/>
      <c r="M124" s="13">
        <f t="shared" si="34"/>
        <v>1</v>
      </c>
      <c r="N124" s="601"/>
      <c r="O124" s="13">
        <f t="shared" si="35"/>
        <v>1</v>
      </c>
      <c r="P124" s="601"/>
      <c r="Q124" s="13">
        <f t="shared" si="36"/>
        <v>0.05</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0.02</v>
      </c>
      <c r="F125" s="601"/>
      <c r="G125" s="13">
        <f t="shared" si="31"/>
        <v>0.02</v>
      </c>
      <c r="H125" s="601"/>
      <c r="I125" s="13">
        <f t="shared" si="32"/>
        <v>1</v>
      </c>
      <c r="J125" s="601"/>
      <c r="K125" s="13">
        <f t="shared" si="33"/>
        <v>1</v>
      </c>
      <c r="L125" s="601"/>
      <c r="M125" s="13">
        <f t="shared" si="34"/>
        <v>1</v>
      </c>
      <c r="N125" s="601"/>
      <c r="O125" s="13">
        <f t="shared" si="35"/>
        <v>1</v>
      </c>
      <c r="P125" s="601"/>
      <c r="Q125" s="13">
        <f t="shared" si="36"/>
        <v>0.05</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0.02</v>
      </c>
      <c r="F126" s="601"/>
      <c r="G126" s="13">
        <f t="shared" si="31"/>
        <v>0.02</v>
      </c>
      <c r="H126" s="601"/>
      <c r="I126" s="13">
        <f t="shared" si="32"/>
        <v>1</v>
      </c>
      <c r="J126" s="601"/>
      <c r="K126" s="13">
        <f t="shared" si="33"/>
        <v>1</v>
      </c>
      <c r="L126" s="601"/>
      <c r="M126" s="13">
        <f t="shared" si="34"/>
        <v>1</v>
      </c>
      <c r="N126" s="601"/>
      <c r="O126" s="13">
        <f t="shared" si="35"/>
        <v>1</v>
      </c>
      <c r="P126" s="601"/>
      <c r="Q126" s="13">
        <f t="shared" si="36"/>
        <v>0.05</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0.02</v>
      </c>
      <c r="F127" s="601"/>
      <c r="G127" s="13">
        <f t="shared" si="31"/>
        <v>0.02</v>
      </c>
      <c r="H127" s="601"/>
      <c r="I127" s="13">
        <f t="shared" si="32"/>
        <v>1</v>
      </c>
      <c r="J127" s="601"/>
      <c r="K127" s="13">
        <f t="shared" si="33"/>
        <v>1</v>
      </c>
      <c r="L127" s="601"/>
      <c r="M127" s="13">
        <f t="shared" si="34"/>
        <v>1</v>
      </c>
      <c r="N127" s="601"/>
      <c r="O127" s="13">
        <f t="shared" si="35"/>
        <v>1</v>
      </c>
      <c r="P127" s="601"/>
      <c r="Q127" s="13">
        <f t="shared" si="36"/>
        <v>0.05</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0.02</v>
      </c>
      <c r="F128" s="601"/>
      <c r="G128" s="13">
        <f t="shared" si="31"/>
        <v>0.02</v>
      </c>
      <c r="H128" s="601"/>
      <c r="I128" s="13">
        <f t="shared" si="32"/>
        <v>1</v>
      </c>
      <c r="J128" s="601"/>
      <c r="K128" s="13">
        <f t="shared" si="33"/>
        <v>1</v>
      </c>
      <c r="L128" s="601"/>
      <c r="M128" s="13">
        <f t="shared" si="34"/>
        <v>1</v>
      </c>
      <c r="N128" s="601"/>
      <c r="O128" s="13">
        <f t="shared" si="35"/>
        <v>1</v>
      </c>
      <c r="P128" s="601"/>
      <c r="Q128" s="13">
        <f t="shared" si="36"/>
        <v>0.05</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0.02</v>
      </c>
      <c r="F129" s="601"/>
      <c r="G129" s="13">
        <f t="shared" si="31"/>
        <v>0.02</v>
      </c>
      <c r="H129" s="601"/>
      <c r="I129" s="13">
        <f t="shared" si="32"/>
        <v>1</v>
      </c>
      <c r="J129" s="601"/>
      <c r="K129" s="13">
        <f t="shared" si="33"/>
        <v>1</v>
      </c>
      <c r="L129" s="601"/>
      <c r="M129" s="13">
        <f t="shared" si="34"/>
        <v>1</v>
      </c>
      <c r="N129" s="601"/>
      <c r="O129" s="13">
        <f t="shared" si="35"/>
        <v>1</v>
      </c>
      <c r="P129" s="601"/>
      <c r="Q129" s="13">
        <f t="shared" si="36"/>
        <v>0.05</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0.02</v>
      </c>
      <c r="F130" s="601"/>
      <c r="G130" s="13">
        <f t="shared" si="31"/>
        <v>0.02</v>
      </c>
      <c r="H130" s="601"/>
      <c r="I130" s="13">
        <f t="shared" si="32"/>
        <v>1</v>
      </c>
      <c r="J130" s="601"/>
      <c r="K130" s="13">
        <f t="shared" si="33"/>
        <v>1</v>
      </c>
      <c r="L130" s="601"/>
      <c r="M130" s="13">
        <f t="shared" si="34"/>
        <v>1</v>
      </c>
      <c r="N130" s="601"/>
      <c r="O130" s="13">
        <f t="shared" si="35"/>
        <v>1</v>
      </c>
      <c r="P130" s="601"/>
      <c r="Q130" s="13">
        <f t="shared" si="36"/>
        <v>0.05</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0.02</v>
      </c>
      <c r="F131" s="601"/>
      <c r="G131" s="13">
        <f t="shared" si="31"/>
        <v>0.02</v>
      </c>
      <c r="H131" s="601"/>
      <c r="I131" s="13">
        <f t="shared" si="32"/>
        <v>1</v>
      </c>
      <c r="J131" s="601"/>
      <c r="K131" s="13">
        <f t="shared" si="33"/>
        <v>1</v>
      </c>
      <c r="L131" s="601"/>
      <c r="M131" s="13">
        <f t="shared" si="34"/>
        <v>1</v>
      </c>
      <c r="N131" s="601"/>
      <c r="O131" s="13">
        <f t="shared" si="35"/>
        <v>1</v>
      </c>
      <c r="P131" s="601"/>
      <c r="Q131" s="13">
        <f t="shared" si="36"/>
        <v>0.05</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0.02</v>
      </c>
      <c r="F132" s="601"/>
      <c r="G132" s="13">
        <f t="shared" si="31"/>
        <v>0.02</v>
      </c>
      <c r="H132" s="601"/>
      <c r="I132" s="13">
        <f t="shared" si="32"/>
        <v>1</v>
      </c>
      <c r="J132" s="601"/>
      <c r="K132" s="13">
        <f t="shared" si="33"/>
        <v>1</v>
      </c>
      <c r="L132" s="601"/>
      <c r="M132" s="13">
        <f t="shared" si="34"/>
        <v>1</v>
      </c>
      <c r="N132" s="601"/>
      <c r="O132" s="13">
        <f t="shared" si="35"/>
        <v>1</v>
      </c>
      <c r="P132" s="601"/>
      <c r="Q132" s="13">
        <f t="shared" si="36"/>
        <v>0.05</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0.02</v>
      </c>
      <c r="F133" s="601"/>
      <c r="G133" s="13">
        <f t="shared" si="31"/>
        <v>0.02</v>
      </c>
      <c r="H133" s="601"/>
      <c r="I133" s="13">
        <f t="shared" si="32"/>
        <v>1</v>
      </c>
      <c r="J133" s="601"/>
      <c r="K133" s="13">
        <f t="shared" si="33"/>
        <v>1</v>
      </c>
      <c r="L133" s="601"/>
      <c r="M133" s="13">
        <f t="shared" si="34"/>
        <v>1</v>
      </c>
      <c r="N133" s="601"/>
      <c r="O133" s="13">
        <f t="shared" si="35"/>
        <v>1</v>
      </c>
      <c r="P133" s="601"/>
      <c r="Q133" s="13">
        <f t="shared" si="36"/>
        <v>0.05</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0.02</v>
      </c>
      <c r="F134" s="601"/>
      <c r="G134" s="13">
        <f t="shared" si="31"/>
        <v>0.02</v>
      </c>
      <c r="H134" s="601"/>
      <c r="I134" s="13">
        <f t="shared" si="32"/>
        <v>1</v>
      </c>
      <c r="J134" s="601"/>
      <c r="K134" s="13">
        <f t="shared" si="33"/>
        <v>1</v>
      </c>
      <c r="L134" s="601"/>
      <c r="M134" s="13">
        <f t="shared" si="34"/>
        <v>1</v>
      </c>
      <c r="N134" s="601"/>
      <c r="O134" s="13">
        <f t="shared" si="35"/>
        <v>1</v>
      </c>
      <c r="P134" s="601"/>
      <c r="Q134" s="13">
        <f t="shared" si="36"/>
        <v>0.05</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0.02</v>
      </c>
      <c r="F135" s="601"/>
      <c r="G135" s="13">
        <f t="shared" si="31"/>
        <v>0.02</v>
      </c>
      <c r="H135" s="601"/>
      <c r="I135" s="13">
        <f t="shared" si="32"/>
        <v>1</v>
      </c>
      <c r="J135" s="601"/>
      <c r="K135" s="13">
        <f t="shared" si="33"/>
        <v>1</v>
      </c>
      <c r="L135" s="601"/>
      <c r="M135" s="13">
        <f t="shared" si="34"/>
        <v>1</v>
      </c>
      <c r="N135" s="601"/>
      <c r="O135" s="13">
        <f t="shared" si="35"/>
        <v>1</v>
      </c>
      <c r="P135" s="601"/>
      <c r="Q135" s="13">
        <f t="shared" si="36"/>
        <v>0.05</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0.02</v>
      </c>
      <c r="F136" s="601"/>
      <c r="G136" s="13">
        <f t="shared" si="31"/>
        <v>0.02</v>
      </c>
      <c r="H136" s="601"/>
      <c r="I136" s="13">
        <f t="shared" si="32"/>
        <v>1</v>
      </c>
      <c r="J136" s="601"/>
      <c r="K136" s="13">
        <f t="shared" si="33"/>
        <v>1</v>
      </c>
      <c r="L136" s="601"/>
      <c r="M136" s="13">
        <f t="shared" si="34"/>
        <v>1</v>
      </c>
      <c r="N136" s="601"/>
      <c r="O136" s="13">
        <f t="shared" si="35"/>
        <v>1</v>
      </c>
      <c r="P136" s="601"/>
      <c r="Q136" s="13">
        <f t="shared" si="36"/>
        <v>0.05</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0.02</v>
      </c>
      <c r="F137" s="601"/>
      <c r="G137" s="13">
        <f t="shared" si="31"/>
        <v>0.02</v>
      </c>
      <c r="H137" s="601"/>
      <c r="I137" s="13">
        <f t="shared" si="32"/>
        <v>1</v>
      </c>
      <c r="J137" s="601"/>
      <c r="K137" s="13">
        <f t="shared" si="33"/>
        <v>1</v>
      </c>
      <c r="L137" s="601"/>
      <c r="M137" s="13">
        <f t="shared" si="34"/>
        <v>1</v>
      </c>
      <c r="N137" s="601"/>
      <c r="O137" s="13">
        <f t="shared" si="35"/>
        <v>1</v>
      </c>
      <c r="P137" s="601"/>
      <c r="Q137" s="13">
        <f t="shared" si="36"/>
        <v>0.05</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0.02</v>
      </c>
      <c r="F138" s="601"/>
      <c r="G138" s="13">
        <f t="shared" si="31"/>
        <v>0.02</v>
      </c>
      <c r="H138" s="601"/>
      <c r="I138" s="13">
        <f t="shared" si="32"/>
        <v>1</v>
      </c>
      <c r="J138" s="601"/>
      <c r="K138" s="13">
        <f t="shared" si="33"/>
        <v>1</v>
      </c>
      <c r="L138" s="601"/>
      <c r="M138" s="13">
        <f t="shared" si="34"/>
        <v>1</v>
      </c>
      <c r="N138" s="601"/>
      <c r="O138" s="13">
        <f t="shared" si="35"/>
        <v>1</v>
      </c>
      <c r="P138" s="601"/>
      <c r="Q138" s="13">
        <f t="shared" si="36"/>
        <v>0.05</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0.02</v>
      </c>
      <c r="F139" s="601"/>
      <c r="G139" s="13">
        <f t="shared" si="31"/>
        <v>0.02</v>
      </c>
      <c r="H139" s="601"/>
      <c r="I139" s="13">
        <f t="shared" si="32"/>
        <v>1</v>
      </c>
      <c r="J139" s="601"/>
      <c r="K139" s="13">
        <f t="shared" si="33"/>
        <v>1</v>
      </c>
      <c r="L139" s="601"/>
      <c r="M139" s="13">
        <f t="shared" si="34"/>
        <v>1</v>
      </c>
      <c r="N139" s="601"/>
      <c r="O139" s="13">
        <f t="shared" si="35"/>
        <v>1</v>
      </c>
      <c r="P139" s="601"/>
      <c r="Q139" s="13">
        <f t="shared" si="36"/>
        <v>0.05</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0.02</v>
      </c>
      <c r="F140" s="601"/>
      <c r="G140" s="13">
        <f t="shared" si="31"/>
        <v>0.02</v>
      </c>
      <c r="H140" s="601"/>
      <c r="I140" s="13">
        <f t="shared" si="32"/>
        <v>1</v>
      </c>
      <c r="J140" s="601"/>
      <c r="K140" s="13">
        <f t="shared" si="33"/>
        <v>1</v>
      </c>
      <c r="L140" s="601"/>
      <c r="M140" s="13">
        <f t="shared" si="34"/>
        <v>1</v>
      </c>
      <c r="N140" s="601"/>
      <c r="O140" s="13">
        <f t="shared" si="35"/>
        <v>1</v>
      </c>
      <c r="P140" s="601"/>
      <c r="Q140" s="13">
        <f t="shared" si="36"/>
        <v>0.05</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0.02</v>
      </c>
      <c r="F141" s="601"/>
      <c r="G141" s="13">
        <f t="shared" si="31"/>
        <v>0.02</v>
      </c>
      <c r="H141" s="601"/>
      <c r="I141" s="13">
        <f t="shared" si="32"/>
        <v>1</v>
      </c>
      <c r="J141" s="601"/>
      <c r="K141" s="13">
        <f t="shared" si="33"/>
        <v>1</v>
      </c>
      <c r="L141" s="601"/>
      <c r="M141" s="13">
        <f t="shared" si="34"/>
        <v>1</v>
      </c>
      <c r="N141" s="601"/>
      <c r="O141" s="13">
        <f t="shared" si="35"/>
        <v>1</v>
      </c>
      <c r="P141" s="601"/>
      <c r="Q141" s="13">
        <f t="shared" si="36"/>
        <v>0.05</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0.02</v>
      </c>
      <c r="F142" s="601"/>
      <c r="G142" s="13">
        <f t="shared" si="31"/>
        <v>0.02</v>
      </c>
      <c r="H142" s="601"/>
      <c r="I142" s="13">
        <f t="shared" si="32"/>
        <v>1</v>
      </c>
      <c r="J142" s="601"/>
      <c r="K142" s="13">
        <f t="shared" si="33"/>
        <v>1</v>
      </c>
      <c r="L142" s="601"/>
      <c r="M142" s="13">
        <f t="shared" si="34"/>
        <v>1</v>
      </c>
      <c r="N142" s="601"/>
      <c r="O142" s="13">
        <f t="shared" si="35"/>
        <v>1</v>
      </c>
      <c r="P142" s="601"/>
      <c r="Q142" s="13">
        <f t="shared" si="36"/>
        <v>0.05</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0.02</v>
      </c>
      <c r="F143" s="601"/>
      <c r="G143" s="13">
        <f t="shared" si="31"/>
        <v>0.02</v>
      </c>
      <c r="H143" s="601"/>
      <c r="I143" s="13">
        <f t="shared" si="32"/>
        <v>1</v>
      </c>
      <c r="J143" s="601"/>
      <c r="K143" s="13">
        <f t="shared" si="33"/>
        <v>1</v>
      </c>
      <c r="L143" s="601"/>
      <c r="M143" s="13">
        <f t="shared" si="34"/>
        <v>1</v>
      </c>
      <c r="N143" s="601"/>
      <c r="O143" s="13">
        <f t="shared" si="35"/>
        <v>1</v>
      </c>
      <c r="P143" s="601"/>
      <c r="Q143" s="13">
        <f t="shared" si="36"/>
        <v>0.05</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0.02</v>
      </c>
      <c r="F144" s="601"/>
      <c r="G144" s="13">
        <f t="shared" si="31"/>
        <v>0.02</v>
      </c>
      <c r="H144" s="601"/>
      <c r="I144" s="13">
        <f t="shared" si="32"/>
        <v>1</v>
      </c>
      <c r="J144" s="601"/>
      <c r="K144" s="13">
        <f t="shared" si="33"/>
        <v>1</v>
      </c>
      <c r="L144" s="601"/>
      <c r="M144" s="13">
        <f t="shared" si="34"/>
        <v>1</v>
      </c>
      <c r="N144" s="601"/>
      <c r="O144" s="13">
        <f t="shared" si="35"/>
        <v>1</v>
      </c>
      <c r="P144" s="601"/>
      <c r="Q144" s="13">
        <f t="shared" si="36"/>
        <v>0.05</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0.02</v>
      </c>
      <c r="F145" s="601"/>
      <c r="G145" s="13">
        <f t="shared" si="31"/>
        <v>0.02</v>
      </c>
      <c r="H145" s="601"/>
      <c r="I145" s="13">
        <f t="shared" si="32"/>
        <v>1</v>
      </c>
      <c r="J145" s="601"/>
      <c r="K145" s="13">
        <f t="shared" si="33"/>
        <v>1</v>
      </c>
      <c r="L145" s="601"/>
      <c r="M145" s="13">
        <f t="shared" si="34"/>
        <v>1</v>
      </c>
      <c r="N145" s="601"/>
      <c r="O145" s="13">
        <f t="shared" si="35"/>
        <v>1</v>
      </c>
      <c r="P145" s="601"/>
      <c r="Q145" s="13">
        <f t="shared" si="36"/>
        <v>0.05</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0.02</v>
      </c>
      <c r="F146" s="601"/>
      <c r="G146" s="13">
        <f t="shared" si="31"/>
        <v>0.02</v>
      </c>
      <c r="H146" s="601"/>
      <c r="I146" s="13">
        <f t="shared" si="32"/>
        <v>1</v>
      </c>
      <c r="J146" s="601"/>
      <c r="K146" s="13">
        <f t="shared" si="33"/>
        <v>1</v>
      </c>
      <c r="L146" s="601"/>
      <c r="M146" s="13">
        <f t="shared" si="34"/>
        <v>1</v>
      </c>
      <c r="N146" s="601"/>
      <c r="O146" s="13">
        <f t="shared" si="35"/>
        <v>1</v>
      </c>
      <c r="P146" s="601"/>
      <c r="Q146" s="13">
        <f t="shared" si="36"/>
        <v>0.05</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0.02</v>
      </c>
      <c r="F147" s="601"/>
      <c r="G147" s="13">
        <f t="shared" si="31"/>
        <v>0.02</v>
      </c>
      <c r="H147" s="601"/>
      <c r="I147" s="13">
        <f t="shared" si="32"/>
        <v>1</v>
      </c>
      <c r="J147" s="601"/>
      <c r="K147" s="13">
        <f t="shared" si="33"/>
        <v>1</v>
      </c>
      <c r="L147" s="601"/>
      <c r="M147" s="13">
        <f t="shared" si="34"/>
        <v>1</v>
      </c>
      <c r="N147" s="601"/>
      <c r="O147" s="13">
        <f t="shared" si="35"/>
        <v>1</v>
      </c>
      <c r="P147" s="601"/>
      <c r="Q147" s="13">
        <f t="shared" si="36"/>
        <v>0.05</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0.02</v>
      </c>
      <c r="F148" s="601"/>
      <c r="G148" s="13">
        <f t="shared" si="31"/>
        <v>0.02</v>
      </c>
      <c r="H148" s="601"/>
      <c r="I148" s="13">
        <f t="shared" si="32"/>
        <v>1</v>
      </c>
      <c r="J148" s="601"/>
      <c r="K148" s="13">
        <f t="shared" si="33"/>
        <v>1</v>
      </c>
      <c r="L148" s="601"/>
      <c r="M148" s="13">
        <f t="shared" si="34"/>
        <v>1</v>
      </c>
      <c r="N148" s="601"/>
      <c r="O148" s="13">
        <f t="shared" si="35"/>
        <v>1</v>
      </c>
      <c r="P148" s="601"/>
      <c r="Q148" s="13">
        <f t="shared" si="36"/>
        <v>0.05</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0.02</v>
      </c>
      <c r="F149" s="601"/>
      <c r="G149" s="13">
        <f t="shared" si="31"/>
        <v>0.02</v>
      </c>
      <c r="H149" s="601"/>
      <c r="I149" s="13">
        <f t="shared" si="32"/>
        <v>1</v>
      </c>
      <c r="J149" s="601"/>
      <c r="K149" s="13">
        <f t="shared" si="33"/>
        <v>1</v>
      </c>
      <c r="L149" s="601"/>
      <c r="M149" s="13">
        <f t="shared" si="34"/>
        <v>1</v>
      </c>
      <c r="N149" s="601"/>
      <c r="O149" s="13">
        <f t="shared" si="35"/>
        <v>1</v>
      </c>
      <c r="P149" s="601"/>
      <c r="Q149" s="13">
        <f t="shared" si="36"/>
        <v>0.05</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0.02</v>
      </c>
      <c r="F150" s="601"/>
      <c r="G150" s="13">
        <f t="shared" si="31"/>
        <v>0.02</v>
      </c>
      <c r="H150" s="601"/>
      <c r="I150" s="13">
        <f t="shared" si="32"/>
        <v>1</v>
      </c>
      <c r="J150" s="601"/>
      <c r="K150" s="13">
        <f t="shared" si="33"/>
        <v>1</v>
      </c>
      <c r="L150" s="601"/>
      <c r="M150" s="13">
        <f t="shared" si="34"/>
        <v>1</v>
      </c>
      <c r="N150" s="601"/>
      <c r="O150" s="13">
        <f t="shared" si="35"/>
        <v>1</v>
      </c>
      <c r="P150" s="601"/>
      <c r="Q150" s="13">
        <f t="shared" si="36"/>
        <v>0.05</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0.02</v>
      </c>
      <c r="F151" s="601"/>
      <c r="G151" s="13">
        <f t="shared" si="31"/>
        <v>0.02</v>
      </c>
      <c r="H151" s="601"/>
      <c r="I151" s="13">
        <f t="shared" si="32"/>
        <v>1</v>
      </c>
      <c r="J151" s="601"/>
      <c r="K151" s="13">
        <f t="shared" si="33"/>
        <v>1</v>
      </c>
      <c r="L151" s="601"/>
      <c r="M151" s="13">
        <f t="shared" si="34"/>
        <v>1</v>
      </c>
      <c r="N151" s="601"/>
      <c r="O151" s="13">
        <f t="shared" si="35"/>
        <v>1</v>
      </c>
      <c r="P151" s="601"/>
      <c r="Q151" s="13">
        <f t="shared" si="36"/>
        <v>0.05</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0.02</v>
      </c>
      <c r="F152" s="601"/>
      <c r="G152" s="13">
        <f t="shared" si="31"/>
        <v>0.02</v>
      </c>
      <c r="H152" s="601"/>
      <c r="I152" s="13">
        <f t="shared" si="32"/>
        <v>1</v>
      </c>
      <c r="J152" s="601"/>
      <c r="K152" s="13">
        <f t="shared" si="33"/>
        <v>1</v>
      </c>
      <c r="L152" s="601"/>
      <c r="M152" s="13">
        <f t="shared" si="34"/>
        <v>1</v>
      </c>
      <c r="N152" s="601"/>
      <c r="O152" s="13">
        <f t="shared" si="35"/>
        <v>1</v>
      </c>
      <c r="P152" s="601"/>
      <c r="Q152" s="13">
        <f t="shared" si="36"/>
        <v>0.05</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0.02</v>
      </c>
      <c r="F153" s="601"/>
      <c r="G153" s="13">
        <f t="shared" si="31"/>
        <v>0.02</v>
      </c>
      <c r="H153" s="601"/>
      <c r="I153" s="13">
        <f t="shared" si="32"/>
        <v>1</v>
      </c>
      <c r="J153" s="601"/>
      <c r="K153" s="13">
        <f t="shared" si="33"/>
        <v>1</v>
      </c>
      <c r="L153" s="601"/>
      <c r="M153" s="13">
        <f t="shared" si="34"/>
        <v>1</v>
      </c>
      <c r="N153" s="601"/>
      <c r="O153" s="13">
        <f t="shared" si="35"/>
        <v>1</v>
      </c>
      <c r="P153" s="601"/>
      <c r="Q153" s="13">
        <f t="shared" si="36"/>
        <v>0.05</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0.02</v>
      </c>
      <c r="F154" s="601"/>
      <c r="G154" s="13">
        <f t="shared" si="31"/>
        <v>0.02</v>
      </c>
      <c r="H154" s="601"/>
      <c r="I154" s="13">
        <f t="shared" si="32"/>
        <v>1</v>
      </c>
      <c r="J154" s="601"/>
      <c r="K154" s="13">
        <f t="shared" si="33"/>
        <v>1</v>
      </c>
      <c r="L154" s="601"/>
      <c r="M154" s="13">
        <f t="shared" si="34"/>
        <v>1</v>
      </c>
      <c r="N154" s="601"/>
      <c r="O154" s="13">
        <f t="shared" si="35"/>
        <v>1</v>
      </c>
      <c r="P154" s="601"/>
      <c r="Q154" s="13">
        <f t="shared" si="36"/>
        <v>0.05</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0.02</v>
      </c>
      <c r="F155" s="601"/>
      <c r="G155" s="13">
        <f t="shared" si="31"/>
        <v>0.02</v>
      </c>
      <c r="H155" s="601"/>
      <c r="I155" s="13">
        <f t="shared" si="32"/>
        <v>1</v>
      </c>
      <c r="J155" s="601"/>
      <c r="K155" s="13">
        <f t="shared" si="33"/>
        <v>1</v>
      </c>
      <c r="L155" s="601"/>
      <c r="M155" s="13">
        <f t="shared" si="34"/>
        <v>1</v>
      </c>
      <c r="N155" s="601"/>
      <c r="O155" s="13">
        <f t="shared" si="35"/>
        <v>1</v>
      </c>
      <c r="P155" s="601"/>
      <c r="Q155" s="13">
        <f t="shared" si="36"/>
        <v>0.05</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0.02</v>
      </c>
      <c r="F156" s="601"/>
      <c r="G156" s="13">
        <f t="shared" ref="G156:G219" si="46">(SUMIF($10:$10,F156,$11:$11)-SUMIF($10:$10,$F$27,$11:$11)+100)/100</f>
        <v>0.02</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0.05</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0.02</v>
      </c>
      <c r="F157" s="601"/>
      <c r="G157" s="13">
        <f t="shared" si="46"/>
        <v>0.02</v>
      </c>
      <c r="H157" s="601"/>
      <c r="I157" s="13">
        <f t="shared" si="47"/>
        <v>1</v>
      </c>
      <c r="J157" s="601"/>
      <c r="K157" s="13">
        <f t="shared" si="48"/>
        <v>1</v>
      </c>
      <c r="L157" s="601"/>
      <c r="M157" s="13">
        <f t="shared" si="49"/>
        <v>1</v>
      </c>
      <c r="N157" s="601"/>
      <c r="O157" s="13">
        <f t="shared" si="50"/>
        <v>1</v>
      </c>
      <c r="P157" s="601"/>
      <c r="Q157" s="13">
        <f t="shared" si="51"/>
        <v>0.05</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0.02</v>
      </c>
      <c r="F158" s="601"/>
      <c r="G158" s="13">
        <f t="shared" si="46"/>
        <v>0.02</v>
      </c>
      <c r="H158" s="601"/>
      <c r="I158" s="13">
        <f t="shared" si="47"/>
        <v>1</v>
      </c>
      <c r="J158" s="601"/>
      <c r="K158" s="13">
        <f t="shared" si="48"/>
        <v>1</v>
      </c>
      <c r="L158" s="601"/>
      <c r="M158" s="13">
        <f t="shared" si="49"/>
        <v>1</v>
      </c>
      <c r="N158" s="601"/>
      <c r="O158" s="13">
        <f t="shared" si="50"/>
        <v>1</v>
      </c>
      <c r="P158" s="601"/>
      <c r="Q158" s="13">
        <f t="shared" si="51"/>
        <v>0.05</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0.02</v>
      </c>
      <c r="F159" s="601"/>
      <c r="G159" s="13">
        <f t="shared" si="46"/>
        <v>0.02</v>
      </c>
      <c r="H159" s="601"/>
      <c r="I159" s="13">
        <f t="shared" si="47"/>
        <v>1</v>
      </c>
      <c r="J159" s="601"/>
      <c r="K159" s="13">
        <f t="shared" si="48"/>
        <v>1</v>
      </c>
      <c r="L159" s="601"/>
      <c r="M159" s="13">
        <f t="shared" si="49"/>
        <v>1</v>
      </c>
      <c r="N159" s="601"/>
      <c r="O159" s="13">
        <f t="shared" si="50"/>
        <v>1</v>
      </c>
      <c r="P159" s="601"/>
      <c r="Q159" s="13">
        <f t="shared" si="51"/>
        <v>0.05</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0.02</v>
      </c>
      <c r="F160" s="601"/>
      <c r="G160" s="13">
        <f t="shared" si="46"/>
        <v>0.02</v>
      </c>
      <c r="H160" s="601"/>
      <c r="I160" s="13">
        <f t="shared" si="47"/>
        <v>1</v>
      </c>
      <c r="J160" s="601"/>
      <c r="K160" s="13">
        <f t="shared" si="48"/>
        <v>1</v>
      </c>
      <c r="L160" s="601"/>
      <c r="M160" s="13">
        <f t="shared" si="49"/>
        <v>1</v>
      </c>
      <c r="N160" s="601"/>
      <c r="O160" s="13">
        <f t="shared" si="50"/>
        <v>1</v>
      </c>
      <c r="P160" s="601"/>
      <c r="Q160" s="13">
        <f t="shared" si="51"/>
        <v>0.05</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0.02</v>
      </c>
      <c r="F161" s="601"/>
      <c r="G161" s="13">
        <f t="shared" si="46"/>
        <v>0.02</v>
      </c>
      <c r="H161" s="601"/>
      <c r="I161" s="13">
        <f t="shared" si="47"/>
        <v>1</v>
      </c>
      <c r="J161" s="601"/>
      <c r="K161" s="13">
        <f t="shared" si="48"/>
        <v>1</v>
      </c>
      <c r="L161" s="601"/>
      <c r="M161" s="13">
        <f t="shared" si="49"/>
        <v>1</v>
      </c>
      <c r="N161" s="601"/>
      <c r="O161" s="13">
        <f t="shared" si="50"/>
        <v>1</v>
      </c>
      <c r="P161" s="601"/>
      <c r="Q161" s="13">
        <f t="shared" si="51"/>
        <v>0.05</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0.02</v>
      </c>
      <c r="F162" s="601"/>
      <c r="G162" s="13">
        <f t="shared" si="46"/>
        <v>0.02</v>
      </c>
      <c r="H162" s="601"/>
      <c r="I162" s="13">
        <f t="shared" si="47"/>
        <v>1</v>
      </c>
      <c r="J162" s="601"/>
      <c r="K162" s="13">
        <f t="shared" si="48"/>
        <v>1</v>
      </c>
      <c r="L162" s="601"/>
      <c r="M162" s="13">
        <f t="shared" si="49"/>
        <v>1</v>
      </c>
      <c r="N162" s="601"/>
      <c r="O162" s="13">
        <f t="shared" si="50"/>
        <v>1</v>
      </c>
      <c r="P162" s="601"/>
      <c r="Q162" s="13">
        <f t="shared" si="51"/>
        <v>0.05</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0.02</v>
      </c>
      <c r="F163" s="601"/>
      <c r="G163" s="13">
        <f t="shared" si="46"/>
        <v>0.02</v>
      </c>
      <c r="H163" s="601"/>
      <c r="I163" s="13">
        <f t="shared" si="47"/>
        <v>1</v>
      </c>
      <c r="J163" s="601"/>
      <c r="K163" s="13">
        <f t="shared" si="48"/>
        <v>1</v>
      </c>
      <c r="L163" s="601"/>
      <c r="M163" s="13">
        <f t="shared" si="49"/>
        <v>1</v>
      </c>
      <c r="N163" s="601"/>
      <c r="O163" s="13">
        <f t="shared" si="50"/>
        <v>1</v>
      </c>
      <c r="P163" s="601"/>
      <c r="Q163" s="13">
        <f t="shared" si="51"/>
        <v>0.05</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0.02</v>
      </c>
      <c r="F164" s="601"/>
      <c r="G164" s="13">
        <f t="shared" si="46"/>
        <v>0.02</v>
      </c>
      <c r="H164" s="601"/>
      <c r="I164" s="13">
        <f t="shared" si="47"/>
        <v>1</v>
      </c>
      <c r="J164" s="601"/>
      <c r="K164" s="13">
        <f t="shared" si="48"/>
        <v>1</v>
      </c>
      <c r="L164" s="601"/>
      <c r="M164" s="13">
        <f t="shared" si="49"/>
        <v>1</v>
      </c>
      <c r="N164" s="601"/>
      <c r="O164" s="13">
        <f t="shared" si="50"/>
        <v>1</v>
      </c>
      <c r="P164" s="601"/>
      <c r="Q164" s="13">
        <f t="shared" si="51"/>
        <v>0.05</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0.02</v>
      </c>
      <c r="F165" s="601"/>
      <c r="G165" s="13">
        <f t="shared" si="46"/>
        <v>0.02</v>
      </c>
      <c r="H165" s="601"/>
      <c r="I165" s="13">
        <f t="shared" si="47"/>
        <v>1</v>
      </c>
      <c r="J165" s="601"/>
      <c r="K165" s="13">
        <f t="shared" si="48"/>
        <v>1</v>
      </c>
      <c r="L165" s="601"/>
      <c r="M165" s="13">
        <f t="shared" si="49"/>
        <v>1</v>
      </c>
      <c r="N165" s="601"/>
      <c r="O165" s="13">
        <f t="shared" si="50"/>
        <v>1</v>
      </c>
      <c r="P165" s="601"/>
      <c r="Q165" s="13">
        <f t="shared" si="51"/>
        <v>0.05</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0.02</v>
      </c>
      <c r="F166" s="601"/>
      <c r="G166" s="13">
        <f t="shared" si="46"/>
        <v>0.02</v>
      </c>
      <c r="H166" s="601"/>
      <c r="I166" s="13">
        <f t="shared" si="47"/>
        <v>1</v>
      </c>
      <c r="J166" s="601"/>
      <c r="K166" s="13">
        <f t="shared" si="48"/>
        <v>1</v>
      </c>
      <c r="L166" s="601"/>
      <c r="M166" s="13">
        <f t="shared" si="49"/>
        <v>1</v>
      </c>
      <c r="N166" s="601"/>
      <c r="O166" s="13">
        <f t="shared" si="50"/>
        <v>1</v>
      </c>
      <c r="P166" s="601"/>
      <c r="Q166" s="13">
        <f t="shared" si="51"/>
        <v>0.05</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0.02</v>
      </c>
      <c r="F167" s="601"/>
      <c r="G167" s="13">
        <f t="shared" si="46"/>
        <v>0.02</v>
      </c>
      <c r="H167" s="601"/>
      <c r="I167" s="13">
        <f t="shared" si="47"/>
        <v>1</v>
      </c>
      <c r="J167" s="601"/>
      <c r="K167" s="13">
        <f t="shared" si="48"/>
        <v>1</v>
      </c>
      <c r="L167" s="601"/>
      <c r="M167" s="13">
        <f t="shared" si="49"/>
        <v>1</v>
      </c>
      <c r="N167" s="601"/>
      <c r="O167" s="13">
        <f t="shared" si="50"/>
        <v>1</v>
      </c>
      <c r="P167" s="601"/>
      <c r="Q167" s="13">
        <f t="shared" si="51"/>
        <v>0.05</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0.02</v>
      </c>
      <c r="F168" s="601"/>
      <c r="G168" s="13">
        <f t="shared" si="46"/>
        <v>0.02</v>
      </c>
      <c r="H168" s="601"/>
      <c r="I168" s="13">
        <f t="shared" si="47"/>
        <v>1</v>
      </c>
      <c r="J168" s="601"/>
      <c r="K168" s="13">
        <f t="shared" si="48"/>
        <v>1</v>
      </c>
      <c r="L168" s="601"/>
      <c r="M168" s="13">
        <f t="shared" si="49"/>
        <v>1</v>
      </c>
      <c r="N168" s="601"/>
      <c r="O168" s="13">
        <f t="shared" si="50"/>
        <v>1</v>
      </c>
      <c r="P168" s="601"/>
      <c r="Q168" s="13">
        <f t="shared" si="51"/>
        <v>0.05</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0.02</v>
      </c>
      <c r="F169" s="601"/>
      <c r="G169" s="13">
        <f t="shared" si="46"/>
        <v>0.02</v>
      </c>
      <c r="H169" s="601"/>
      <c r="I169" s="13">
        <f t="shared" si="47"/>
        <v>1</v>
      </c>
      <c r="J169" s="601"/>
      <c r="K169" s="13">
        <f t="shared" si="48"/>
        <v>1</v>
      </c>
      <c r="L169" s="601"/>
      <c r="M169" s="13">
        <f t="shared" si="49"/>
        <v>1</v>
      </c>
      <c r="N169" s="601"/>
      <c r="O169" s="13">
        <f t="shared" si="50"/>
        <v>1</v>
      </c>
      <c r="P169" s="601"/>
      <c r="Q169" s="13">
        <f t="shared" si="51"/>
        <v>0.05</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0.02</v>
      </c>
      <c r="F170" s="601"/>
      <c r="G170" s="13">
        <f t="shared" si="46"/>
        <v>0.02</v>
      </c>
      <c r="H170" s="601"/>
      <c r="I170" s="13">
        <f t="shared" si="47"/>
        <v>1</v>
      </c>
      <c r="J170" s="601"/>
      <c r="K170" s="13">
        <f t="shared" si="48"/>
        <v>1</v>
      </c>
      <c r="L170" s="601"/>
      <c r="M170" s="13">
        <f t="shared" si="49"/>
        <v>1</v>
      </c>
      <c r="N170" s="601"/>
      <c r="O170" s="13">
        <f t="shared" si="50"/>
        <v>1</v>
      </c>
      <c r="P170" s="601"/>
      <c r="Q170" s="13">
        <f t="shared" si="51"/>
        <v>0.05</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0.02</v>
      </c>
      <c r="F171" s="601"/>
      <c r="G171" s="13">
        <f t="shared" si="46"/>
        <v>0.02</v>
      </c>
      <c r="H171" s="601"/>
      <c r="I171" s="13">
        <f t="shared" si="47"/>
        <v>1</v>
      </c>
      <c r="J171" s="601"/>
      <c r="K171" s="13">
        <f t="shared" si="48"/>
        <v>1</v>
      </c>
      <c r="L171" s="601"/>
      <c r="M171" s="13">
        <f t="shared" si="49"/>
        <v>1</v>
      </c>
      <c r="N171" s="601"/>
      <c r="O171" s="13">
        <f t="shared" si="50"/>
        <v>1</v>
      </c>
      <c r="P171" s="601"/>
      <c r="Q171" s="13">
        <f t="shared" si="51"/>
        <v>0.05</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0.02</v>
      </c>
      <c r="F172" s="601"/>
      <c r="G172" s="13">
        <f t="shared" si="46"/>
        <v>0.02</v>
      </c>
      <c r="H172" s="601"/>
      <c r="I172" s="13">
        <f t="shared" si="47"/>
        <v>1</v>
      </c>
      <c r="J172" s="601"/>
      <c r="K172" s="13">
        <f t="shared" si="48"/>
        <v>1</v>
      </c>
      <c r="L172" s="601"/>
      <c r="M172" s="13">
        <f t="shared" si="49"/>
        <v>1</v>
      </c>
      <c r="N172" s="601"/>
      <c r="O172" s="13">
        <f t="shared" si="50"/>
        <v>1</v>
      </c>
      <c r="P172" s="601"/>
      <c r="Q172" s="13">
        <f t="shared" si="51"/>
        <v>0.05</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0.02</v>
      </c>
      <c r="F173" s="601"/>
      <c r="G173" s="13">
        <f t="shared" si="46"/>
        <v>0.02</v>
      </c>
      <c r="H173" s="601"/>
      <c r="I173" s="13">
        <f t="shared" si="47"/>
        <v>1</v>
      </c>
      <c r="J173" s="601"/>
      <c r="K173" s="13">
        <f t="shared" si="48"/>
        <v>1</v>
      </c>
      <c r="L173" s="601"/>
      <c r="M173" s="13">
        <f t="shared" si="49"/>
        <v>1</v>
      </c>
      <c r="N173" s="601"/>
      <c r="O173" s="13">
        <f t="shared" si="50"/>
        <v>1</v>
      </c>
      <c r="P173" s="601"/>
      <c r="Q173" s="13">
        <f t="shared" si="51"/>
        <v>0.05</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0.02</v>
      </c>
      <c r="F174" s="601"/>
      <c r="G174" s="13">
        <f t="shared" si="46"/>
        <v>0.02</v>
      </c>
      <c r="H174" s="601"/>
      <c r="I174" s="13">
        <f t="shared" si="47"/>
        <v>1</v>
      </c>
      <c r="J174" s="601"/>
      <c r="K174" s="13">
        <f t="shared" si="48"/>
        <v>1</v>
      </c>
      <c r="L174" s="601"/>
      <c r="M174" s="13">
        <f t="shared" si="49"/>
        <v>1</v>
      </c>
      <c r="N174" s="601"/>
      <c r="O174" s="13">
        <f t="shared" si="50"/>
        <v>1</v>
      </c>
      <c r="P174" s="601"/>
      <c r="Q174" s="13">
        <f t="shared" si="51"/>
        <v>0.05</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0.02</v>
      </c>
      <c r="F175" s="601"/>
      <c r="G175" s="13">
        <f t="shared" si="46"/>
        <v>0.02</v>
      </c>
      <c r="H175" s="601"/>
      <c r="I175" s="13">
        <f t="shared" si="47"/>
        <v>1</v>
      </c>
      <c r="J175" s="601"/>
      <c r="K175" s="13">
        <f t="shared" si="48"/>
        <v>1</v>
      </c>
      <c r="L175" s="601"/>
      <c r="M175" s="13">
        <f t="shared" si="49"/>
        <v>1</v>
      </c>
      <c r="N175" s="601"/>
      <c r="O175" s="13">
        <f t="shared" si="50"/>
        <v>1</v>
      </c>
      <c r="P175" s="601"/>
      <c r="Q175" s="13">
        <f t="shared" si="51"/>
        <v>0.05</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0.02</v>
      </c>
      <c r="F176" s="601"/>
      <c r="G176" s="13">
        <f t="shared" si="46"/>
        <v>0.02</v>
      </c>
      <c r="H176" s="601"/>
      <c r="I176" s="13">
        <f t="shared" si="47"/>
        <v>1</v>
      </c>
      <c r="J176" s="601"/>
      <c r="K176" s="13">
        <f t="shared" si="48"/>
        <v>1</v>
      </c>
      <c r="L176" s="601"/>
      <c r="M176" s="13">
        <f t="shared" si="49"/>
        <v>1</v>
      </c>
      <c r="N176" s="601"/>
      <c r="O176" s="13">
        <f t="shared" si="50"/>
        <v>1</v>
      </c>
      <c r="P176" s="601"/>
      <c r="Q176" s="13">
        <f t="shared" si="51"/>
        <v>0.05</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0.02</v>
      </c>
      <c r="F177" s="601"/>
      <c r="G177" s="13">
        <f t="shared" si="46"/>
        <v>0.02</v>
      </c>
      <c r="H177" s="601"/>
      <c r="I177" s="13">
        <f t="shared" si="47"/>
        <v>1</v>
      </c>
      <c r="J177" s="601"/>
      <c r="K177" s="13">
        <f t="shared" si="48"/>
        <v>1</v>
      </c>
      <c r="L177" s="601"/>
      <c r="M177" s="13">
        <f t="shared" si="49"/>
        <v>1</v>
      </c>
      <c r="N177" s="601"/>
      <c r="O177" s="13">
        <f t="shared" si="50"/>
        <v>1</v>
      </c>
      <c r="P177" s="601"/>
      <c r="Q177" s="13">
        <f t="shared" si="51"/>
        <v>0.05</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0.02</v>
      </c>
      <c r="F178" s="601"/>
      <c r="G178" s="13">
        <f t="shared" si="46"/>
        <v>0.02</v>
      </c>
      <c r="H178" s="601"/>
      <c r="I178" s="13">
        <f t="shared" si="47"/>
        <v>1</v>
      </c>
      <c r="J178" s="601"/>
      <c r="K178" s="13">
        <f t="shared" si="48"/>
        <v>1</v>
      </c>
      <c r="L178" s="601"/>
      <c r="M178" s="13">
        <f t="shared" si="49"/>
        <v>1</v>
      </c>
      <c r="N178" s="601"/>
      <c r="O178" s="13">
        <f t="shared" si="50"/>
        <v>1</v>
      </c>
      <c r="P178" s="601"/>
      <c r="Q178" s="13">
        <f t="shared" si="51"/>
        <v>0.05</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0.02</v>
      </c>
      <c r="F179" s="601"/>
      <c r="G179" s="13">
        <f t="shared" si="46"/>
        <v>0.02</v>
      </c>
      <c r="H179" s="601"/>
      <c r="I179" s="13">
        <f t="shared" si="47"/>
        <v>1</v>
      </c>
      <c r="J179" s="601"/>
      <c r="K179" s="13">
        <f t="shared" si="48"/>
        <v>1</v>
      </c>
      <c r="L179" s="601"/>
      <c r="M179" s="13">
        <f t="shared" si="49"/>
        <v>1</v>
      </c>
      <c r="N179" s="601"/>
      <c r="O179" s="13">
        <f t="shared" si="50"/>
        <v>1</v>
      </c>
      <c r="P179" s="601"/>
      <c r="Q179" s="13">
        <f t="shared" si="51"/>
        <v>0.05</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0.02</v>
      </c>
      <c r="F180" s="601"/>
      <c r="G180" s="13">
        <f t="shared" si="46"/>
        <v>0.02</v>
      </c>
      <c r="H180" s="601"/>
      <c r="I180" s="13">
        <f t="shared" si="47"/>
        <v>1</v>
      </c>
      <c r="J180" s="601"/>
      <c r="K180" s="13">
        <f t="shared" si="48"/>
        <v>1</v>
      </c>
      <c r="L180" s="601"/>
      <c r="M180" s="13">
        <f t="shared" si="49"/>
        <v>1</v>
      </c>
      <c r="N180" s="601"/>
      <c r="O180" s="13">
        <f t="shared" si="50"/>
        <v>1</v>
      </c>
      <c r="P180" s="601"/>
      <c r="Q180" s="13">
        <f t="shared" si="51"/>
        <v>0.05</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0.02</v>
      </c>
      <c r="F181" s="601"/>
      <c r="G181" s="13">
        <f t="shared" si="46"/>
        <v>0.02</v>
      </c>
      <c r="H181" s="601"/>
      <c r="I181" s="13">
        <f t="shared" si="47"/>
        <v>1</v>
      </c>
      <c r="J181" s="601"/>
      <c r="K181" s="13">
        <f t="shared" si="48"/>
        <v>1</v>
      </c>
      <c r="L181" s="601"/>
      <c r="M181" s="13">
        <f t="shared" si="49"/>
        <v>1</v>
      </c>
      <c r="N181" s="601"/>
      <c r="O181" s="13">
        <f t="shared" si="50"/>
        <v>1</v>
      </c>
      <c r="P181" s="601"/>
      <c r="Q181" s="13">
        <f t="shared" si="51"/>
        <v>0.05</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0.02</v>
      </c>
      <c r="F182" s="601"/>
      <c r="G182" s="13">
        <f t="shared" si="46"/>
        <v>0.02</v>
      </c>
      <c r="H182" s="601"/>
      <c r="I182" s="13">
        <f t="shared" si="47"/>
        <v>1</v>
      </c>
      <c r="J182" s="601"/>
      <c r="K182" s="13">
        <f t="shared" si="48"/>
        <v>1</v>
      </c>
      <c r="L182" s="601"/>
      <c r="M182" s="13">
        <f t="shared" si="49"/>
        <v>1</v>
      </c>
      <c r="N182" s="601"/>
      <c r="O182" s="13">
        <f t="shared" si="50"/>
        <v>1</v>
      </c>
      <c r="P182" s="601"/>
      <c r="Q182" s="13">
        <f t="shared" si="51"/>
        <v>0.05</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0.02</v>
      </c>
      <c r="F183" s="601"/>
      <c r="G183" s="13">
        <f t="shared" si="46"/>
        <v>0.02</v>
      </c>
      <c r="H183" s="601"/>
      <c r="I183" s="13">
        <f t="shared" si="47"/>
        <v>1</v>
      </c>
      <c r="J183" s="601"/>
      <c r="K183" s="13">
        <f t="shared" si="48"/>
        <v>1</v>
      </c>
      <c r="L183" s="601"/>
      <c r="M183" s="13">
        <f t="shared" si="49"/>
        <v>1</v>
      </c>
      <c r="N183" s="601"/>
      <c r="O183" s="13">
        <f t="shared" si="50"/>
        <v>1</v>
      </c>
      <c r="P183" s="601"/>
      <c r="Q183" s="13">
        <f t="shared" si="51"/>
        <v>0.05</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0.02</v>
      </c>
      <c r="F184" s="601"/>
      <c r="G184" s="13">
        <f t="shared" si="46"/>
        <v>0.02</v>
      </c>
      <c r="H184" s="601"/>
      <c r="I184" s="13">
        <f t="shared" si="47"/>
        <v>1</v>
      </c>
      <c r="J184" s="601"/>
      <c r="K184" s="13">
        <f t="shared" si="48"/>
        <v>1</v>
      </c>
      <c r="L184" s="601"/>
      <c r="M184" s="13">
        <f t="shared" si="49"/>
        <v>1</v>
      </c>
      <c r="N184" s="601"/>
      <c r="O184" s="13">
        <f t="shared" si="50"/>
        <v>1</v>
      </c>
      <c r="P184" s="601"/>
      <c r="Q184" s="13">
        <f t="shared" si="51"/>
        <v>0.05</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0.02</v>
      </c>
      <c r="F185" s="601"/>
      <c r="G185" s="13">
        <f t="shared" si="46"/>
        <v>0.02</v>
      </c>
      <c r="H185" s="601"/>
      <c r="I185" s="13">
        <f t="shared" si="47"/>
        <v>1</v>
      </c>
      <c r="J185" s="601"/>
      <c r="K185" s="13">
        <f t="shared" si="48"/>
        <v>1</v>
      </c>
      <c r="L185" s="601"/>
      <c r="M185" s="13">
        <f t="shared" si="49"/>
        <v>1</v>
      </c>
      <c r="N185" s="601"/>
      <c r="O185" s="13">
        <f t="shared" si="50"/>
        <v>1</v>
      </c>
      <c r="P185" s="601"/>
      <c r="Q185" s="13">
        <f t="shared" si="51"/>
        <v>0.05</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0.02</v>
      </c>
      <c r="F186" s="601"/>
      <c r="G186" s="13">
        <f t="shared" si="46"/>
        <v>0.02</v>
      </c>
      <c r="H186" s="601"/>
      <c r="I186" s="13">
        <f t="shared" si="47"/>
        <v>1</v>
      </c>
      <c r="J186" s="601"/>
      <c r="K186" s="13">
        <f t="shared" si="48"/>
        <v>1</v>
      </c>
      <c r="L186" s="601"/>
      <c r="M186" s="13">
        <f t="shared" si="49"/>
        <v>1</v>
      </c>
      <c r="N186" s="601"/>
      <c r="O186" s="13">
        <f t="shared" si="50"/>
        <v>1</v>
      </c>
      <c r="P186" s="601"/>
      <c r="Q186" s="13">
        <f t="shared" si="51"/>
        <v>0.05</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0.02</v>
      </c>
      <c r="F187" s="601"/>
      <c r="G187" s="13">
        <f t="shared" si="46"/>
        <v>0.02</v>
      </c>
      <c r="H187" s="601"/>
      <c r="I187" s="13">
        <f t="shared" si="47"/>
        <v>1</v>
      </c>
      <c r="J187" s="601"/>
      <c r="K187" s="13">
        <f t="shared" si="48"/>
        <v>1</v>
      </c>
      <c r="L187" s="601"/>
      <c r="M187" s="13">
        <f t="shared" si="49"/>
        <v>1</v>
      </c>
      <c r="N187" s="601"/>
      <c r="O187" s="13">
        <f t="shared" si="50"/>
        <v>1</v>
      </c>
      <c r="P187" s="601"/>
      <c r="Q187" s="13">
        <f t="shared" si="51"/>
        <v>0.05</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0.02</v>
      </c>
      <c r="F188" s="601"/>
      <c r="G188" s="13">
        <f t="shared" si="46"/>
        <v>0.02</v>
      </c>
      <c r="H188" s="601"/>
      <c r="I188" s="13">
        <f t="shared" si="47"/>
        <v>1</v>
      </c>
      <c r="J188" s="601"/>
      <c r="K188" s="13">
        <f t="shared" si="48"/>
        <v>1</v>
      </c>
      <c r="L188" s="601"/>
      <c r="M188" s="13">
        <f t="shared" si="49"/>
        <v>1</v>
      </c>
      <c r="N188" s="601"/>
      <c r="O188" s="13">
        <f t="shared" si="50"/>
        <v>1</v>
      </c>
      <c r="P188" s="601"/>
      <c r="Q188" s="13">
        <f t="shared" si="51"/>
        <v>0.05</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0.02</v>
      </c>
      <c r="F189" s="601"/>
      <c r="G189" s="13">
        <f t="shared" si="46"/>
        <v>0.02</v>
      </c>
      <c r="H189" s="601"/>
      <c r="I189" s="13">
        <f t="shared" si="47"/>
        <v>1</v>
      </c>
      <c r="J189" s="601"/>
      <c r="K189" s="13">
        <f t="shared" si="48"/>
        <v>1</v>
      </c>
      <c r="L189" s="601"/>
      <c r="M189" s="13">
        <f t="shared" si="49"/>
        <v>1</v>
      </c>
      <c r="N189" s="601"/>
      <c r="O189" s="13">
        <f t="shared" si="50"/>
        <v>1</v>
      </c>
      <c r="P189" s="601"/>
      <c r="Q189" s="13">
        <f t="shared" si="51"/>
        <v>0.05</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0.02</v>
      </c>
      <c r="F190" s="601"/>
      <c r="G190" s="13">
        <f t="shared" si="46"/>
        <v>0.02</v>
      </c>
      <c r="H190" s="601"/>
      <c r="I190" s="13">
        <f t="shared" si="47"/>
        <v>1</v>
      </c>
      <c r="J190" s="601"/>
      <c r="K190" s="13">
        <f t="shared" si="48"/>
        <v>1</v>
      </c>
      <c r="L190" s="601"/>
      <c r="M190" s="13">
        <f t="shared" si="49"/>
        <v>1</v>
      </c>
      <c r="N190" s="601"/>
      <c r="O190" s="13">
        <f t="shared" si="50"/>
        <v>1</v>
      </c>
      <c r="P190" s="601"/>
      <c r="Q190" s="13">
        <f t="shared" si="51"/>
        <v>0.05</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0.02</v>
      </c>
      <c r="F191" s="601"/>
      <c r="G191" s="13">
        <f t="shared" si="46"/>
        <v>0.02</v>
      </c>
      <c r="H191" s="601"/>
      <c r="I191" s="13">
        <f t="shared" si="47"/>
        <v>1</v>
      </c>
      <c r="J191" s="601"/>
      <c r="K191" s="13">
        <f t="shared" si="48"/>
        <v>1</v>
      </c>
      <c r="L191" s="601"/>
      <c r="M191" s="13">
        <f t="shared" si="49"/>
        <v>1</v>
      </c>
      <c r="N191" s="601"/>
      <c r="O191" s="13">
        <f t="shared" si="50"/>
        <v>1</v>
      </c>
      <c r="P191" s="601"/>
      <c r="Q191" s="13">
        <f t="shared" si="51"/>
        <v>0.05</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0.02</v>
      </c>
      <c r="F192" s="601"/>
      <c r="G192" s="13">
        <f t="shared" si="46"/>
        <v>0.02</v>
      </c>
      <c r="H192" s="601"/>
      <c r="I192" s="13">
        <f t="shared" si="47"/>
        <v>1</v>
      </c>
      <c r="J192" s="601"/>
      <c r="K192" s="13">
        <f t="shared" si="48"/>
        <v>1</v>
      </c>
      <c r="L192" s="601"/>
      <c r="M192" s="13">
        <f t="shared" si="49"/>
        <v>1</v>
      </c>
      <c r="N192" s="601"/>
      <c r="O192" s="13">
        <f t="shared" si="50"/>
        <v>1</v>
      </c>
      <c r="P192" s="601"/>
      <c r="Q192" s="13">
        <f t="shared" si="51"/>
        <v>0.05</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0.02</v>
      </c>
      <c r="F193" s="601"/>
      <c r="G193" s="13">
        <f t="shared" si="46"/>
        <v>0.02</v>
      </c>
      <c r="H193" s="601"/>
      <c r="I193" s="13">
        <f t="shared" si="47"/>
        <v>1</v>
      </c>
      <c r="J193" s="601"/>
      <c r="K193" s="13">
        <f t="shared" si="48"/>
        <v>1</v>
      </c>
      <c r="L193" s="601"/>
      <c r="M193" s="13">
        <f t="shared" si="49"/>
        <v>1</v>
      </c>
      <c r="N193" s="601"/>
      <c r="O193" s="13">
        <f t="shared" si="50"/>
        <v>1</v>
      </c>
      <c r="P193" s="601"/>
      <c r="Q193" s="13">
        <f t="shared" si="51"/>
        <v>0.05</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0.02</v>
      </c>
      <c r="F194" s="601"/>
      <c r="G194" s="13">
        <f t="shared" si="46"/>
        <v>0.02</v>
      </c>
      <c r="H194" s="601"/>
      <c r="I194" s="13">
        <f t="shared" si="47"/>
        <v>1</v>
      </c>
      <c r="J194" s="601"/>
      <c r="K194" s="13">
        <f t="shared" si="48"/>
        <v>1</v>
      </c>
      <c r="L194" s="601"/>
      <c r="M194" s="13">
        <f t="shared" si="49"/>
        <v>1</v>
      </c>
      <c r="N194" s="601"/>
      <c r="O194" s="13">
        <f t="shared" si="50"/>
        <v>1</v>
      </c>
      <c r="P194" s="601"/>
      <c r="Q194" s="13">
        <f t="shared" si="51"/>
        <v>0.05</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0.02</v>
      </c>
      <c r="F195" s="601"/>
      <c r="G195" s="13">
        <f t="shared" si="46"/>
        <v>0.02</v>
      </c>
      <c r="H195" s="601"/>
      <c r="I195" s="13">
        <f t="shared" si="47"/>
        <v>1</v>
      </c>
      <c r="J195" s="601"/>
      <c r="K195" s="13">
        <f t="shared" si="48"/>
        <v>1</v>
      </c>
      <c r="L195" s="601"/>
      <c r="M195" s="13">
        <f t="shared" si="49"/>
        <v>1</v>
      </c>
      <c r="N195" s="601"/>
      <c r="O195" s="13">
        <f t="shared" si="50"/>
        <v>1</v>
      </c>
      <c r="P195" s="601"/>
      <c r="Q195" s="13">
        <f t="shared" si="51"/>
        <v>0.05</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0.02</v>
      </c>
      <c r="F196" s="601"/>
      <c r="G196" s="13">
        <f t="shared" si="46"/>
        <v>0.02</v>
      </c>
      <c r="H196" s="601"/>
      <c r="I196" s="13">
        <f t="shared" si="47"/>
        <v>1</v>
      </c>
      <c r="J196" s="601"/>
      <c r="K196" s="13">
        <f t="shared" si="48"/>
        <v>1</v>
      </c>
      <c r="L196" s="601"/>
      <c r="M196" s="13">
        <f t="shared" si="49"/>
        <v>1</v>
      </c>
      <c r="N196" s="601"/>
      <c r="O196" s="13">
        <f t="shared" si="50"/>
        <v>1</v>
      </c>
      <c r="P196" s="601"/>
      <c r="Q196" s="13">
        <f t="shared" si="51"/>
        <v>0.05</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0.02</v>
      </c>
      <c r="F197" s="601"/>
      <c r="G197" s="13">
        <f t="shared" si="46"/>
        <v>0.02</v>
      </c>
      <c r="H197" s="601"/>
      <c r="I197" s="13">
        <f t="shared" si="47"/>
        <v>1</v>
      </c>
      <c r="J197" s="601"/>
      <c r="K197" s="13">
        <f t="shared" si="48"/>
        <v>1</v>
      </c>
      <c r="L197" s="601"/>
      <c r="M197" s="13">
        <f t="shared" si="49"/>
        <v>1</v>
      </c>
      <c r="N197" s="601"/>
      <c r="O197" s="13">
        <f t="shared" si="50"/>
        <v>1</v>
      </c>
      <c r="P197" s="601"/>
      <c r="Q197" s="13">
        <f t="shared" si="51"/>
        <v>0.05</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0.02</v>
      </c>
      <c r="F198" s="601"/>
      <c r="G198" s="13">
        <f t="shared" si="46"/>
        <v>0.02</v>
      </c>
      <c r="H198" s="601"/>
      <c r="I198" s="13">
        <f t="shared" si="47"/>
        <v>1</v>
      </c>
      <c r="J198" s="601"/>
      <c r="K198" s="13">
        <f t="shared" si="48"/>
        <v>1</v>
      </c>
      <c r="L198" s="601"/>
      <c r="M198" s="13">
        <f t="shared" si="49"/>
        <v>1</v>
      </c>
      <c r="N198" s="601"/>
      <c r="O198" s="13">
        <f t="shared" si="50"/>
        <v>1</v>
      </c>
      <c r="P198" s="601"/>
      <c r="Q198" s="13">
        <f t="shared" si="51"/>
        <v>0.05</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0.02</v>
      </c>
      <c r="F199" s="601"/>
      <c r="G199" s="13">
        <f t="shared" si="46"/>
        <v>0.02</v>
      </c>
      <c r="H199" s="601"/>
      <c r="I199" s="13">
        <f t="shared" si="47"/>
        <v>1</v>
      </c>
      <c r="J199" s="601"/>
      <c r="K199" s="13">
        <f t="shared" si="48"/>
        <v>1</v>
      </c>
      <c r="L199" s="601"/>
      <c r="M199" s="13">
        <f t="shared" si="49"/>
        <v>1</v>
      </c>
      <c r="N199" s="601"/>
      <c r="O199" s="13">
        <f t="shared" si="50"/>
        <v>1</v>
      </c>
      <c r="P199" s="601"/>
      <c r="Q199" s="13">
        <f t="shared" si="51"/>
        <v>0.05</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0.02</v>
      </c>
      <c r="F200" s="601"/>
      <c r="G200" s="13">
        <f t="shared" si="46"/>
        <v>0.02</v>
      </c>
      <c r="H200" s="601"/>
      <c r="I200" s="13">
        <f t="shared" si="47"/>
        <v>1</v>
      </c>
      <c r="J200" s="601"/>
      <c r="K200" s="13">
        <f t="shared" si="48"/>
        <v>1</v>
      </c>
      <c r="L200" s="601"/>
      <c r="M200" s="13">
        <f t="shared" si="49"/>
        <v>1</v>
      </c>
      <c r="N200" s="601"/>
      <c r="O200" s="13">
        <f t="shared" si="50"/>
        <v>1</v>
      </c>
      <c r="P200" s="601"/>
      <c r="Q200" s="13">
        <f t="shared" si="51"/>
        <v>0.05</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0.02</v>
      </c>
      <c r="F201" s="601"/>
      <c r="G201" s="13">
        <f t="shared" si="46"/>
        <v>0.02</v>
      </c>
      <c r="H201" s="601"/>
      <c r="I201" s="13">
        <f t="shared" si="47"/>
        <v>1</v>
      </c>
      <c r="J201" s="601"/>
      <c r="K201" s="13">
        <f t="shared" si="48"/>
        <v>1</v>
      </c>
      <c r="L201" s="601"/>
      <c r="M201" s="13">
        <f t="shared" si="49"/>
        <v>1</v>
      </c>
      <c r="N201" s="601"/>
      <c r="O201" s="13">
        <f t="shared" si="50"/>
        <v>1</v>
      </c>
      <c r="P201" s="601"/>
      <c r="Q201" s="13">
        <f t="shared" si="51"/>
        <v>0.05</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0.02</v>
      </c>
      <c r="F202" s="601"/>
      <c r="G202" s="13">
        <f t="shared" si="46"/>
        <v>0.02</v>
      </c>
      <c r="H202" s="601"/>
      <c r="I202" s="13">
        <f t="shared" si="47"/>
        <v>1</v>
      </c>
      <c r="J202" s="601"/>
      <c r="K202" s="13">
        <f t="shared" si="48"/>
        <v>1</v>
      </c>
      <c r="L202" s="601"/>
      <c r="M202" s="13">
        <f t="shared" si="49"/>
        <v>1</v>
      </c>
      <c r="N202" s="601"/>
      <c r="O202" s="13">
        <f t="shared" si="50"/>
        <v>1</v>
      </c>
      <c r="P202" s="601"/>
      <c r="Q202" s="13">
        <f t="shared" si="51"/>
        <v>0.05</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0.02</v>
      </c>
      <c r="F203" s="601"/>
      <c r="G203" s="13">
        <f t="shared" si="46"/>
        <v>0.02</v>
      </c>
      <c r="H203" s="601"/>
      <c r="I203" s="13">
        <f t="shared" si="47"/>
        <v>1</v>
      </c>
      <c r="J203" s="601"/>
      <c r="K203" s="13">
        <f t="shared" si="48"/>
        <v>1</v>
      </c>
      <c r="L203" s="601"/>
      <c r="M203" s="13">
        <f t="shared" si="49"/>
        <v>1</v>
      </c>
      <c r="N203" s="601"/>
      <c r="O203" s="13">
        <f t="shared" si="50"/>
        <v>1</v>
      </c>
      <c r="P203" s="601"/>
      <c r="Q203" s="13">
        <f t="shared" si="51"/>
        <v>0.05</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0.02</v>
      </c>
      <c r="F204" s="601"/>
      <c r="G204" s="13">
        <f t="shared" si="46"/>
        <v>0.02</v>
      </c>
      <c r="H204" s="601"/>
      <c r="I204" s="13">
        <f t="shared" si="47"/>
        <v>1</v>
      </c>
      <c r="J204" s="601"/>
      <c r="K204" s="13">
        <f t="shared" si="48"/>
        <v>1</v>
      </c>
      <c r="L204" s="601"/>
      <c r="M204" s="13">
        <f t="shared" si="49"/>
        <v>1</v>
      </c>
      <c r="N204" s="601"/>
      <c r="O204" s="13">
        <f t="shared" si="50"/>
        <v>1</v>
      </c>
      <c r="P204" s="601"/>
      <c r="Q204" s="13">
        <f t="shared" si="51"/>
        <v>0.05</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0.02</v>
      </c>
      <c r="F205" s="601"/>
      <c r="G205" s="13">
        <f t="shared" si="46"/>
        <v>0.02</v>
      </c>
      <c r="H205" s="601"/>
      <c r="I205" s="13">
        <f t="shared" si="47"/>
        <v>1</v>
      </c>
      <c r="J205" s="601"/>
      <c r="K205" s="13">
        <f t="shared" si="48"/>
        <v>1</v>
      </c>
      <c r="L205" s="601"/>
      <c r="M205" s="13">
        <f t="shared" si="49"/>
        <v>1</v>
      </c>
      <c r="N205" s="601"/>
      <c r="O205" s="13">
        <f t="shared" si="50"/>
        <v>1</v>
      </c>
      <c r="P205" s="601"/>
      <c r="Q205" s="13">
        <f t="shared" si="51"/>
        <v>0.05</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0.02</v>
      </c>
      <c r="F206" s="601"/>
      <c r="G206" s="13">
        <f t="shared" si="46"/>
        <v>0.02</v>
      </c>
      <c r="H206" s="601"/>
      <c r="I206" s="13">
        <f t="shared" si="47"/>
        <v>1</v>
      </c>
      <c r="J206" s="601"/>
      <c r="K206" s="13">
        <f t="shared" si="48"/>
        <v>1</v>
      </c>
      <c r="L206" s="601"/>
      <c r="M206" s="13">
        <f t="shared" si="49"/>
        <v>1</v>
      </c>
      <c r="N206" s="601"/>
      <c r="O206" s="13">
        <f t="shared" si="50"/>
        <v>1</v>
      </c>
      <c r="P206" s="601"/>
      <c r="Q206" s="13">
        <f t="shared" si="51"/>
        <v>0.05</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0.02</v>
      </c>
      <c r="F207" s="601"/>
      <c r="G207" s="13">
        <f t="shared" si="46"/>
        <v>0.02</v>
      </c>
      <c r="H207" s="601"/>
      <c r="I207" s="13">
        <f t="shared" si="47"/>
        <v>1</v>
      </c>
      <c r="J207" s="601"/>
      <c r="K207" s="13">
        <f t="shared" si="48"/>
        <v>1</v>
      </c>
      <c r="L207" s="601"/>
      <c r="M207" s="13">
        <f t="shared" si="49"/>
        <v>1</v>
      </c>
      <c r="N207" s="601"/>
      <c r="O207" s="13">
        <f t="shared" si="50"/>
        <v>1</v>
      </c>
      <c r="P207" s="601"/>
      <c r="Q207" s="13">
        <f t="shared" si="51"/>
        <v>0.05</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0.02</v>
      </c>
      <c r="F208" s="601"/>
      <c r="G208" s="13">
        <f t="shared" si="46"/>
        <v>0.02</v>
      </c>
      <c r="H208" s="601"/>
      <c r="I208" s="13">
        <f t="shared" si="47"/>
        <v>1</v>
      </c>
      <c r="J208" s="601"/>
      <c r="K208" s="13">
        <f t="shared" si="48"/>
        <v>1</v>
      </c>
      <c r="L208" s="601"/>
      <c r="M208" s="13">
        <f t="shared" si="49"/>
        <v>1</v>
      </c>
      <c r="N208" s="601"/>
      <c r="O208" s="13">
        <f t="shared" si="50"/>
        <v>1</v>
      </c>
      <c r="P208" s="601"/>
      <c r="Q208" s="13">
        <f t="shared" si="51"/>
        <v>0.05</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0.02</v>
      </c>
      <c r="F209" s="601"/>
      <c r="G209" s="13">
        <f t="shared" si="46"/>
        <v>0.02</v>
      </c>
      <c r="H209" s="601"/>
      <c r="I209" s="13">
        <f t="shared" si="47"/>
        <v>1</v>
      </c>
      <c r="J209" s="601"/>
      <c r="K209" s="13">
        <f t="shared" si="48"/>
        <v>1</v>
      </c>
      <c r="L209" s="601"/>
      <c r="M209" s="13">
        <f t="shared" si="49"/>
        <v>1</v>
      </c>
      <c r="N209" s="601"/>
      <c r="O209" s="13">
        <f t="shared" si="50"/>
        <v>1</v>
      </c>
      <c r="P209" s="601"/>
      <c r="Q209" s="13">
        <f t="shared" si="51"/>
        <v>0.05</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0.02</v>
      </c>
      <c r="F210" s="601"/>
      <c r="G210" s="13">
        <f t="shared" si="46"/>
        <v>0.02</v>
      </c>
      <c r="H210" s="601"/>
      <c r="I210" s="13">
        <f t="shared" si="47"/>
        <v>1</v>
      </c>
      <c r="J210" s="601"/>
      <c r="K210" s="13">
        <f t="shared" si="48"/>
        <v>1</v>
      </c>
      <c r="L210" s="601"/>
      <c r="M210" s="13">
        <f t="shared" si="49"/>
        <v>1</v>
      </c>
      <c r="N210" s="601"/>
      <c r="O210" s="13">
        <f t="shared" si="50"/>
        <v>1</v>
      </c>
      <c r="P210" s="601"/>
      <c r="Q210" s="13">
        <f t="shared" si="51"/>
        <v>0.05</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0.02</v>
      </c>
      <c r="F211" s="601"/>
      <c r="G211" s="13">
        <f t="shared" si="46"/>
        <v>0.02</v>
      </c>
      <c r="H211" s="601"/>
      <c r="I211" s="13">
        <f t="shared" si="47"/>
        <v>1</v>
      </c>
      <c r="J211" s="601"/>
      <c r="K211" s="13">
        <f t="shared" si="48"/>
        <v>1</v>
      </c>
      <c r="L211" s="601"/>
      <c r="M211" s="13">
        <f t="shared" si="49"/>
        <v>1</v>
      </c>
      <c r="N211" s="601"/>
      <c r="O211" s="13">
        <f t="shared" si="50"/>
        <v>1</v>
      </c>
      <c r="P211" s="601"/>
      <c r="Q211" s="13">
        <f t="shared" si="51"/>
        <v>0.05</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0.02</v>
      </c>
      <c r="F212" s="601"/>
      <c r="G212" s="13">
        <f t="shared" si="46"/>
        <v>0.02</v>
      </c>
      <c r="H212" s="601"/>
      <c r="I212" s="13">
        <f t="shared" si="47"/>
        <v>1</v>
      </c>
      <c r="J212" s="601"/>
      <c r="K212" s="13">
        <f t="shared" si="48"/>
        <v>1</v>
      </c>
      <c r="L212" s="601"/>
      <c r="M212" s="13">
        <f t="shared" si="49"/>
        <v>1</v>
      </c>
      <c r="N212" s="601"/>
      <c r="O212" s="13">
        <f t="shared" si="50"/>
        <v>1</v>
      </c>
      <c r="P212" s="601"/>
      <c r="Q212" s="13">
        <f t="shared" si="51"/>
        <v>0.05</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0.02</v>
      </c>
      <c r="F213" s="601"/>
      <c r="G213" s="13">
        <f t="shared" si="46"/>
        <v>0.02</v>
      </c>
      <c r="H213" s="601"/>
      <c r="I213" s="13">
        <f t="shared" si="47"/>
        <v>1</v>
      </c>
      <c r="J213" s="601"/>
      <c r="K213" s="13">
        <f t="shared" si="48"/>
        <v>1</v>
      </c>
      <c r="L213" s="601"/>
      <c r="M213" s="13">
        <f t="shared" si="49"/>
        <v>1</v>
      </c>
      <c r="N213" s="601"/>
      <c r="O213" s="13">
        <f t="shared" si="50"/>
        <v>1</v>
      </c>
      <c r="P213" s="601"/>
      <c r="Q213" s="13">
        <f t="shared" si="51"/>
        <v>0.05</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0.02</v>
      </c>
      <c r="F214" s="601"/>
      <c r="G214" s="13">
        <f t="shared" si="46"/>
        <v>0.02</v>
      </c>
      <c r="H214" s="601"/>
      <c r="I214" s="13">
        <f t="shared" si="47"/>
        <v>1</v>
      </c>
      <c r="J214" s="601"/>
      <c r="K214" s="13">
        <f t="shared" si="48"/>
        <v>1</v>
      </c>
      <c r="L214" s="601"/>
      <c r="M214" s="13">
        <f t="shared" si="49"/>
        <v>1</v>
      </c>
      <c r="N214" s="601"/>
      <c r="O214" s="13">
        <f t="shared" si="50"/>
        <v>1</v>
      </c>
      <c r="P214" s="601"/>
      <c r="Q214" s="13">
        <f t="shared" si="51"/>
        <v>0.05</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0.02</v>
      </c>
      <c r="F215" s="601"/>
      <c r="G215" s="13">
        <f t="shared" si="46"/>
        <v>0.02</v>
      </c>
      <c r="H215" s="601"/>
      <c r="I215" s="13">
        <f t="shared" si="47"/>
        <v>1</v>
      </c>
      <c r="J215" s="601"/>
      <c r="K215" s="13">
        <f t="shared" si="48"/>
        <v>1</v>
      </c>
      <c r="L215" s="601"/>
      <c r="M215" s="13">
        <f t="shared" si="49"/>
        <v>1</v>
      </c>
      <c r="N215" s="601"/>
      <c r="O215" s="13">
        <f t="shared" si="50"/>
        <v>1</v>
      </c>
      <c r="P215" s="601"/>
      <c r="Q215" s="13">
        <f t="shared" si="51"/>
        <v>0.05</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0.02</v>
      </c>
      <c r="F216" s="601"/>
      <c r="G216" s="13">
        <f t="shared" si="46"/>
        <v>0.02</v>
      </c>
      <c r="H216" s="601"/>
      <c r="I216" s="13">
        <f t="shared" si="47"/>
        <v>1</v>
      </c>
      <c r="J216" s="601"/>
      <c r="K216" s="13">
        <f t="shared" si="48"/>
        <v>1</v>
      </c>
      <c r="L216" s="601"/>
      <c r="M216" s="13">
        <f t="shared" si="49"/>
        <v>1</v>
      </c>
      <c r="N216" s="601"/>
      <c r="O216" s="13">
        <f t="shared" si="50"/>
        <v>1</v>
      </c>
      <c r="P216" s="601"/>
      <c r="Q216" s="13">
        <f t="shared" si="51"/>
        <v>0.05</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0.02</v>
      </c>
      <c r="F217" s="601"/>
      <c r="G217" s="13">
        <f t="shared" si="46"/>
        <v>0.02</v>
      </c>
      <c r="H217" s="601"/>
      <c r="I217" s="13">
        <f t="shared" si="47"/>
        <v>1</v>
      </c>
      <c r="J217" s="601"/>
      <c r="K217" s="13">
        <f t="shared" si="48"/>
        <v>1</v>
      </c>
      <c r="L217" s="601"/>
      <c r="M217" s="13">
        <f t="shared" si="49"/>
        <v>1</v>
      </c>
      <c r="N217" s="601"/>
      <c r="O217" s="13">
        <f t="shared" si="50"/>
        <v>1</v>
      </c>
      <c r="P217" s="601"/>
      <c r="Q217" s="13">
        <f t="shared" si="51"/>
        <v>0.05</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0.02</v>
      </c>
      <c r="F218" s="601"/>
      <c r="G218" s="13">
        <f t="shared" si="46"/>
        <v>0.02</v>
      </c>
      <c r="H218" s="601"/>
      <c r="I218" s="13">
        <f t="shared" si="47"/>
        <v>1</v>
      </c>
      <c r="J218" s="601"/>
      <c r="K218" s="13">
        <f t="shared" si="48"/>
        <v>1</v>
      </c>
      <c r="L218" s="601"/>
      <c r="M218" s="13">
        <f t="shared" si="49"/>
        <v>1</v>
      </c>
      <c r="N218" s="601"/>
      <c r="O218" s="13">
        <f t="shared" si="50"/>
        <v>1</v>
      </c>
      <c r="P218" s="601"/>
      <c r="Q218" s="13">
        <f t="shared" si="51"/>
        <v>0.05</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0.02</v>
      </c>
      <c r="F219" s="601"/>
      <c r="G219" s="13">
        <f t="shared" si="46"/>
        <v>0.02</v>
      </c>
      <c r="H219" s="601"/>
      <c r="I219" s="13">
        <f t="shared" si="47"/>
        <v>1</v>
      </c>
      <c r="J219" s="601"/>
      <c r="K219" s="13">
        <f t="shared" si="48"/>
        <v>1</v>
      </c>
      <c r="L219" s="601"/>
      <c r="M219" s="13">
        <f t="shared" si="49"/>
        <v>1</v>
      </c>
      <c r="N219" s="601"/>
      <c r="O219" s="13">
        <f t="shared" si="50"/>
        <v>1</v>
      </c>
      <c r="P219" s="601"/>
      <c r="Q219" s="13">
        <f t="shared" si="51"/>
        <v>0.05</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0.02</v>
      </c>
      <c r="F220" s="601"/>
      <c r="G220" s="13">
        <f t="shared" ref="G220:G283" si="61">(SUMIF($10:$10,F220,$11:$11)-SUMIF($10:$10,$F$27,$11:$11)+100)/100</f>
        <v>0.02</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0.05</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0.02</v>
      </c>
      <c r="F221" s="601"/>
      <c r="G221" s="13">
        <f t="shared" si="61"/>
        <v>0.02</v>
      </c>
      <c r="H221" s="601"/>
      <c r="I221" s="13">
        <f t="shared" si="62"/>
        <v>1</v>
      </c>
      <c r="J221" s="601"/>
      <c r="K221" s="13">
        <f t="shared" si="63"/>
        <v>1</v>
      </c>
      <c r="L221" s="601"/>
      <c r="M221" s="13">
        <f t="shared" si="64"/>
        <v>1</v>
      </c>
      <c r="N221" s="601"/>
      <c r="O221" s="13">
        <f t="shared" si="65"/>
        <v>1</v>
      </c>
      <c r="P221" s="601"/>
      <c r="Q221" s="13">
        <f t="shared" si="66"/>
        <v>0.05</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0.02</v>
      </c>
      <c r="F222" s="601"/>
      <c r="G222" s="13">
        <f t="shared" si="61"/>
        <v>0.02</v>
      </c>
      <c r="H222" s="601"/>
      <c r="I222" s="13">
        <f t="shared" si="62"/>
        <v>1</v>
      </c>
      <c r="J222" s="601"/>
      <c r="K222" s="13">
        <f t="shared" si="63"/>
        <v>1</v>
      </c>
      <c r="L222" s="601"/>
      <c r="M222" s="13">
        <f t="shared" si="64"/>
        <v>1</v>
      </c>
      <c r="N222" s="601"/>
      <c r="O222" s="13">
        <f t="shared" si="65"/>
        <v>1</v>
      </c>
      <c r="P222" s="601"/>
      <c r="Q222" s="13">
        <f t="shared" si="66"/>
        <v>0.05</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0.02</v>
      </c>
      <c r="F223" s="601"/>
      <c r="G223" s="13">
        <f t="shared" si="61"/>
        <v>0.02</v>
      </c>
      <c r="H223" s="601"/>
      <c r="I223" s="13">
        <f t="shared" si="62"/>
        <v>1</v>
      </c>
      <c r="J223" s="601"/>
      <c r="K223" s="13">
        <f t="shared" si="63"/>
        <v>1</v>
      </c>
      <c r="L223" s="601"/>
      <c r="M223" s="13">
        <f t="shared" si="64"/>
        <v>1</v>
      </c>
      <c r="N223" s="601"/>
      <c r="O223" s="13">
        <f t="shared" si="65"/>
        <v>1</v>
      </c>
      <c r="P223" s="601"/>
      <c r="Q223" s="13">
        <f t="shared" si="66"/>
        <v>0.05</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0.02</v>
      </c>
      <c r="F224" s="601"/>
      <c r="G224" s="13">
        <f t="shared" si="61"/>
        <v>0.02</v>
      </c>
      <c r="H224" s="601"/>
      <c r="I224" s="13">
        <f t="shared" si="62"/>
        <v>1</v>
      </c>
      <c r="J224" s="601"/>
      <c r="K224" s="13">
        <f t="shared" si="63"/>
        <v>1</v>
      </c>
      <c r="L224" s="601"/>
      <c r="M224" s="13">
        <f t="shared" si="64"/>
        <v>1</v>
      </c>
      <c r="N224" s="601"/>
      <c r="O224" s="13">
        <f t="shared" si="65"/>
        <v>1</v>
      </c>
      <c r="P224" s="601"/>
      <c r="Q224" s="13">
        <f t="shared" si="66"/>
        <v>0.05</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0.02</v>
      </c>
      <c r="F225" s="601"/>
      <c r="G225" s="13">
        <f t="shared" si="61"/>
        <v>0.02</v>
      </c>
      <c r="H225" s="601"/>
      <c r="I225" s="13">
        <f t="shared" si="62"/>
        <v>1</v>
      </c>
      <c r="J225" s="601"/>
      <c r="K225" s="13">
        <f t="shared" si="63"/>
        <v>1</v>
      </c>
      <c r="L225" s="601"/>
      <c r="M225" s="13">
        <f t="shared" si="64"/>
        <v>1</v>
      </c>
      <c r="N225" s="601"/>
      <c r="O225" s="13">
        <f t="shared" si="65"/>
        <v>1</v>
      </c>
      <c r="P225" s="601"/>
      <c r="Q225" s="13">
        <f t="shared" si="66"/>
        <v>0.05</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0.02</v>
      </c>
      <c r="F226" s="601"/>
      <c r="G226" s="13">
        <f t="shared" si="61"/>
        <v>0.02</v>
      </c>
      <c r="H226" s="601"/>
      <c r="I226" s="13">
        <f t="shared" si="62"/>
        <v>1</v>
      </c>
      <c r="J226" s="601"/>
      <c r="K226" s="13">
        <f t="shared" si="63"/>
        <v>1</v>
      </c>
      <c r="L226" s="601"/>
      <c r="M226" s="13">
        <f t="shared" si="64"/>
        <v>1</v>
      </c>
      <c r="N226" s="601"/>
      <c r="O226" s="13">
        <f t="shared" si="65"/>
        <v>1</v>
      </c>
      <c r="P226" s="601"/>
      <c r="Q226" s="13">
        <f t="shared" si="66"/>
        <v>0.05</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0.02</v>
      </c>
      <c r="F227" s="601"/>
      <c r="G227" s="13">
        <f t="shared" si="61"/>
        <v>0.02</v>
      </c>
      <c r="H227" s="601"/>
      <c r="I227" s="13">
        <f t="shared" si="62"/>
        <v>1</v>
      </c>
      <c r="J227" s="601"/>
      <c r="K227" s="13">
        <f t="shared" si="63"/>
        <v>1</v>
      </c>
      <c r="L227" s="601"/>
      <c r="M227" s="13">
        <f t="shared" si="64"/>
        <v>1</v>
      </c>
      <c r="N227" s="601"/>
      <c r="O227" s="13">
        <f t="shared" si="65"/>
        <v>1</v>
      </c>
      <c r="P227" s="601"/>
      <c r="Q227" s="13">
        <f t="shared" si="66"/>
        <v>0.05</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0.02</v>
      </c>
      <c r="F228" s="601"/>
      <c r="G228" s="13">
        <f t="shared" si="61"/>
        <v>0.02</v>
      </c>
      <c r="H228" s="601"/>
      <c r="I228" s="13">
        <f t="shared" si="62"/>
        <v>1</v>
      </c>
      <c r="J228" s="601"/>
      <c r="K228" s="13">
        <f t="shared" si="63"/>
        <v>1</v>
      </c>
      <c r="L228" s="601"/>
      <c r="M228" s="13">
        <f t="shared" si="64"/>
        <v>1</v>
      </c>
      <c r="N228" s="601"/>
      <c r="O228" s="13">
        <f t="shared" si="65"/>
        <v>1</v>
      </c>
      <c r="P228" s="601"/>
      <c r="Q228" s="13">
        <f t="shared" si="66"/>
        <v>0.05</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0.02</v>
      </c>
      <c r="F229" s="601"/>
      <c r="G229" s="13">
        <f t="shared" si="61"/>
        <v>0.02</v>
      </c>
      <c r="H229" s="601"/>
      <c r="I229" s="13">
        <f t="shared" si="62"/>
        <v>1</v>
      </c>
      <c r="J229" s="601"/>
      <c r="K229" s="13">
        <f t="shared" si="63"/>
        <v>1</v>
      </c>
      <c r="L229" s="601"/>
      <c r="M229" s="13">
        <f t="shared" si="64"/>
        <v>1</v>
      </c>
      <c r="N229" s="601"/>
      <c r="O229" s="13">
        <f t="shared" si="65"/>
        <v>1</v>
      </c>
      <c r="P229" s="601"/>
      <c r="Q229" s="13">
        <f t="shared" si="66"/>
        <v>0.05</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0.02</v>
      </c>
      <c r="F230" s="601"/>
      <c r="G230" s="13">
        <f t="shared" si="61"/>
        <v>0.02</v>
      </c>
      <c r="H230" s="601"/>
      <c r="I230" s="13">
        <f t="shared" si="62"/>
        <v>1</v>
      </c>
      <c r="J230" s="601"/>
      <c r="K230" s="13">
        <f t="shared" si="63"/>
        <v>1</v>
      </c>
      <c r="L230" s="601"/>
      <c r="M230" s="13">
        <f t="shared" si="64"/>
        <v>1</v>
      </c>
      <c r="N230" s="601"/>
      <c r="O230" s="13">
        <f t="shared" si="65"/>
        <v>1</v>
      </c>
      <c r="P230" s="601"/>
      <c r="Q230" s="13">
        <f t="shared" si="66"/>
        <v>0.05</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0.02</v>
      </c>
      <c r="F231" s="601"/>
      <c r="G231" s="13">
        <f t="shared" si="61"/>
        <v>0.02</v>
      </c>
      <c r="H231" s="601"/>
      <c r="I231" s="13">
        <f t="shared" si="62"/>
        <v>1</v>
      </c>
      <c r="J231" s="601"/>
      <c r="K231" s="13">
        <f t="shared" si="63"/>
        <v>1</v>
      </c>
      <c r="L231" s="601"/>
      <c r="M231" s="13">
        <f t="shared" si="64"/>
        <v>1</v>
      </c>
      <c r="N231" s="601"/>
      <c r="O231" s="13">
        <f t="shared" si="65"/>
        <v>1</v>
      </c>
      <c r="P231" s="601"/>
      <c r="Q231" s="13">
        <f t="shared" si="66"/>
        <v>0.05</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0.02</v>
      </c>
      <c r="F232" s="601"/>
      <c r="G232" s="13">
        <f t="shared" si="61"/>
        <v>0.02</v>
      </c>
      <c r="H232" s="601"/>
      <c r="I232" s="13">
        <f t="shared" si="62"/>
        <v>1</v>
      </c>
      <c r="J232" s="601"/>
      <c r="K232" s="13">
        <f t="shared" si="63"/>
        <v>1</v>
      </c>
      <c r="L232" s="601"/>
      <c r="M232" s="13">
        <f t="shared" si="64"/>
        <v>1</v>
      </c>
      <c r="N232" s="601"/>
      <c r="O232" s="13">
        <f t="shared" si="65"/>
        <v>1</v>
      </c>
      <c r="P232" s="601"/>
      <c r="Q232" s="13">
        <f t="shared" si="66"/>
        <v>0.05</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0.02</v>
      </c>
      <c r="F233" s="601"/>
      <c r="G233" s="13">
        <f t="shared" si="61"/>
        <v>0.02</v>
      </c>
      <c r="H233" s="601"/>
      <c r="I233" s="13">
        <f t="shared" si="62"/>
        <v>1</v>
      </c>
      <c r="J233" s="601"/>
      <c r="K233" s="13">
        <f t="shared" si="63"/>
        <v>1</v>
      </c>
      <c r="L233" s="601"/>
      <c r="M233" s="13">
        <f t="shared" si="64"/>
        <v>1</v>
      </c>
      <c r="N233" s="601"/>
      <c r="O233" s="13">
        <f t="shared" si="65"/>
        <v>1</v>
      </c>
      <c r="P233" s="601"/>
      <c r="Q233" s="13">
        <f t="shared" si="66"/>
        <v>0.05</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0.02</v>
      </c>
      <c r="F234" s="601"/>
      <c r="G234" s="13">
        <f t="shared" si="61"/>
        <v>0.02</v>
      </c>
      <c r="H234" s="601"/>
      <c r="I234" s="13">
        <f t="shared" si="62"/>
        <v>1</v>
      </c>
      <c r="J234" s="601"/>
      <c r="K234" s="13">
        <f t="shared" si="63"/>
        <v>1</v>
      </c>
      <c r="L234" s="601"/>
      <c r="M234" s="13">
        <f t="shared" si="64"/>
        <v>1</v>
      </c>
      <c r="N234" s="601"/>
      <c r="O234" s="13">
        <f t="shared" si="65"/>
        <v>1</v>
      </c>
      <c r="P234" s="601"/>
      <c r="Q234" s="13">
        <f t="shared" si="66"/>
        <v>0.05</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0.02</v>
      </c>
      <c r="F235" s="601"/>
      <c r="G235" s="13">
        <f t="shared" si="61"/>
        <v>0.02</v>
      </c>
      <c r="H235" s="601"/>
      <c r="I235" s="13">
        <f t="shared" si="62"/>
        <v>1</v>
      </c>
      <c r="J235" s="601"/>
      <c r="K235" s="13">
        <f t="shared" si="63"/>
        <v>1</v>
      </c>
      <c r="L235" s="601"/>
      <c r="M235" s="13">
        <f t="shared" si="64"/>
        <v>1</v>
      </c>
      <c r="N235" s="601"/>
      <c r="O235" s="13">
        <f t="shared" si="65"/>
        <v>1</v>
      </c>
      <c r="P235" s="601"/>
      <c r="Q235" s="13">
        <f t="shared" si="66"/>
        <v>0.05</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0.02</v>
      </c>
      <c r="F236" s="601"/>
      <c r="G236" s="13">
        <f t="shared" si="61"/>
        <v>0.02</v>
      </c>
      <c r="H236" s="601"/>
      <c r="I236" s="13">
        <f t="shared" si="62"/>
        <v>1</v>
      </c>
      <c r="J236" s="601"/>
      <c r="K236" s="13">
        <f t="shared" si="63"/>
        <v>1</v>
      </c>
      <c r="L236" s="601"/>
      <c r="M236" s="13">
        <f t="shared" si="64"/>
        <v>1</v>
      </c>
      <c r="N236" s="601"/>
      <c r="O236" s="13">
        <f t="shared" si="65"/>
        <v>1</v>
      </c>
      <c r="P236" s="601"/>
      <c r="Q236" s="13">
        <f t="shared" si="66"/>
        <v>0.05</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0.02</v>
      </c>
      <c r="F237" s="601"/>
      <c r="G237" s="13">
        <f t="shared" si="61"/>
        <v>0.02</v>
      </c>
      <c r="H237" s="601"/>
      <c r="I237" s="13">
        <f t="shared" si="62"/>
        <v>1</v>
      </c>
      <c r="J237" s="601"/>
      <c r="K237" s="13">
        <f t="shared" si="63"/>
        <v>1</v>
      </c>
      <c r="L237" s="601"/>
      <c r="M237" s="13">
        <f t="shared" si="64"/>
        <v>1</v>
      </c>
      <c r="N237" s="601"/>
      <c r="O237" s="13">
        <f t="shared" si="65"/>
        <v>1</v>
      </c>
      <c r="P237" s="601"/>
      <c r="Q237" s="13">
        <f t="shared" si="66"/>
        <v>0.05</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0.02</v>
      </c>
      <c r="F238" s="601"/>
      <c r="G238" s="13">
        <f t="shared" si="61"/>
        <v>0.02</v>
      </c>
      <c r="H238" s="601"/>
      <c r="I238" s="13">
        <f t="shared" si="62"/>
        <v>1</v>
      </c>
      <c r="J238" s="601"/>
      <c r="K238" s="13">
        <f t="shared" si="63"/>
        <v>1</v>
      </c>
      <c r="L238" s="601"/>
      <c r="M238" s="13">
        <f t="shared" si="64"/>
        <v>1</v>
      </c>
      <c r="N238" s="601"/>
      <c r="O238" s="13">
        <f t="shared" si="65"/>
        <v>1</v>
      </c>
      <c r="P238" s="601"/>
      <c r="Q238" s="13">
        <f t="shared" si="66"/>
        <v>0.05</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0.02</v>
      </c>
      <c r="F239" s="601"/>
      <c r="G239" s="13">
        <f t="shared" si="61"/>
        <v>0.02</v>
      </c>
      <c r="H239" s="601"/>
      <c r="I239" s="13">
        <f t="shared" si="62"/>
        <v>1</v>
      </c>
      <c r="J239" s="601"/>
      <c r="K239" s="13">
        <f t="shared" si="63"/>
        <v>1</v>
      </c>
      <c r="L239" s="601"/>
      <c r="M239" s="13">
        <f t="shared" si="64"/>
        <v>1</v>
      </c>
      <c r="N239" s="601"/>
      <c r="O239" s="13">
        <f t="shared" si="65"/>
        <v>1</v>
      </c>
      <c r="P239" s="601"/>
      <c r="Q239" s="13">
        <f t="shared" si="66"/>
        <v>0.05</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0.02</v>
      </c>
      <c r="F240" s="601"/>
      <c r="G240" s="13">
        <f t="shared" si="61"/>
        <v>0.02</v>
      </c>
      <c r="H240" s="601"/>
      <c r="I240" s="13">
        <f t="shared" si="62"/>
        <v>1</v>
      </c>
      <c r="J240" s="601"/>
      <c r="K240" s="13">
        <f t="shared" si="63"/>
        <v>1</v>
      </c>
      <c r="L240" s="601"/>
      <c r="M240" s="13">
        <f t="shared" si="64"/>
        <v>1</v>
      </c>
      <c r="N240" s="601"/>
      <c r="O240" s="13">
        <f t="shared" si="65"/>
        <v>1</v>
      </c>
      <c r="P240" s="601"/>
      <c r="Q240" s="13">
        <f t="shared" si="66"/>
        <v>0.05</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0.02</v>
      </c>
      <c r="F241" s="601"/>
      <c r="G241" s="13">
        <f t="shared" si="61"/>
        <v>0.02</v>
      </c>
      <c r="H241" s="601"/>
      <c r="I241" s="13">
        <f t="shared" si="62"/>
        <v>1</v>
      </c>
      <c r="J241" s="601"/>
      <c r="K241" s="13">
        <f t="shared" si="63"/>
        <v>1</v>
      </c>
      <c r="L241" s="601"/>
      <c r="M241" s="13">
        <f t="shared" si="64"/>
        <v>1</v>
      </c>
      <c r="N241" s="601"/>
      <c r="O241" s="13">
        <f t="shared" si="65"/>
        <v>1</v>
      </c>
      <c r="P241" s="601"/>
      <c r="Q241" s="13">
        <f t="shared" si="66"/>
        <v>0.05</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0.02</v>
      </c>
      <c r="F242" s="601"/>
      <c r="G242" s="13">
        <f t="shared" si="61"/>
        <v>0.02</v>
      </c>
      <c r="H242" s="601"/>
      <c r="I242" s="13">
        <f t="shared" si="62"/>
        <v>1</v>
      </c>
      <c r="J242" s="601"/>
      <c r="K242" s="13">
        <f t="shared" si="63"/>
        <v>1</v>
      </c>
      <c r="L242" s="601"/>
      <c r="M242" s="13">
        <f t="shared" si="64"/>
        <v>1</v>
      </c>
      <c r="N242" s="601"/>
      <c r="O242" s="13">
        <f t="shared" si="65"/>
        <v>1</v>
      </c>
      <c r="P242" s="601"/>
      <c r="Q242" s="13">
        <f t="shared" si="66"/>
        <v>0.05</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0.02</v>
      </c>
      <c r="F243" s="601"/>
      <c r="G243" s="13">
        <f t="shared" si="61"/>
        <v>0.02</v>
      </c>
      <c r="H243" s="601"/>
      <c r="I243" s="13">
        <f t="shared" si="62"/>
        <v>1</v>
      </c>
      <c r="J243" s="601"/>
      <c r="K243" s="13">
        <f t="shared" si="63"/>
        <v>1</v>
      </c>
      <c r="L243" s="601"/>
      <c r="M243" s="13">
        <f t="shared" si="64"/>
        <v>1</v>
      </c>
      <c r="N243" s="601"/>
      <c r="O243" s="13">
        <f t="shared" si="65"/>
        <v>1</v>
      </c>
      <c r="P243" s="601"/>
      <c r="Q243" s="13">
        <f t="shared" si="66"/>
        <v>0.05</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0.02</v>
      </c>
      <c r="F244" s="601"/>
      <c r="G244" s="13">
        <f t="shared" si="61"/>
        <v>0.02</v>
      </c>
      <c r="H244" s="601"/>
      <c r="I244" s="13">
        <f t="shared" si="62"/>
        <v>1</v>
      </c>
      <c r="J244" s="601"/>
      <c r="K244" s="13">
        <f t="shared" si="63"/>
        <v>1</v>
      </c>
      <c r="L244" s="601"/>
      <c r="M244" s="13">
        <f t="shared" si="64"/>
        <v>1</v>
      </c>
      <c r="N244" s="601"/>
      <c r="O244" s="13">
        <f t="shared" si="65"/>
        <v>1</v>
      </c>
      <c r="P244" s="601"/>
      <c r="Q244" s="13">
        <f t="shared" si="66"/>
        <v>0.05</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0.02</v>
      </c>
      <c r="F245" s="601"/>
      <c r="G245" s="13">
        <f t="shared" si="61"/>
        <v>0.02</v>
      </c>
      <c r="H245" s="601"/>
      <c r="I245" s="13">
        <f t="shared" si="62"/>
        <v>1</v>
      </c>
      <c r="J245" s="601"/>
      <c r="K245" s="13">
        <f t="shared" si="63"/>
        <v>1</v>
      </c>
      <c r="L245" s="601"/>
      <c r="M245" s="13">
        <f t="shared" si="64"/>
        <v>1</v>
      </c>
      <c r="N245" s="601"/>
      <c r="O245" s="13">
        <f t="shared" si="65"/>
        <v>1</v>
      </c>
      <c r="P245" s="601"/>
      <c r="Q245" s="13">
        <f t="shared" si="66"/>
        <v>0.05</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0.02</v>
      </c>
      <c r="F246" s="601"/>
      <c r="G246" s="13">
        <f t="shared" si="61"/>
        <v>0.02</v>
      </c>
      <c r="H246" s="601"/>
      <c r="I246" s="13">
        <f t="shared" si="62"/>
        <v>1</v>
      </c>
      <c r="J246" s="601"/>
      <c r="K246" s="13">
        <f t="shared" si="63"/>
        <v>1</v>
      </c>
      <c r="L246" s="601"/>
      <c r="M246" s="13">
        <f t="shared" si="64"/>
        <v>1</v>
      </c>
      <c r="N246" s="601"/>
      <c r="O246" s="13">
        <f t="shared" si="65"/>
        <v>1</v>
      </c>
      <c r="P246" s="601"/>
      <c r="Q246" s="13">
        <f t="shared" si="66"/>
        <v>0.05</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0.02</v>
      </c>
      <c r="F247" s="601"/>
      <c r="G247" s="13">
        <f t="shared" si="61"/>
        <v>0.02</v>
      </c>
      <c r="H247" s="601"/>
      <c r="I247" s="13">
        <f t="shared" si="62"/>
        <v>1</v>
      </c>
      <c r="J247" s="601"/>
      <c r="K247" s="13">
        <f t="shared" si="63"/>
        <v>1</v>
      </c>
      <c r="L247" s="601"/>
      <c r="M247" s="13">
        <f t="shared" si="64"/>
        <v>1</v>
      </c>
      <c r="N247" s="601"/>
      <c r="O247" s="13">
        <f t="shared" si="65"/>
        <v>1</v>
      </c>
      <c r="P247" s="601"/>
      <c r="Q247" s="13">
        <f t="shared" si="66"/>
        <v>0.05</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0.02</v>
      </c>
      <c r="F248" s="601"/>
      <c r="G248" s="13">
        <f t="shared" si="61"/>
        <v>0.02</v>
      </c>
      <c r="H248" s="601"/>
      <c r="I248" s="13">
        <f t="shared" si="62"/>
        <v>1</v>
      </c>
      <c r="J248" s="601"/>
      <c r="K248" s="13">
        <f t="shared" si="63"/>
        <v>1</v>
      </c>
      <c r="L248" s="601"/>
      <c r="M248" s="13">
        <f t="shared" si="64"/>
        <v>1</v>
      </c>
      <c r="N248" s="601"/>
      <c r="O248" s="13">
        <f t="shared" si="65"/>
        <v>1</v>
      </c>
      <c r="P248" s="601"/>
      <c r="Q248" s="13">
        <f t="shared" si="66"/>
        <v>0.05</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0.02</v>
      </c>
      <c r="F249" s="601"/>
      <c r="G249" s="13">
        <f t="shared" si="61"/>
        <v>0.02</v>
      </c>
      <c r="H249" s="601"/>
      <c r="I249" s="13">
        <f t="shared" si="62"/>
        <v>1</v>
      </c>
      <c r="J249" s="601"/>
      <c r="K249" s="13">
        <f t="shared" si="63"/>
        <v>1</v>
      </c>
      <c r="L249" s="601"/>
      <c r="M249" s="13">
        <f t="shared" si="64"/>
        <v>1</v>
      </c>
      <c r="N249" s="601"/>
      <c r="O249" s="13">
        <f t="shared" si="65"/>
        <v>1</v>
      </c>
      <c r="P249" s="601"/>
      <c r="Q249" s="13">
        <f t="shared" si="66"/>
        <v>0.05</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0.02</v>
      </c>
      <c r="F250" s="601"/>
      <c r="G250" s="13">
        <f t="shared" si="61"/>
        <v>0.02</v>
      </c>
      <c r="H250" s="601"/>
      <c r="I250" s="13">
        <f t="shared" si="62"/>
        <v>1</v>
      </c>
      <c r="J250" s="601"/>
      <c r="K250" s="13">
        <f t="shared" si="63"/>
        <v>1</v>
      </c>
      <c r="L250" s="601"/>
      <c r="M250" s="13">
        <f t="shared" si="64"/>
        <v>1</v>
      </c>
      <c r="N250" s="601"/>
      <c r="O250" s="13">
        <f t="shared" si="65"/>
        <v>1</v>
      </c>
      <c r="P250" s="601"/>
      <c r="Q250" s="13">
        <f t="shared" si="66"/>
        <v>0.05</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0.02</v>
      </c>
      <c r="F251" s="601"/>
      <c r="G251" s="13">
        <f t="shared" si="61"/>
        <v>0.02</v>
      </c>
      <c r="H251" s="601"/>
      <c r="I251" s="13">
        <f t="shared" si="62"/>
        <v>1</v>
      </c>
      <c r="J251" s="601"/>
      <c r="K251" s="13">
        <f t="shared" si="63"/>
        <v>1</v>
      </c>
      <c r="L251" s="601"/>
      <c r="M251" s="13">
        <f t="shared" si="64"/>
        <v>1</v>
      </c>
      <c r="N251" s="601"/>
      <c r="O251" s="13">
        <f t="shared" si="65"/>
        <v>1</v>
      </c>
      <c r="P251" s="601"/>
      <c r="Q251" s="13">
        <f t="shared" si="66"/>
        <v>0.05</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0.02</v>
      </c>
      <c r="F252" s="601"/>
      <c r="G252" s="13">
        <f t="shared" si="61"/>
        <v>0.02</v>
      </c>
      <c r="H252" s="601"/>
      <c r="I252" s="13">
        <f t="shared" si="62"/>
        <v>1</v>
      </c>
      <c r="J252" s="601"/>
      <c r="K252" s="13">
        <f t="shared" si="63"/>
        <v>1</v>
      </c>
      <c r="L252" s="601"/>
      <c r="M252" s="13">
        <f t="shared" si="64"/>
        <v>1</v>
      </c>
      <c r="N252" s="601"/>
      <c r="O252" s="13">
        <f t="shared" si="65"/>
        <v>1</v>
      </c>
      <c r="P252" s="601"/>
      <c r="Q252" s="13">
        <f t="shared" si="66"/>
        <v>0.05</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0.02</v>
      </c>
      <c r="F253" s="601"/>
      <c r="G253" s="13">
        <f t="shared" si="61"/>
        <v>0.02</v>
      </c>
      <c r="H253" s="601"/>
      <c r="I253" s="13">
        <f t="shared" si="62"/>
        <v>1</v>
      </c>
      <c r="J253" s="601"/>
      <c r="K253" s="13">
        <f t="shared" si="63"/>
        <v>1</v>
      </c>
      <c r="L253" s="601"/>
      <c r="M253" s="13">
        <f t="shared" si="64"/>
        <v>1</v>
      </c>
      <c r="N253" s="601"/>
      <c r="O253" s="13">
        <f t="shared" si="65"/>
        <v>1</v>
      </c>
      <c r="P253" s="601"/>
      <c r="Q253" s="13">
        <f t="shared" si="66"/>
        <v>0.05</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0.02</v>
      </c>
      <c r="F254" s="601"/>
      <c r="G254" s="13">
        <f t="shared" si="61"/>
        <v>0.02</v>
      </c>
      <c r="H254" s="601"/>
      <c r="I254" s="13">
        <f t="shared" si="62"/>
        <v>1</v>
      </c>
      <c r="J254" s="601"/>
      <c r="K254" s="13">
        <f t="shared" si="63"/>
        <v>1</v>
      </c>
      <c r="L254" s="601"/>
      <c r="M254" s="13">
        <f t="shared" si="64"/>
        <v>1</v>
      </c>
      <c r="N254" s="601"/>
      <c r="O254" s="13">
        <f t="shared" si="65"/>
        <v>1</v>
      </c>
      <c r="P254" s="601"/>
      <c r="Q254" s="13">
        <f t="shared" si="66"/>
        <v>0.05</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0.02</v>
      </c>
      <c r="F255" s="601"/>
      <c r="G255" s="13">
        <f t="shared" si="61"/>
        <v>0.02</v>
      </c>
      <c r="H255" s="601"/>
      <c r="I255" s="13">
        <f t="shared" si="62"/>
        <v>1</v>
      </c>
      <c r="J255" s="601"/>
      <c r="K255" s="13">
        <f t="shared" si="63"/>
        <v>1</v>
      </c>
      <c r="L255" s="601"/>
      <c r="M255" s="13">
        <f t="shared" si="64"/>
        <v>1</v>
      </c>
      <c r="N255" s="601"/>
      <c r="O255" s="13">
        <f t="shared" si="65"/>
        <v>1</v>
      </c>
      <c r="P255" s="601"/>
      <c r="Q255" s="13">
        <f t="shared" si="66"/>
        <v>0.05</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0.02</v>
      </c>
      <c r="F256" s="601"/>
      <c r="G256" s="13">
        <f t="shared" si="61"/>
        <v>0.02</v>
      </c>
      <c r="H256" s="601"/>
      <c r="I256" s="13">
        <f t="shared" si="62"/>
        <v>1</v>
      </c>
      <c r="J256" s="601"/>
      <c r="K256" s="13">
        <f t="shared" si="63"/>
        <v>1</v>
      </c>
      <c r="L256" s="601"/>
      <c r="M256" s="13">
        <f t="shared" si="64"/>
        <v>1</v>
      </c>
      <c r="N256" s="601"/>
      <c r="O256" s="13">
        <f t="shared" si="65"/>
        <v>1</v>
      </c>
      <c r="P256" s="601"/>
      <c r="Q256" s="13">
        <f t="shared" si="66"/>
        <v>0.05</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0.02</v>
      </c>
      <c r="F257" s="601"/>
      <c r="G257" s="13">
        <f t="shared" si="61"/>
        <v>0.02</v>
      </c>
      <c r="H257" s="601"/>
      <c r="I257" s="13">
        <f t="shared" si="62"/>
        <v>1</v>
      </c>
      <c r="J257" s="601"/>
      <c r="K257" s="13">
        <f t="shared" si="63"/>
        <v>1</v>
      </c>
      <c r="L257" s="601"/>
      <c r="M257" s="13">
        <f t="shared" si="64"/>
        <v>1</v>
      </c>
      <c r="N257" s="601"/>
      <c r="O257" s="13">
        <f t="shared" si="65"/>
        <v>1</v>
      </c>
      <c r="P257" s="601"/>
      <c r="Q257" s="13">
        <f t="shared" si="66"/>
        <v>0.05</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0.02</v>
      </c>
      <c r="F258" s="601"/>
      <c r="G258" s="13">
        <f t="shared" si="61"/>
        <v>0.02</v>
      </c>
      <c r="H258" s="601"/>
      <c r="I258" s="13">
        <f t="shared" si="62"/>
        <v>1</v>
      </c>
      <c r="J258" s="601"/>
      <c r="K258" s="13">
        <f t="shared" si="63"/>
        <v>1</v>
      </c>
      <c r="L258" s="601"/>
      <c r="M258" s="13">
        <f t="shared" si="64"/>
        <v>1</v>
      </c>
      <c r="N258" s="601"/>
      <c r="O258" s="13">
        <f t="shared" si="65"/>
        <v>1</v>
      </c>
      <c r="P258" s="601"/>
      <c r="Q258" s="13">
        <f t="shared" si="66"/>
        <v>0.05</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0.02</v>
      </c>
      <c r="F259" s="601"/>
      <c r="G259" s="13">
        <f t="shared" si="61"/>
        <v>0.02</v>
      </c>
      <c r="H259" s="601"/>
      <c r="I259" s="13">
        <f t="shared" si="62"/>
        <v>1</v>
      </c>
      <c r="J259" s="601"/>
      <c r="K259" s="13">
        <f t="shared" si="63"/>
        <v>1</v>
      </c>
      <c r="L259" s="601"/>
      <c r="M259" s="13">
        <f t="shared" si="64"/>
        <v>1</v>
      </c>
      <c r="N259" s="601"/>
      <c r="O259" s="13">
        <f t="shared" si="65"/>
        <v>1</v>
      </c>
      <c r="P259" s="601"/>
      <c r="Q259" s="13">
        <f t="shared" si="66"/>
        <v>0.05</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0.02</v>
      </c>
      <c r="F260" s="601"/>
      <c r="G260" s="13">
        <f t="shared" si="61"/>
        <v>0.02</v>
      </c>
      <c r="H260" s="601"/>
      <c r="I260" s="13">
        <f t="shared" si="62"/>
        <v>1</v>
      </c>
      <c r="J260" s="601"/>
      <c r="K260" s="13">
        <f t="shared" si="63"/>
        <v>1</v>
      </c>
      <c r="L260" s="601"/>
      <c r="M260" s="13">
        <f t="shared" si="64"/>
        <v>1</v>
      </c>
      <c r="N260" s="601"/>
      <c r="O260" s="13">
        <f t="shared" si="65"/>
        <v>1</v>
      </c>
      <c r="P260" s="601"/>
      <c r="Q260" s="13">
        <f t="shared" si="66"/>
        <v>0.05</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0.02</v>
      </c>
      <c r="F261" s="601"/>
      <c r="G261" s="13">
        <f t="shared" si="61"/>
        <v>0.02</v>
      </c>
      <c r="H261" s="601"/>
      <c r="I261" s="13">
        <f t="shared" si="62"/>
        <v>1</v>
      </c>
      <c r="J261" s="601"/>
      <c r="K261" s="13">
        <f t="shared" si="63"/>
        <v>1</v>
      </c>
      <c r="L261" s="601"/>
      <c r="M261" s="13">
        <f t="shared" si="64"/>
        <v>1</v>
      </c>
      <c r="N261" s="601"/>
      <c r="O261" s="13">
        <f t="shared" si="65"/>
        <v>1</v>
      </c>
      <c r="P261" s="601"/>
      <c r="Q261" s="13">
        <f t="shared" si="66"/>
        <v>0.05</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0.02</v>
      </c>
      <c r="F262" s="601"/>
      <c r="G262" s="13">
        <f t="shared" si="61"/>
        <v>0.02</v>
      </c>
      <c r="H262" s="601"/>
      <c r="I262" s="13">
        <f t="shared" si="62"/>
        <v>1</v>
      </c>
      <c r="J262" s="601"/>
      <c r="K262" s="13">
        <f t="shared" si="63"/>
        <v>1</v>
      </c>
      <c r="L262" s="601"/>
      <c r="M262" s="13">
        <f t="shared" si="64"/>
        <v>1</v>
      </c>
      <c r="N262" s="601"/>
      <c r="O262" s="13">
        <f t="shared" si="65"/>
        <v>1</v>
      </c>
      <c r="P262" s="601"/>
      <c r="Q262" s="13">
        <f t="shared" si="66"/>
        <v>0.05</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0.02</v>
      </c>
      <c r="F263" s="601"/>
      <c r="G263" s="13">
        <f t="shared" si="61"/>
        <v>0.02</v>
      </c>
      <c r="H263" s="601"/>
      <c r="I263" s="13">
        <f t="shared" si="62"/>
        <v>1</v>
      </c>
      <c r="J263" s="601"/>
      <c r="K263" s="13">
        <f t="shared" si="63"/>
        <v>1</v>
      </c>
      <c r="L263" s="601"/>
      <c r="M263" s="13">
        <f t="shared" si="64"/>
        <v>1</v>
      </c>
      <c r="N263" s="601"/>
      <c r="O263" s="13">
        <f t="shared" si="65"/>
        <v>1</v>
      </c>
      <c r="P263" s="601"/>
      <c r="Q263" s="13">
        <f t="shared" si="66"/>
        <v>0.05</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0.02</v>
      </c>
      <c r="F264" s="601"/>
      <c r="G264" s="13">
        <f t="shared" si="61"/>
        <v>0.02</v>
      </c>
      <c r="H264" s="601"/>
      <c r="I264" s="13">
        <f t="shared" si="62"/>
        <v>1</v>
      </c>
      <c r="J264" s="601"/>
      <c r="K264" s="13">
        <f t="shared" si="63"/>
        <v>1</v>
      </c>
      <c r="L264" s="601"/>
      <c r="M264" s="13">
        <f t="shared" si="64"/>
        <v>1</v>
      </c>
      <c r="N264" s="601"/>
      <c r="O264" s="13">
        <f t="shared" si="65"/>
        <v>1</v>
      </c>
      <c r="P264" s="601"/>
      <c r="Q264" s="13">
        <f t="shared" si="66"/>
        <v>0.05</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0.02</v>
      </c>
      <c r="F265" s="601"/>
      <c r="G265" s="13">
        <f t="shared" si="61"/>
        <v>0.02</v>
      </c>
      <c r="H265" s="601"/>
      <c r="I265" s="13">
        <f t="shared" si="62"/>
        <v>1</v>
      </c>
      <c r="J265" s="601"/>
      <c r="K265" s="13">
        <f t="shared" si="63"/>
        <v>1</v>
      </c>
      <c r="L265" s="601"/>
      <c r="M265" s="13">
        <f t="shared" si="64"/>
        <v>1</v>
      </c>
      <c r="N265" s="601"/>
      <c r="O265" s="13">
        <f t="shared" si="65"/>
        <v>1</v>
      </c>
      <c r="P265" s="601"/>
      <c r="Q265" s="13">
        <f t="shared" si="66"/>
        <v>0.05</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0.02</v>
      </c>
      <c r="F266" s="601"/>
      <c r="G266" s="13">
        <f t="shared" si="61"/>
        <v>0.02</v>
      </c>
      <c r="H266" s="601"/>
      <c r="I266" s="13">
        <f t="shared" si="62"/>
        <v>1</v>
      </c>
      <c r="J266" s="601"/>
      <c r="K266" s="13">
        <f t="shared" si="63"/>
        <v>1</v>
      </c>
      <c r="L266" s="601"/>
      <c r="M266" s="13">
        <f t="shared" si="64"/>
        <v>1</v>
      </c>
      <c r="N266" s="601"/>
      <c r="O266" s="13">
        <f t="shared" si="65"/>
        <v>1</v>
      </c>
      <c r="P266" s="601"/>
      <c r="Q266" s="13">
        <f t="shared" si="66"/>
        <v>0.05</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0.02</v>
      </c>
      <c r="F267" s="601"/>
      <c r="G267" s="13">
        <f t="shared" si="61"/>
        <v>0.02</v>
      </c>
      <c r="H267" s="601"/>
      <c r="I267" s="13">
        <f t="shared" si="62"/>
        <v>1</v>
      </c>
      <c r="J267" s="601"/>
      <c r="K267" s="13">
        <f t="shared" si="63"/>
        <v>1</v>
      </c>
      <c r="L267" s="601"/>
      <c r="M267" s="13">
        <f t="shared" si="64"/>
        <v>1</v>
      </c>
      <c r="N267" s="601"/>
      <c r="O267" s="13">
        <f t="shared" si="65"/>
        <v>1</v>
      </c>
      <c r="P267" s="601"/>
      <c r="Q267" s="13">
        <f t="shared" si="66"/>
        <v>0.05</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0.02</v>
      </c>
      <c r="F268" s="601"/>
      <c r="G268" s="13">
        <f t="shared" si="61"/>
        <v>0.02</v>
      </c>
      <c r="H268" s="601"/>
      <c r="I268" s="13">
        <f t="shared" si="62"/>
        <v>1</v>
      </c>
      <c r="J268" s="601"/>
      <c r="K268" s="13">
        <f t="shared" si="63"/>
        <v>1</v>
      </c>
      <c r="L268" s="601"/>
      <c r="M268" s="13">
        <f t="shared" si="64"/>
        <v>1</v>
      </c>
      <c r="N268" s="601"/>
      <c r="O268" s="13">
        <f t="shared" si="65"/>
        <v>1</v>
      </c>
      <c r="P268" s="601"/>
      <c r="Q268" s="13">
        <f t="shared" si="66"/>
        <v>0.05</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0.02</v>
      </c>
      <c r="F269" s="601"/>
      <c r="G269" s="13">
        <f t="shared" si="61"/>
        <v>0.02</v>
      </c>
      <c r="H269" s="601"/>
      <c r="I269" s="13">
        <f t="shared" si="62"/>
        <v>1</v>
      </c>
      <c r="J269" s="601"/>
      <c r="K269" s="13">
        <f t="shared" si="63"/>
        <v>1</v>
      </c>
      <c r="L269" s="601"/>
      <c r="M269" s="13">
        <f t="shared" si="64"/>
        <v>1</v>
      </c>
      <c r="N269" s="601"/>
      <c r="O269" s="13">
        <f t="shared" si="65"/>
        <v>1</v>
      </c>
      <c r="P269" s="601"/>
      <c r="Q269" s="13">
        <f t="shared" si="66"/>
        <v>0.05</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0.02</v>
      </c>
      <c r="F270" s="601"/>
      <c r="G270" s="13">
        <f t="shared" si="61"/>
        <v>0.02</v>
      </c>
      <c r="H270" s="601"/>
      <c r="I270" s="13">
        <f t="shared" si="62"/>
        <v>1</v>
      </c>
      <c r="J270" s="601"/>
      <c r="K270" s="13">
        <f t="shared" si="63"/>
        <v>1</v>
      </c>
      <c r="L270" s="601"/>
      <c r="M270" s="13">
        <f t="shared" si="64"/>
        <v>1</v>
      </c>
      <c r="N270" s="601"/>
      <c r="O270" s="13">
        <f t="shared" si="65"/>
        <v>1</v>
      </c>
      <c r="P270" s="601"/>
      <c r="Q270" s="13">
        <f t="shared" si="66"/>
        <v>0.05</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0.02</v>
      </c>
      <c r="F271" s="601"/>
      <c r="G271" s="13">
        <f t="shared" si="61"/>
        <v>0.02</v>
      </c>
      <c r="H271" s="601"/>
      <c r="I271" s="13">
        <f t="shared" si="62"/>
        <v>1</v>
      </c>
      <c r="J271" s="601"/>
      <c r="K271" s="13">
        <f t="shared" si="63"/>
        <v>1</v>
      </c>
      <c r="L271" s="601"/>
      <c r="M271" s="13">
        <f t="shared" si="64"/>
        <v>1</v>
      </c>
      <c r="N271" s="601"/>
      <c r="O271" s="13">
        <f t="shared" si="65"/>
        <v>1</v>
      </c>
      <c r="P271" s="601"/>
      <c r="Q271" s="13">
        <f t="shared" si="66"/>
        <v>0.05</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0.02</v>
      </c>
      <c r="F272" s="601"/>
      <c r="G272" s="13">
        <f t="shared" si="61"/>
        <v>0.02</v>
      </c>
      <c r="H272" s="601"/>
      <c r="I272" s="13">
        <f t="shared" si="62"/>
        <v>1</v>
      </c>
      <c r="J272" s="601"/>
      <c r="K272" s="13">
        <f t="shared" si="63"/>
        <v>1</v>
      </c>
      <c r="L272" s="601"/>
      <c r="M272" s="13">
        <f t="shared" si="64"/>
        <v>1</v>
      </c>
      <c r="N272" s="601"/>
      <c r="O272" s="13">
        <f t="shared" si="65"/>
        <v>1</v>
      </c>
      <c r="P272" s="601"/>
      <c r="Q272" s="13">
        <f t="shared" si="66"/>
        <v>0.05</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0.02</v>
      </c>
      <c r="F273" s="601"/>
      <c r="G273" s="13">
        <f t="shared" si="61"/>
        <v>0.02</v>
      </c>
      <c r="H273" s="601"/>
      <c r="I273" s="13">
        <f t="shared" si="62"/>
        <v>1</v>
      </c>
      <c r="J273" s="601"/>
      <c r="K273" s="13">
        <f t="shared" si="63"/>
        <v>1</v>
      </c>
      <c r="L273" s="601"/>
      <c r="M273" s="13">
        <f t="shared" si="64"/>
        <v>1</v>
      </c>
      <c r="N273" s="601"/>
      <c r="O273" s="13">
        <f t="shared" si="65"/>
        <v>1</v>
      </c>
      <c r="P273" s="601"/>
      <c r="Q273" s="13">
        <f t="shared" si="66"/>
        <v>0.05</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0.02</v>
      </c>
      <c r="F274" s="601"/>
      <c r="G274" s="13">
        <f t="shared" si="61"/>
        <v>0.02</v>
      </c>
      <c r="H274" s="601"/>
      <c r="I274" s="13">
        <f t="shared" si="62"/>
        <v>1</v>
      </c>
      <c r="J274" s="601"/>
      <c r="K274" s="13">
        <f t="shared" si="63"/>
        <v>1</v>
      </c>
      <c r="L274" s="601"/>
      <c r="M274" s="13">
        <f t="shared" si="64"/>
        <v>1</v>
      </c>
      <c r="N274" s="601"/>
      <c r="O274" s="13">
        <f t="shared" si="65"/>
        <v>1</v>
      </c>
      <c r="P274" s="601"/>
      <c r="Q274" s="13">
        <f t="shared" si="66"/>
        <v>0.05</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0.02</v>
      </c>
      <c r="F275" s="601"/>
      <c r="G275" s="13">
        <f t="shared" si="61"/>
        <v>0.02</v>
      </c>
      <c r="H275" s="601"/>
      <c r="I275" s="13">
        <f t="shared" si="62"/>
        <v>1</v>
      </c>
      <c r="J275" s="601"/>
      <c r="K275" s="13">
        <f t="shared" si="63"/>
        <v>1</v>
      </c>
      <c r="L275" s="601"/>
      <c r="M275" s="13">
        <f t="shared" si="64"/>
        <v>1</v>
      </c>
      <c r="N275" s="601"/>
      <c r="O275" s="13">
        <f t="shared" si="65"/>
        <v>1</v>
      </c>
      <c r="P275" s="601"/>
      <c r="Q275" s="13">
        <f t="shared" si="66"/>
        <v>0.05</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0.02</v>
      </c>
      <c r="F276" s="601"/>
      <c r="G276" s="13">
        <f t="shared" si="61"/>
        <v>0.02</v>
      </c>
      <c r="H276" s="601"/>
      <c r="I276" s="13">
        <f t="shared" si="62"/>
        <v>1</v>
      </c>
      <c r="J276" s="601"/>
      <c r="K276" s="13">
        <f t="shared" si="63"/>
        <v>1</v>
      </c>
      <c r="L276" s="601"/>
      <c r="M276" s="13">
        <f t="shared" si="64"/>
        <v>1</v>
      </c>
      <c r="N276" s="601"/>
      <c r="O276" s="13">
        <f t="shared" si="65"/>
        <v>1</v>
      </c>
      <c r="P276" s="601"/>
      <c r="Q276" s="13">
        <f t="shared" si="66"/>
        <v>0.05</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0.02</v>
      </c>
      <c r="F277" s="601"/>
      <c r="G277" s="13">
        <f t="shared" si="61"/>
        <v>0.02</v>
      </c>
      <c r="H277" s="601"/>
      <c r="I277" s="13">
        <f t="shared" si="62"/>
        <v>1</v>
      </c>
      <c r="J277" s="601"/>
      <c r="K277" s="13">
        <f t="shared" si="63"/>
        <v>1</v>
      </c>
      <c r="L277" s="601"/>
      <c r="M277" s="13">
        <f t="shared" si="64"/>
        <v>1</v>
      </c>
      <c r="N277" s="601"/>
      <c r="O277" s="13">
        <f t="shared" si="65"/>
        <v>1</v>
      </c>
      <c r="P277" s="601"/>
      <c r="Q277" s="13">
        <f t="shared" si="66"/>
        <v>0.05</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0.02</v>
      </c>
      <c r="F278" s="601"/>
      <c r="G278" s="13">
        <f t="shared" si="61"/>
        <v>0.02</v>
      </c>
      <c r="H278" s="601"/>
      <c r="I278" s="13">
        <f t="shared" si="62"/>
        <v>1</v>
      </c>
      <c r="J278" s="601"/>
      <c r="K278" s="13">
        <f t="shared" si="63"/>
        <v>1</v>
      </c>
      <c r="L278" s="601"/>
      <c r="M278" s="13">
        <f t="shared" si="64"/>
        <v>1</v>
      </c>
      <c r="N278" s="601"/>
      <c r="O278" s="13">
        <f t="shared" si="65"/>
        <v>1</v>
      </c>
      <c r="P278" s="601"/>
      <c r="Q278" s="13">
        <f t="shared" si="66"/>
        <v>0.05</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0.02</v>
      </c>
      <c r="F279" s="601"/>
      <c r="G279" s="13">
        <f t="shared" si="61"/>
        <v>0.02</v>
      </c>
      <c r="H279" s="601"/>
      <c r="I279" s="13">
        <f t="shared" si="62"/>
        <v>1</v>
      </c>
      <c r="J279" s="601"/>
      <c r="K279" s="13">
        <f t="shared" si="63"/>
        <v>1</v>
      </c>
      <c r="L279" s="601"/>
      <c r="M279" s="13">
        <f t="shared" si="64"/>
        <v>1</v>
      </c>
      <c r="N279" s="601"/>
      <c r="O279" s="13">
        <f t="shared" si="65"/>
        <v>1</v>
      </c>
      <c r="P279" s="601"/>
      <c r="Q279" s="13">
        <f t="shared" si="66"/>
        <v>0.05</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0.02</v>
      </c>
      <c r="F280" s="601"/>
      <c r="G280" s="13">
        <f t="shared" si="61"/>
        <v>0.02</v>
      </c>
      <c r="H280" s="601"/>
      <c r="I280" s="13">
        <f t="shared" si="62"/>
        <v>1</v>
      </c>
      <c r="J280" s="601"/>
      <c r="K280" s="13">
        <f t="shared" si="63"/>
        <v>1</v>
      </c>
      <c r="L280" s="601"/>
      <c r="M280" s="13">
        <f t="shared" si="64"/>
        <v>1</v>
      </c>
      <c r="N280" s="601"/>
      <c r="O280" s="13">
        <f t="shared" si="65"/>
        <v>1</v>
      </c>
      <c r="P280" s="601"/>
      <c r="Q280" s="13">
        <f t="shared" si="66"/>
        <v>0.05</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0.02</v>
      </c>
      <c r="F281" s="601"/>
      <c r="G281" s="13">
        <f t="shared" si="61"/>
        <v>0.02</v>
      </c>
      <c r="H281" s="601"/>
      <c r="I281" s="13">
        <f t="shared" si="62"/>
        <v>1</v>
      </c>
      <c r="J281" s="601"/>
      <c r="K281" s="13">
        <f t="shared" si="63"/>
        <v>1</v>
      </c>
      <c r="L281" s="601"/>
      <c r="M281" s="13">
        <f t="shared" si="64"/>
        <v>1</v>
      </c>
      <c r="N281" s="601"/>
      <c r="O281" s="13">
        <f t="shared" si="65"/>
        <v>1</v>
      </c>
      <c r="P281" s="601"/>
      <c r="Q281" s="13">
        <f t="shared" si="66"/>
        <v>0.05</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0.02</v>
      </c>
      <c r="F282" s="601"/>
      <c r="G282" s="13">
        <f t="shared" si="61"/>
        <v>0.02</v>
      </c>
      <c r="H282" s="601"/>
      <c r="I282" s="13">
        <f t="shared" si="62"/>
        <v>1</v>
      </c>
      <c r="J282" s="601"/>
      <c r="K282" s="13">
        <f t="shared" si="63"/>
        <v>1</v>
      </c>
      <c r="L282" s="601"/>
      <c r="M282" s="13">
        <f t="shared" si="64"/>
        <v>1</v>
      </c>
      <c r="N282" s="601"/>
      <c r="O282" s="13">
        <f t="shared" si="65"/>
        <v>1</v>
      </c>
      <c r="P282" s="601"/>
      <c r="Q282" s="13">
        <f t="shared" si="66"/>
        <v>0.05</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0.02</v>
      </c>
      <c r="F283" s="601"/>
      <c r="G283" s="13">
        <f t="shared" si="61"/>
        <v>0.02</v>
      </c>
      <c r="H283" s="601"/>
      <c r="I283" s="13">
        <f t="shared" si="62"/>
        <v>1</v>
      </c>
      <c r="J283" s="601"/>
      <c r="K283" s="13">
        <f t="shared" si="63"/>
        <v>1</v>
      </c>
      <c r="L283" s="601"/>
      <c r="M283" s="13">
        <f t="shared" si="64"/>
        <v>1</v>
      </c>
      <c r="N283" s="601"/>
      <c r="O283" s="13">
        <f t="shared" si="65"/>
        <v>1</v>
      </c>
      <c r="P283" s="601"/>
      <c r="Q283" s="13">
        <f t="shared" si="66"/>
        <v>0.05</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0.02</v>
      </c>
      <c r="F284" s="601"/>
      <c r="G284" s="13">
        <f t="shared" ref="G284:G347" si="76">(SUMIF($10:$10,F284,$11:$11)-SUMIF($10:$10,$F$27,$11:$11)+100)/100</f>
        <v>0.02</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0.05</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0.02</v>
      </c>
      <c r="F285" s="601"/>
      <c r="G285" s="13">
        <f t="shared" si="76"/>
        <v>0.02</v>
      </c>
      <c r="H285" s="601"/>
      <c r="I285" s="13">
        <f t="shared" si="77"/>
        <v>1</v>
      </c>
      <c r="J285" s="601"/>
      <c r="K285" s="13">
        <f t="shared" si="78"/>
        <v>1</v>
      </c>
      <c r="L285" s="601"/>
      <c r="M285" s="13">
        <f t="shared" si="79"/>
        <v>1</v>
      </c>
      <c r="N285" s="601"/>
      <c r="O285" s="13">
        <f t="shared" si="80"/>
        <v>1</v>
      </c>
      <c r="P285" s="601"/>
      <c r="Q285" s="13">
        <f t="shared" si="81"/>
        <v>0.05</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0.02</v>
      </c>
      <c r="F286" s="601"/>
      <c r="G286" s="13">
        <f t="shared" si="76"/>
        <v>0.02</v>
      </c>
      <c r="H286" s="601"/>
      <c r="I286" s="13">
        <f t="shared" si="77"/>
        <v>1</v>
      </c>
      <c r="J286" s="601"/>
      <c r="K286" s="13">
        <f t="shared" si="78"/>
        <v>1</v>
      </c>
      <c r="L286" s="601"/>
      <c r="M286" s="13">
        <f t="shared" si="79"/>
        <v>1</v>
      </c>
      <c r="N286" s="601"/>
      <c r="O286" s="13">
        <f t="shared" si="80"/>
        <v>1</v>
      </c>
      <c r="P286" s="601"/>
      <c r="Q286" s="13">
        <f t="shared" si="81"/>
        <v>0.05</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0.02</v>
      </c>
      <c r="F287" s="601"/>
      <c r="G287" s="13">
        <f t="shared" si="76"/>
        <v>0.02</v>
      </c>
      <c r="H287" s="601"/>
      <c r="I287" s="13">
        <f t="shared" si="77"/>
        <v>1</v>
      </c>
      <c r="J287" s="601"/>
      <c r="K287" s="13">
        <f t="shared" si="78"/>
        <v>1</v>
      </c>
      <c r="L287" s="601"/>
      <c r="M287" s="13">
        <f t="shared" si="79"/>
        <v>1</v>
      </c>
      <c r="N287" s="601"/>
      <c r="O287" s="13">
        <f t="shared" si="80"/>
        <v>1</v>
      </c>
      <c r="P287" s="601"/>
      <c r="Q287" s="13">
        <f t="shared" si="81"/>
        <v>0.05</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0.02</v>
      </c>
      <c r="F288" s="601"/>
      <c r="G288" s="13">
        <f t="shared" si="76"/>
        <v>0.02</v>
      </c>
      <c r="H288" s="601"/>
      <c r="I288" s="13">
        <f t="shared" si="77"/>
        <v>1</v>
      </c>
      <c r="J288" s="601"/>
      <c r="K288" s="13">
        <f t="shared" si="78"/>
        <v>1</v>
      </c>
      <c r="L288" s="601"/>
      <c r="M288" s="13">
        <f t="shared" si="79"/>
        <v>1</v>
      </c>
      <c r="N288" s="601"/>
      <c r="O288" s="13">
        <f t="shared" si="80"/>
        <v>1</v>
      </c>
      <c r="P288" s="601"/>
      <c r="Q288" s="13">
        <f t="shared" si="81"/>
        <v>0.05</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0.02</v>
      </c>
      <c r="F289" s="601"/>
      <c r="G289" s="13">
        <f t="shared" si="76"/>
        <v>0.02</v>
      </c>
      <c r="H289" s="601"/>
      <c r="I289" s="13">
        <f t="shared" si="77"/>
        <v>1</v>
      </c>
      <c r="J289" s="601"/>
      <c r="K289" s="13">
        <f t="shared" si="78"/>
        <v>1</v>
      </c>
      <c r="L289" s="601"/>
      <c r="M289" s="13">
        <f t="shared" si="79"/>
        <v>1</v>
      </c>
      <c r="N289" s="601"/>
      <c r="O289" s="13">
        <f t="shared" si="80"/>
        <v>1</v>
      </c>
      <c r="P289" s="601"/>
      <c r="Q289" s="13">
        <f t="shared" si="81"/>
        <v>0.05</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0.02</v>
      </c>
      <c r="F290" s="601"/>
      <c r="G290" s="13">
        <f t="shared" si="76"/>
        <v>0.02</v>
      </c>
      <c r="H290" s="601"/>
      <c r="I290" s="13">
        <f t="shared" si="77"/>
        <v>1</v>
      </c>
      <c r="J290" s="601"/>
      <c r="K290" s="13">
        <f t="shared" si="78"/>
        <v>1</v>
      </c>
      <c r="L290" s="601"/>
      <c r="M290" s="13">
        <f t="shared" si="79"/>
        <v>1</v>
      </c>
      <c r="N290" s="601"/>
      <c r="O290" s="13">
        <f t="shared" si="80"/>
        <v>1</v>
      </c>
      <c r="P290" s="601"/>
      <c r="Q290" s="13">
        <f t="shared" si="81"/>
        <v>0.05</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0.02</v>
      </c>
      <c r="F291" s="601"/>
      <c r="G291" s="13">
        <f t="shared" si="76"/>
        <v>0.02</v>
      </c>
      <c r="H291" s="601"/>
      <c r="I291" s="13">
        <f t="shared" si="77"/>
        <v>1</v>
      </c>
      <c r="J291" s="601"/>
      <c r="K291" s="13">
        <f t="shared" si="78"/>
        <v>1</v>
      </c>
      <c r="L291" s="601"/>
      <c r="M291" s="13">
        <f t="shared" si="79"/>
        <v>1</v>
      </c>
      <c r="N291" s="601"/>
      <c r="O291" s="13">
        <f t="shared" si="80"/>
        <v>1</v>
      </c>
      <c r="P291" s="601"/>
      <c r="Q291" s="13">
        <f t="shared" si="81"/>
        <v>0.05</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0.02</v>
      </c>
      <c r="F292" s="601"/>
      <c r="G292" s="13">
        <f t="shared" si="76"/>
        <v>0.02</v>
      </c>
      <c r="H292" s="601"/>
      <c r="I292" s="13">
        <f t="shared" si="77"/>
        <v>1</v>
      </c>
      <c r="J292" s="601"/>
      <c r="K292" s="13">
        <f t="shared" si="78"/>
        <v>1</v>
      </c>
      <c r="L292" s="601"/>
      <c r="M292" s="13">
        <f t="shared" si="79"/>
        <v>1</v>
      </c>
      <c r="N292" s="601"/>
      <c r="O292" s="13">
        <f t="shared" si="80"/>
        <v>1</v>
      </c>
      <c r="P292" s="601"/>
      <c r="Q292" s="13">
        <f t="shared" si="81"/>
        <v>0.05</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0.02</v>
      </c>
      <c r="F293" s="601"/>
      <c r="G293" s="13">
        <f t="shared" si="76"/>
        <v>0.02</v>
      </c>
      <c r="H293" s="601"/>
      <c r="I293" s="13">
        <f t="shared" si="77"/>
        <v>1</v>
      </c>
      <c r="J293" s="601"/>
      <c r="K293" s="13">
        <f t="shared" si="78"/>
        <v>1</v>
      </c>
      <c r="L293" s="601"/>
      <c r="M293" s="13">
        <f t="shared" si="79"/>
        <v>1</v>
      </c>
      <c r="N293" s="601"/>
      <c r="O293" s="13">
        <f t="shared" si="80"/>
        <v>1</v>
      </c>
      <c r="P293" s="601"/>
      <c r="Q293" s="13">
        <f t="shared" si="81"/>
        <v>0.05</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0.02</v>
      </c>
      <c r="F294" s="601"/>
      <c r="G294" s="13">
        <f t="shared" si="76"/>
        <v>0.02</v>
      </c>
      <c r="H294" s="601"/>
      <c r="I294" s="13">
        <f t="shared" si="77"/>
        <v>1</v>
      </c>
      <c r="J294" s="601"/>
      <c r="K294" s="13">
        <f t="shared" si="78"/>
        <v>1</v>
      </c>
      <c r="L294" s="601"/>
      <c r="M294" s="13">
        <f t="shared" si="79"/>
        <v>1</v>
      </c>
      <c r="N294" s="601"/>
      <c r="O294" s="13">
        <f t="shared" si="80"/>
        <v>1</v>
      </c>
      <c r="P294" s="601"/>
      <c r="Q294" s="13">
        <f t="shared" si="81"/>
        <v>0.05</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0.02</v>
      </c>
      <c r="F295" s="601"/>
      <c r="G295" s="13">
        <f t="shared" si="76"/>
        <v>0.02</v>
      </c>
      <c r="H295" s="601"/>
      <c r="I295" s="13">
        <f t="shared" si="77"/>
        <v>1</v>
      </c>
      <c r="J295" s="601"/>
      <c r="K295" s="13">
        <f t="shared" si="78"/>
        <v>1</v>
      </c>
      <c r="L295" s="601"/>
      <c r="M295" s="13">
        <f t="shared" si="79"/>
        <v>1</v>
      </c>
      <c r="N295" s="601"/>
      <c r="O295" s="13">
        <f t="shared" si="80"/>
        <v>1</v>
      </c>
      <c r="P295" s="601"/>
      <c r="Q295" s="13">
        <f t="shared" si="81"/>
        <v>0.05</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0.02</v>
      </c>
      <c r="F296" s="601"/>
      <c r="G296" s="13">
        <f t="shared" si="76"/>
        <v>0.02</v>
      </c>
      <c r="H296" s="601"/>
      <c r="I296" s="13">
        <f t="shared" si="77"/>
        <v>1</v>
      </c>
      <c r="J296" s="601"/>
      <c r="K296" s="13">
        <f t="shared" si="78"/>
        <v>1</v>
      </c>
      <c r="L296" s="601"/>
      <c r="M296" s="13">
        <f t="shared" si="79"/>
        <v>1</v>
      </c>
      <c r="N296" s="601"/>
      <c r="O296" s="13">
        <f t="shared" si="80"/>
        <v>1</v>
      </c>
      <c r="P296" s="601"/>
      <c r="Q296" s="13">
        <f t="shared" si="81"/>
        <v>0.05</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0.02</v>
      </c>
      <c r="F297" s="601"/>
      <c r="G297" s="13">
        <f t="shared" si="76"/>
        <v>0.02</v>
      </c>
      <c r="H297" s="601"/>
      <c r="I297" s="13">
        <f t="shared" si="77"/>
        <v>1</v>
      </c>
      <c r="J297" s="601"/>
      <c r="K297" s="13">
        <f t="shared" si="78"/>
        <v>1</v>
      </c>
      <c r="L297" s="601"/>
      <c r="M297" s="13">
        <f t="shared" si="79"/>
        <v>1</v>
      </c>
      <c r="N297" s="601"/>
      <c r="O297" s="13">
        <f t="shared" si="80"/>
        <v>1</v>
      </c>
      <c r="P297" s="601"/>
      <c r="Q297" s="13">
        <f t="shared" si="81"/>
        <v>0.05</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0.02</v>
      </c>
      <c r="F298" s="601"/>
      <c r="G298" s="13">
        <f t="shared" si="76"/>
        <v>0.02</v>
      </c>
      <c r="H298" s="601"/>
      <c r="I298" s="13">
        <f t="shared" si="77"/>
        <v>1</v>
      </c>
      <c r="J298" s="601"/>
      <c r="K298" s="13">
        <f t="shared" si="78"/>
        <v>1</v>
      </c>
      <c r="L298" s="601"/>
      <c r="M298" s="13">
        <f t="shared" si="79"/>
        <v>1</v>
      </c>
      <c r="N298" s="601"/>
      <c r="O298" s="13">
        <f t="shared" si="80"/>
        <v>1</v>
      </c>
      <c r="P298" s="601"/>
      <c r="Q298" s="13">
        <f t="shared" si="81"/>
        <v>0.05</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0.02</v>
      </c>
      <c r="F299" s="601"/>
      <c r="G299" s="13">
        <f t="shared" si="76"/>
        <v>0.02</v>
      </c>
      <c r="H299" s="601"/>
      <c r="I299" s="13">
        <f t="shared" si="77"/>
        <v>1</v>
      </c>
      <c r="J299" s="601"/>
      <c r="K299" s="13">
        <f t="shared" si="78"/>
        <v>1</v>
      </c>
      <c r="L299" s="601"/>
      <c r="M299" s="13">
        <f t="shared" si="79"/>
        <v>1</v>
      </c>
      <c r="N299" s="601"/>
      <c r="O299" s="13">
        <f t="shared" si="80"/>
        <v>1</v>
      </c>
      <c r="P299" s="601"/>
      <c r="Q299" s="13">
        <f t="shared" si="81"/>
        <v>0.05</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0.02</v>
      </c>
      <c r="F300" s="601"/>
      <c r="G300" s="13">
        <f t="shared" si="76"/>
        <v>0.02</v>
      </c>
      <c r="H300" s="601"/>
      <c r="I300" s="13">
        <f t="shared" si="77"/>
        <v>1</v>
      </c>
      <c r="J300" s="601"/>
      <c r="K300" s="13">
        <f t="shared" si="78"/>
        <v>1</v>
      </c>
      <c r="L300" s="601"/>
      <c r="M300" s="13">
        <f t="shared" si="79"/>
        <v>1</v>
      </c>
      <c r="N300" s="601"/>
      <c r="O300" s="13">
        <f t="shared" si="80"/>
        <v>1</v>
      </c>
      <c r="P300" s="601"/>
      <c r="Q300" s="13">
        <f t="shared" si="81"/>
        <v>0.05</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0.02</v>
      </c>
      <c r="F301" s="601"/>
      <c r="G301" s="13">
        <f t="shared" si="76"/>
        <v>0.02</v>
      </c>
      <c r="H301" s="601"/>
      <c r="I301" s="13">
        <f t="shared" si="77"/>
        <v>1</v>
      </c>
      <c r="J301" s="601"/>
      <c r="K301" s="13">
        <f t="shared" si="78"/>
        <v>1</v>
      </c>
      <c r="L301" s="601"/>
      <c r="M301" s="13">
        <f t="shared" si="79"/>
        <v>1</v>
      </c>
      <c r="N301" s="601"/>
      <c r="O301" s="13">
        <f t="shared" si="80"/>
        <v>1</v>
      </c>
      <c r="P301" s="601"/>
      <c r="Q301" s="13">
        <f t="shared" si="81"/>
        <v>0.05</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0.02</v>
      </c>
      <c r="F302" s="601"/>
      <c r="G302" s="13">
        <f t="shared" si="76"/>
        <v>0.02</v>
      </c>
      <c r="H302" s="601"/>
      <c r="I302" s="13">
        <f t="shared" si="77"/>
        <v>1</v>
      </c>
      <c r="J302" s="601"/>
      <c r="K302" s="13">
        <f t="shared" si="78"/>
        <v>1</v>
      </c>
      <c r="L302" s="601"/>
      <c r="M302" s="13">
        <f t="shared" si="79"/>
        <v>1</v>
      </c>
      <c r="N302" s="601"/>
      <c r="O302" s="13">
        <f t="shared" si="80"/>
        <v>1</v>
      </c>
      <c r="P302" s="601"/>
      <c r="Q302" s="13">
        <f t="shared" si="81"/>
        <v>0.05</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0.02</v>
      </c>
      <c r="F303" s="601"/>
      <c r="G303" s="13">
        <f t="shared" si="76"/>
        <v>0.02</v>
      </c>
      <c r="H303" s="601"/>
      <c r="I303" s="13">
        <f t="shared" si="77"/>
        <v>1</v>
      </c>
      <c r="J303" s="601"/>
      <c r="K303" s="13">
        <f t="shared" si="78"/>
        <v>1</v>
      </c>
      <c r="L303" s="601"/>
      <c r="M303" s="13">
        <f t="shared" si="79"/>
        <v>1</v>
      </c>
      <c r="N303" s="601"/>
      <c r="O303" s="13">
        <f t="shared" si="80"/>
        <v>1</v>
      </c>
      <c r="P303" s="601"/>
      <c r="Q303" s="13">
        <f t="shared" si="81"/>
        <v>0.05</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0.02</v>
      </c>
      <c r="F304" s="601"/>
      <c r="G304" s="13">
        <f t="shared" si="76"/>
        <v>0.02</v>
      </c>
      <c r="H304" s="601"/>
      <c r="I304" s="13">
        <f t="shared" si="77"/>
        <v>1</v>
      </c>
      <c r="J304" s="601"/>
      <c r="K304" s="13">
        <f t="shared" si="78"/>
        <v>1</v>
      </c>
      <c r="L304" s="601"/>
      <c r="M304" s="13">
        <f t="shared" si="79"/>
        <v>1</v>
      </c>
      <c r="N304" s="601"/>
      <c r="O304" s="13">
        <f t="shared" si="80"/>
        <v>1</v>
      </c>
      <c r="P304" s="601"/>
      <c r="Q304" s="13">
        <f t="shared" si="81"/>
        <v>0.05</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0.02</v>
      </c>
      <c r="F305" s="601"/>
      <c r="G305" s="13">
        <f t="shared" si="76"/>
        <v>0.02</v>
      </c>
      <c r="H305" s="601"/>
      <c r="I305" s="13">
        <f t="shared" si="77"/>
        <v>1</v>
      </c>
      <c r="J305" s="601"/>
      <c r="K305" s="13">
        <f t="shared" si="78"/>
        <v>1</v>
      </c>
      <c r="L305" s="601"/>
      <c r="M305" s="13">
        <f t="shared" si="79"/>
        <v>1</v>
      </c>
      <c r="N305" s="601"/>
      <c r="O305" s="13">
        <f t="shared" si="80"/>
        <v>1</v>
      </c>
      <c r="P305" s="601"/>
      <c r="Q305" s="13">
        <f t="shared" si="81"/>
        <v>0.05</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0.02</v>
      </c>
      <c r="F306" s="601"/>
      <c r="G306" s="13">
        <f t="shared" si="76"/>
        <v>0.02</v>
      </c>
      <c r="H306" s="601"/>
      <c r="I306" s="13">
        <f t="shared" si="77"/>
        <v>1</v>
      </c>
      <c r="J306" s="601"/>
      <c r="K306" s="13">
        <f t="shared" si="78"/>
        <v>1</v>
      </c>
      <c r="L306" s="601"/>
      <c r="M306" s="13">
        <f t="shared" si="79"/>
        <v>1</v>
      </c>
      <c r="N306" s="601"/>
      <c r="O306" s="13">
        <f t="shared" si="80"/>
        <v>1</v>
      </c>
      <c r="P306" s="601"/>
      <c r="Q306" s="13">
        <f t="shared" si="81"/>
        <v>0.05</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0.02</v>
      </c>
      <c r="F307" s="601"/>
      <c r="G307" s="13">
        <f t="shared" si="76"/>
        <v>0.02</v>
      </c>
      <c r="H307" s="601"/>
      <c r="I307" s="13">
        <f t="shared" si="77"/>
        <v>1</v>
      </c>
      <c r="J307" s="601"/>
      <c r="K307" s="13">
        <f t="shared" si="78"/>
        <v>1</v>
      </c>
      <c r="L307" s="601"/>
      <c r="M307" s="13">
        <f t="shared" si="79"/>
        <v>1</v>
      </c>
      <c r="N307" s="601"/>
      <c r="O307" s="13">
        <f t="shared" si="80"/>
        <v>1</v>
      </c>
      <c r="P307" s="601"/>
      <c r="Q307" s="13">
        <f t="shared" si="81"/>
        <v>0.05</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0.02</v>
      </c>
      <c r="F308" s="601"/>
      <c r="G308" s="13">
        <f t="shared" si="76"/>
        <v>0.02</v>
      </c>
      <c r="H308" s="601"/>
      <c r="I308" s="13">
        <f t="shared" si="77"/>
        <v>1</v>
      </c>
      <c r="J308" s="601"/>
      <c r="K308" s="13">
        <f t="shared" si="78"/>
        <v>1</v>
      </c>
      <c r="L308" s="601"/>
      <c r="M308" s="13">
        <f t="shared" si="79"/>
        <v>1</v>
      </c>
      <c r="N308" s="601"/>
      <c r="O308" s="13">
        <f t="shared" si="80"/>
        <v>1</v>
      </c>
      <c r="P308" s="601"/>
      <c r="Q308" s="13">
        <f t="shared" si="81"/>
        <v>0.05</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0.02</v>
      </c>
      <c r="F309" s="601"/>
      <c r="G309" s="13">
        <f t="shared" si="76"/>
        <v>0.02</v>
      </c>
      <c r="H309" s="601"/>
      <c r="I309" s="13">
        <f t="shared" si="77"/>
        <v>1</v>
      </c>
      <c r="J309" s="601"/>
      <c r="K309" s="13">
        <f t="shared" si="78"/>
        <v>1</v>
      </c>
      <c r="L309" s="601"/>
      <c r="M309" s="13">
        <f t="shared" si="79"/>
        <v>1</v>
      </c>
      <c r="N309" s="601"/>
      <c r="O309" s="13">
        <f t="shared" si="80"/>
        <v>1</v>
      </c>
      <c r="P309" s="601"/>
      <c r="Q309" s="13">
        <f t="shared" si="81"/>
        <v>0.05</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0.02</v>
      </c>
      <c r="F310" s="601"/>
      <c r="G310" s="13">
        <f t="shared" si="76"/>
        <v>0.02</v>
      </c>
      <c r="H310" s="601"/>
      <c r="I310" s="13">
        <f t="shared" si="77"/>
        <v>1</v>
      </c>
      <c r="J310" s="601"/>
      <c r="K310" s="13">
        <f t="shared" si="78"/>
        <v>1</v>
      </c>
      <c r="L310" s="601"/>
      <c r="M310" s="13">
        <f t="shared" si="79"/>
        <v>1</v>
      </c>
      <c r="N310" s="601"/>
      <c r="O310" s="13">
        <f t="shared" si="80"/>
        <v>1</v>
      </c>
      <c r="P310" s="601"/>
      <c r="Q310" s="13">
        <f t="shared" si="81"/>
        <v>0.05</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0.02</v>
      </c>
      <c r="F311" s="601"/>
      <c r="G311" s="13">
        <f t="shared" si="76"/>
        <v>0.02</v>
      </c>
      <c r="H311" s="601"/>
      <c r="I311" s="13">
        <f t="shared" si="77"/>
        <v>1</v>
      </c>
      <c r="J311" s="601"/>
      <c r="K311" s="13">
        <f t="shared" si="78"/>
        <v>1</v>
      </c>
      <c r="L311" s="601"/>
      <c r="M311" s="13">
        <f t="shared" si="79"/>
        <v>1</v>
      </c>
      <c r="N311" s="601"/>
      <c r="O311" s="13">
        <f t="shared" si="80"/>
        <v>1</v>
      </c>
      <c r="P311" s="601"/>
      <c r="Q311" s="13">
        <f t="shared" si="81"/>
        <v>0.05</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0.02</v>
      </c>
      <c r="F312" s="601"/>
      <c r="G312" s="13">
        <f t="shared" si="76"/>
        <v>0.02</v>
      </c>
      <c r="H312" s="601"/>
      <c r="I312" s="13">
        <f t="shared" si="77"/>
        <v>1</v>
      </c>
      <c r="J312" s="601"/>
      <c r="K312" s="13">
        <f t="shared" si="78"/>
        <v>1</v>
      </c>
      <c r="L312" s="601"/>
      <c r="M312" s="13">
        <f t="shared" si="79"/>
        <v>1</v>
      </c>
      <c r="N312" s="601"/>
      <c r="O312" s="13">
        <f t="shared" si="80"/>
        <v>1</v>
      </c>
      <c r="P312" s="601"/>
      <c r="Q312" s="13">
        <f t="shared" si="81"/>
        <v>0.05</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0.02</v>
      </c>
      <c r="F313" s="601"/>
      <c r="G313" s="13">
        <f t="shared" si="76"/>
        <v>0.02</v>
      </c>
      <c r="H313" s="601"/>
      <c r="I313" s="13">
        <f t="shared" si="77"/>
        <v>1</v>
      </c>
      <c r="J313" s="601"/>
      <c r="K313" s="13">
        <f t="shared" si="78"/>
        <v>1</v>
      </c>
      <c r="L313" s="601"/>
      <c r="M313" s="13">
        <f t="shared" si="79"/>
        <v>1</v>
      </c>
      <c r="N313" s="601"/>
      <c r="O313" s="13">
        <f t="shared" si="80"/>
        <v>1</v>
      </c>
      <c r="P313" s="601"/>
      <c r="Q313" s="13">
        <f t="shared" si="81"/>
        <v>0.05</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0.02</v>
      </c>
      <c r="F314" s="601"/>
      <c r="G314" s="13">
        <f t="shared" si="76"/>
        <v>0.02</v>
      </c>
      <c r="H314" s="601"/>
      <c r="I314" s="13">
        <f t="shared" si="77"/>
        <v>1</v>
      </c>
      <c r="J314" s="601"/>
      <c r="K314" s="13">
        <f t="shared" si="78"/>
        <v>1</v>
      </c>
      <c r="L314" s="601"/>
      <c r="M314" s="13">
        <f t="shared" si="79"/>
        <v>1</v>
      </c>
      <c r="N314" s="601"/>
      <c r="O314" s="13">
        <f t="shared" si="80"/>
        <v>1</v>
      </c>
      <c r="P314" s="601"/>
      <c r="Q314" s="13">
        <f t="shared" si="81"/>
        <v>0.05</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0.02</v>
      </c>
      <c r="F315" s="601"/>
      <c r="G315" s="13">
        <f t="shared" si="76"/>
        <v>0.02</v>
      </c>
      <c r="H315" s="601"/>
      <c r="I315" s="13">
        <f t="shared" si="77"/>
        <v>1</v>
      </c>
      <c r="J315" s="601"/>
      <c r="K315" s="13">
        <f t="shared" si="78"/>
        <v>1</v>
      </c>
      <c r="L315" s="601"/>
      <c r="M315" s="13">
        <f t="shared" si="79"/>
        <v>1</v>
      </c>
      <c r="N315" s="601"/>
      <c r="O315" s="13">
        <f t="shared" si="80"/>
        <v>1</v>
      </c>
      <c r="P315" s="601"/>
      <c r="Q315" s="13">
        <f t="shared" si="81"/>
        <v>0.05</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0.02</v>
      </c>
      <c r="F316" s="601"/>
      <c r="G316" s="13">
        <f t="shared" si="76"/>
        <v>0.02</v>
      </c>
      <c r="H316" s="601"/>
      <c r="I316" s="13">
        <f t="shared" si="77"/>
        <v>1</v>
      </c>
      <c r="J316" s="601"/>
      <c r="K316" s="13">
        <f t="shared" si="78"/>
        <v>1</v>
      </c>
      <c r="L316" s="601"/>
      <c r="M316" s="13">
        <f t="shared" si="79"/>
        <v>1</v>
      </c>
      <c r="N316" s="601"/>
      <c r="O316" s="13">
        <f t="shared" si="80"/>
        <v>1</v>
      </c>
      <c r="P316" s="601"/>
      <c r="Q316" s="13">
        <f t="shared" si="81"/>
        <v>0.05</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0.02</v>
      </c>
      <c r="F317" s="601"/>
      <c r="G317" s="13">
        <f t="shared" si="76"/>
        <v>0.02</v>
      </c>
      <c r="H317" s="601"/>
      <c r="I317" s="13">
        <f t="shared" si="77"/>
        <v>1</v>
      </c>
      <c r="J317" s="601"/>
      <c r="K317" s="13">
        <f t="shared" si="78"/>
        <v>1</v>
      </c>
      <c r="L317" s="601"/>
      <c r="M317" s="13">
        <f t="shared" si="79"/>
        <v>1</v>
      </c>
      <c r="N317" s="601"/>
      <c r="O317" s="13">
        <f t="shared" si="80"/>
        <v>1</v>
      </c>
      <c r="P317" s="601"/>
      <c r="Q317" s="13">
        <f t="shared" si="81"/>
        <v>0.05</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0.02</v>
      </c>
      <c r="F318" s="601"/>
      <c r="G318" s="13">
        <f t="shared" si="76"/>
        <v>0.02</v>
      </c>
      <c r="H318" s="601"/>
      <c r="I318" s="13">
        <f t="shared" si="77"/>
        <v>1</v>
      </c>
      <c r="J318" s="601"/>
      <c r="K318" s="13">
        <f t="shared" si="78"/>
        <v>1</v>
      </c>
      <c r="L318" s="601"/>
      <c r="M318" s="13">
        <f t="shared" si="79"/>
        <v>1</v>
      </c>
      <c r="N318" s="601"/>
      <c r="O318" s="13">
        <f t="shared" si="80"/>
        <v>1</v>
      </c>
      <c r="P318" s="601"/>
      <c r="Q318" s="13">
        <f t="shared" si="81"/>
        <v>0.05</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0.02</v>
      </c>
      <c r="F319" s="601"/>
      <c r="G319" s="13">
        <f t="shared" si="76"/>
        <v>0.02</v>
      </c>
      <c r="H319" s="601"/>
      <c r="I319" s="13">
        <f t="shared" si="77"/>
        <v>1</v>
      </c>
      <c r="J319" s="601"/>
      <c r="K319" s="13">
        <f t="shared" si="78"/>
        <v>1</v>
      </c>
      <c r="L319" s="601"/>
      <c r="M319" s="13">
        <f t="shared" si="79"/>
        <v>1</v>
      </c>
      <c r="N319" s="601"/>
      <c r="O319" s="13">
        <f t="shared" si="80"/>
        <v>1</v>
      </c>
      <c r="P319" s="601"/>
      <c r="Q319" s="13">
        <f t="shared" si="81"/>
        <v>0.05</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0.02</v>
      </c>
      <c r="F320" s="601"/>
      <c r="G320" s="13">
        <f t="shared" si="76"/>
        <v>0.02</v>
      </c>
      <c r="H320" s="601"/>
      <c r="I320" s="13">
        <f t="shared" si="77"/>
        <v>1</v>
      </c>
      <c r="J320" s="601"/>
      <c r="K320" s="13">
        <f t="shared" si="78"/>
        <v>1</v>
      </c>
      <c r="L320" s="601"/>
      <c r="M320" s="13">
        <f t="shared" si="79"/>
        <v>1</v>
      </c>
      <c r="N320" s="601"/>
      <c r="O320" s="13">
        <f t="shared" si="80"/>
        <v>1</v>
      </c>
      <c r="P320" s="601"/>
      <c r="Q320" s="13">
        <f t="shared" si="81"/>
        <v>0.05</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0.02</v>
      </c>
      <c r="F321" s="601"/>
      <c r="G321" s="13">
        <f t="shared" si="76"/>
        <v>0.02</v>
      </c>
      <c r="H321" s="601"/>
      <c r="I321" s="13">
        <f t="shared" si="77"/>
        <v>1</v>
      </c>
      <c r="J321" s="601"/>
      <c r="K321" s="13">
        <f t="shared" si="78"/>
        <v>1</v>
      </c>
      <c r="L321" s="601"/>
      <c r="M321" s="13">
        <f t="shared" si="79"/>
        <v>1</v>
      </c>
      <c r="N321" s="601"/>
      <c r="O321" s="13">
        <f t="shared" si="80"/>
        <v>1</v>
      </c>
      <c r="P321" s="601"/>
      <c r="Q321" s="13">
        <f t="shared" si="81"/>
        <v>0.05</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0.02</v>
      </c>
      <c r="F322" s="601"/>
      <c r="G322" s="13">
        <f t="shared" si="76"/>
        <v>0.02</v>
      </c>
      <c r="H322" s="601"/>
      <c r="I322" s="13">
        <f t="shared" si="77"/>
        <v>1</v>
      </c>
      <c r="J322" s="601"/>
      <c r="K322" s="13">
        <f t="shared" si="78"/>
        <v>1</v>
      </c>
      <c r="L322" s="601"/>
      <c r="M322" s="13">
        <f t="shared" si="79"/>
        <v>1</v>
      </c>
      <c r="N322" s="601"/>
      <c r="O322" s="13">
        <f t="shared" si="80"/>
        <v>1</v>
      </c>
      <c r="P322" s="601"/>
      <c r="Q322" s="13">
        <f t="shared" si="81"/>
        <v>0.05</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0.02</v>
      </c>
      <c r="F323" s="601"/>
      <c r="G323" s="13">
        <f t="shared" si="76"/>
        <v>0.02</v>
      </c>
      <c r="H323" s="601"/>
      <c r="I323" s="13">
        <f t="shared" si="77"/>
        <v>1</v>
      </c>
      <c r="J323" s="601"/>
      <c r="K323" s="13">
        <f t="shared" si="78"/>
        <v>1</v>
      </c>
      <c r="L323" s="601"/>
      <c r="M323" s="13">
        <f t="shared" si="79"/>
        <v>1</v>
      </c>
      <c r="N323" s="601"/>
      <c r="O323" s="13">
        <f t="shared" si="80"/>
        <v>1</v>
      </c>
      <c r="P323" s="601"/>
      <c r="Q323" s="13">
        <f t="shared" si="81"/>
        <v>0.05</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0.02</v>
      </c>
      <c r="F324" s="601"/>
      <c r="G324" s="13">
        <f t="shared" si="76"/>
        <v>0.02</v>
      </c>
      <c r="H324" s="601"/>
      <c r="I324" s="13">
        <f t="shared" si="77"/>
        <v>1</v>
      </c>
      <c r="J324" s="601"/>
      <c r="K324" s="13">
        <f t="shared" si="78"/>
        <v>1</v>
      </c>
      <c r="L324" s="601"/>
      <c r="M324" s="13">
        <f t="shared" si="79"/>
        <v>1</v>
      </c>
      <c r="N324" s="601"/>
      <c r="O324" s="13">
        <f t="shared" si="80"/>
        <v>1</v>
      </c>
      <c r="P324" s="601"/>
      <c r="Q324" s="13">
        <f t="shared" si="81"/>
        <v>0.05</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0.02</v>
      </c>
      <c r="F325" s="601"/>
      <c r="G325" s="13">
        <f t="shared" si="76"/>
        <v>0.02</v>
      </c>
      <c r="H325" s="601"/>
      <c r="I325" s="13">
        <f t="shared" si="77"/>
        <v>1</v>
      </c>
      <c r="J325" s="601"/>
      <c r="K325" s="13">
        <f t="shared" si="78"/>
        <v>1</v>
      </c>
      <c r="L325" s="601"/>
      <c r="M325" s="13">
        <f t="shared" si="79"/>
        <v>1</v>
      </c>
      <c r="N325" s="601"/>
      <c r="O325" s="13">
        <f t="shared" si="80"/>
        <v>1</v>
      </c>
      <c r="P325" s="601"/>
      <c r="Q325" s="13">
        <f t="shared" si="81"/>
        <v>0.05</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0.02</v>
      </c>
      <c r="F326" s="601"/>
      <c r="G326" s="13">
        <f t="shared" si="76"/>
        <v>0.02</v>
      </c>
      <c r="H326" s="601"/>
      <c r="I326" s="13">
        <f t="shared" si="77"/>
        <v>1</v>
      </c>
      <c r="J326" s="601"/>
      <c r="K326" s="13">
        <f t="shared" si="78"/>
        <v>1</v>
      </c>
      <c r="L326" s="601"/>
      <c r="M326" s="13">
        <f t="shared" si="79"/>
        <v>1</v>
      </c>
      <c r="N326" s="601"/>
      <c r="O326" s="13">
        <f t="shared" si="80"/>
        <v>1</v>
      </c>
      <c r="P326" s="601"/>
      <c r="Q326" s="13">
        <f t="shared" si="81"/>
        <v>0.05</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0.02</v>
      </c>
      <c r="F327" s="601"/>
      <c r="G327" s="13">
        <f t="shared" si="76"/>
        <v>0.02</v>
      </c>
      <c r="H327" s="601"/>
      <c r="I327" s="13">
        <f t="shared" si="77"/>
        <v>1</v>
      </c>
      <c r="J327" s="601"/>
      <c r="K327" s="13">
        <f t="shared" si="78"/>
        <v>1</v>
      </c>
      <c r="L327" s="601"/>
      <c r="M327" s="13">
        <f t="shared" si="79"/>
        <v>1</v>
      </c>
      <c r="N327" s="601"/>
      <c r="O327" s="13">
        <f t="shared" si="80"/>
        <v>1</v>
      </c>
      <c r="P327" s="601"/>
      <c r="Q327" s="13">
        <f t="shared" si="81"/>
        <v>0.05</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0.02</v>
      </c>
      <c r="F328" s="601"/>
      <c r="G328" s="13">
        <f t="shared" si="76"/>
        <v>0.02</v>
      </c>
      <c r="H328" s="601"/>
      <c r="I328" s="13">
        <f t="shared" si="77"/>
        <v>1</v>
      </c>
      <c r="J328" s="601"/>
      <c r="K328" s="13">
        <f t="shared" si="78"/>
        <v>1</v>
      </c>
      <c r="L328" s="601"/>
      <c r="M328" s="13">
        <f t="shared" si="79"/>
        <v>1</v>
      </c>
      <c r="N328" s="601"/>
      <c r="O328" s="13">
        <f t="shared" si="80"/>
        <v>1</v>
      </c>
      <c r="P328" s="601"/>
      <c r="Q328" s="13">
        <f t="shared" si="81"/>
        <v>0.05</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0.02</v>
      </c>
      <c r="F329" s="601"/>
      <c r="G329" s="13">
        <f t="shared" si="76"/>
        <v>0.02</v>
      </c>
      <c r="H329" s="601"/>
      <c r="I329" s="13">
        <f t="shared" si="77"/>
        <v>1</v>
      </c>
      <c r="J329" s="601"/>
      <c r="K329" s="13">
        <f t="shared" si="78"/>
        <v>1</v>
      </c>
      <c r="L329" s="601"/>
      <c r="M329" s="13">
        <f t="shared" si="79"/>
        <v>1</v>
      </c>
      <c r="N329" s="601"/>
      <c r="O329" s="13">
        <f t="shared" si="80"/>
        <v>1</v>
      </c>
      <c r="P329" s="601"/>
      <c r="Q329" s="13">
        <f t="shared" si="81"/>
        <v>0.05</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0.02</v>
      </c>
      <c r="F330" s="601"/>
      <c r="G330" s="13">
        <f t="shared" si="76"/>
        <v>0.02</v>
      </c>
      <c r="H330" s="601"/>
      <c r="I330" s="13">
        <f t="shared" si="77"/>
        <v>1</v>
      </c>
      <c r="J330" s="601"/>
      <c r="K330" s="13">
        <f t="shared" si="78"/>
        <v>1</v>
      </c>
      <c r="L330" s="601"/>
      <c r="M330" s="13">
        <f t="shared" si="79"/>
        <v>1</v>
      </c>
      <c r="N330" s="601"/>
      <c r="O330" s="13">
        <f t="shared" si="80"/>
        <v>1</v>
      </c>
      <c r="P330" s="601"/>
      <c r="Q330" s="13">
        <f t="shared" si="81"/>
        <v>0.05</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0.02</v>
      </c>
      <c r="F331" s="601"/>
      <c r="G331" s="13">
        <f t="shared" si="76"/>
        <v>0.02</v>
      </c>
      <c r="H331" s="601"/>
      <c r="I331" s="13">
        <f t="shared" si="77"/>
        <v>1</v>
      </c>
      <c r="J331" s="601"/>
      <c r="K331" s="13">
        <f t="shared" si="78"/>
        <v>1</v>
      </c>
      <c r="L331" s="601"/>
      <c r="M331" s="13">
        <f t="shared" si="79"/>
        <v>1</v>
      </c>
      <c r="N331" s="601"/>
      <c r="O331" s="13">
        <f t="shared" si="80"/>
        <v>1</v>
      </c>
      <c r="P331" s="601"/>
      <c r="Q331" s="13">
        <f t="shared" si="81"/>
        <v>0.05</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0.02</v>
      </c>
      <c r="F332" s="601"/>
      <c r="G332" s="13">
        <f t="shared" si="76"/>
        <v>0.02</v>
      </c>
      <c r="H332" s="601"/>
      <c r="I332" s="13">
        <f t="shared" si="77"/>
        <v>1</v>
      </c>
      <c r="J332" s="601"/>
      <c r="K332" s="13">
        <f t="shared" si="78"/>
        <v>1</v>
      </c>
      <c r="L332" s="601"/>
      <c r="M332" s="13">
        <f t="shared" si="79"/>
        <v>1</v>
      </c>
      <c r="N332" s="601"/>
      <c r="O332" s="13">
        <f t="shared" si="80"/>
        <v>1</v>
      </c>
      <c r="P332" s="601"/>
      <c r="Q332" s="13">
        <f t="shared" si="81"/>
        <v>0.05</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0.02</v>
      </c>
      <c r="F333" s="601"/>
      <c r="G333" s="13">
        <f t="shared" si="76"/>
        <v>0.02</v>
      </c>
      <c r="H333" s="601"/>
      <c r="I333" s="13">
        <f t="shared" si="77"/>
        <v>1</v>
      </c>
      <c r="J333" s="601"/>
      <c r="K333" s="13">
        <f t="shared" si="78"/>
        <v>1</v>
      </c>
      <c r="L333" s="601"/>
      <c r="M333" s="13">
        <f t="shared" si="79"/>
        <v>1</v>
      </c>
      <c r="N333" s="601"/>
      <c r="O333" s="13">
        <f t="shared" si="80"/>
        <v>1</v>
      </c>
      <c r="P333" s="601"/>
      <c r="Q333" s="13">
        <f t="shared" si="81"/>
        <v>0.05</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0.02</v>
      </c>
      <c r="F334" s="601"/>
      <c r="G334" s="13">
        <f t="shared" si="76"/>
        <v>0.02</v>
      </c>
      <c r="H334" s="601"/>
      <c r="I334" s="13">
        <f t="shared" si="77"/>
        <v>1</v>
      </c>
      <c r="J334" s="601"/>
      <c r="K334" s="13">
        <f t="shared" si="78"/>
        <v>1</v>
      </c>
      <c r="L334" s="601"/>
      <c r="M334" s="13">
        <f t="shared" si="79"/>
        <v>1</v>
      </c>
      <c r="N334" s="601"/>
      <c r="O334" s="13">
        <f t="shared" si="80"/>
        <v>1</v>
      </c>
      <c r="P334" s="601"/>
      <c r="Q334" s="13">
        <f t="shared" si="81"/>
        <v>0.05</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0.02</v>
      </c>
      <c r="F335" s="601"/>
      <c r="G335" s="13">
        <f t="shared" si="76"/>
        <v>0.02</v>
      </c>
      <c r="H335" s="601"/>
      <c r="I335" s="13">
        <f t="shared" si="77"/>
        <v>1</v>
      </c>
      <c r="J335" s="601"/>
      <c r="K335" s="13">
        <f t="shared" si="78"/>
        <v>1</v>
      </c>
      <c r="L335" s="601"/>
      <c r="M335" s="13">
        <f t="shared" si="79"/>
        <v>1</v>
      </c>
      <c r="N335" s="601"/>
      <c r="O335" s="13">
        <f t="shared" si="80"/>
        <v>1</v>
      </c>
      <c r="P335" s="601"/>
      <c r="Q335" s="13">
        <f t="shared" si="81"/>
        <v>0.05</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0.02</v>
      </c>
      <c r="F336" s="601"/>
      <c r="G336" s="13">
        <f t="shared" si="76"/>
        <v>0.02</v>
      </c>
      <c r="H336" s="601"/>
      <c r="I336" s="13">
        <f t="shared" si="77"/>
        <v>1</v>
      </c>
      <c r="J336" s="601"/>
      <c r="K336" s="13">
        <f t="shared" si="78"/>
        <v>1</v>
      </c>
      <c r="L336" s="601"/>
      <c r="M336" s="13">
        <f t="shared" si="79"/>
        <v>1</v>
      </c>
      <c r="N336" s="601"/>
      <c r="O336" s="13">
        <f t="shared" si="80"/>
        <v>1</v>
      </c>
      <c r="P336" s="601"/>
      <c r="Q336" s="13">
        <f t="shared" si="81"/>
        <v>0.05</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0.02</v>
      </c>
      <c r="F337" s="601"/>
      <c r="G337" s="13">
        <f t="shared" si="76"/>
        <v>0.02</v>
      </c>
      <c r="H337" s="601"/>
      <c r="I337" s="13">
        <f t="shared" si="77"/>
        <v>1</v>
      </c>
      <c r="J337" s="601"/>
      <c r="K337" s="13">
        <f t="shared" si="78"/>
        <v>1</v>
      </c>
      <c r="L337" s="601"/>
      <c r="M337" s="13">
        <f t="shared" si="79"/>
        <v>1</v>
      </c>
      <c r="N337" s="601"/>
      <c r="O337" s="13">
        <f t="shared" si="80"/>
        <v>1</v>
      </c>
      <c r="P337" s="601"/>
      <c r="Q337" s="13">
        <f t="shared" si="81"/>
        <v>0.05</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0.02</v>
      </c>
      <c r="F338" s="601"/>
      <c r="G338" s="13">
        <f t="shared" si="76"/>
        <v>0.02</v>
      </c>
      <c r="H338" s="601"/>
      <c r="I338" s="13">
        <f t="shared" si="77"/>
        <v>1</v>
      </c>
      <c r="J338" s="601"/>
      <c r="K338" s="13">
        <f t="shared" si="78"/>
        <v>1</v>
      </c>
      <c r="L338" s="601"/>
      <c r="M338" s="13">
        <f t="shared" si="79"/>
        <v>1</v>
      </c>
      <c r="N338" s="601"/>
      <c r="O338" s="13">
        <f t="shared" si="80"/>
        <v>1</v>
      </c>
      <c r="P338" s="601"/>
      <c r="Q338" s="13">
        <f t="shared" si="81"/>
        <v>0.05</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0.02</v>
      </c>
      <c r="F339" s="601"/>
      <c r="G339" s="13">
        <f t="shared" si="76"/>
        <v>0.02</v>
      </c>
      <c r="H339" s="601"/>
      <c r="I339" s="13">
        <f t="shared" si="77"/>
        <v>1</v>
      </c>
      <c r="J339" s="601"/>
      <c r="K339" s="13">
        <f t="shared" si="78"/>
        <v>1</v>
      </c>
      <c r="L339" s="601"/>
      <c r="M339" s="13">
        <f t="shared" si="79"/>
        <v>1</v>
      </c>
      <c r="N339" s="601"/>
      <c r="O339" s="13">
        <f t="shared" si="80"/>
        <v>1</v>
      </c>
      <c r="P339" s="601"/>
      <c r="Q339" s="13">
        <f t="shared" si="81"/>
        <v>0.05</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0.02</v>
      </c>
      <c r="F340" s="601"/>
      <c r="G340" s="13">
        <f t="shared" si="76"/>
        <v>0.02</v>
      </c>
      <c r="H340" s="601"/>
      <c r="I340" s="13">
        <f t="shared" si="77"/>
        <v>1</v>
      </c>
      <c r="J340" s="601"/>
      <c r="K340" s="13">
        <f t="shared" si="78"/>
        <v>1</v>
      </c>
      <c r="L340" s="601"/>
      <c r="M340" s="13">
        <f t="shared" si="79"/>
        <v>1</v>
      </c>
      <c r="N340" s="601"/>
      <c r="O340" s="13">
        <f t="shared" si="80"/>
        <v>1</v>
      </c>
      <c r="P340" s="601"/>
      <c r="Q340" s="13">
        <f t="shared" si="81"/>
        <v>0.05</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0.02</v>
      </c>
      <c r="F341" s="601"/>
      <c r="G341" s="13">
        <f t="shared" si="76"/>
        <v>0.02</v>
      </c>
      <c r="H341" s="601"/>
      <c r="I341" s="13">
        <f t="shared" si="77"/>
        <v>1</v>
      </c>
      <c r="J341" s="601"/>
      <c r="K341" s="13">
        <f t="shared" si="78"/>
        <v>1</v>
      </c>
      <c r="L341" s="601"/>
      <c r="M341" s="13">
        <f t="shared" si="79"/>
        <v>1</v>
      </c>
      <c r="N341" s="601"/>
      <c r="O341" s="13">
        <f t="shared" si="80"/>
        <v>1</v>
      </c>
      <c r="P341" s="601"/>
      <c r="Q341" s="13">
        <f t="shared" si="81"/>
        <v>0.05</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0.02</v>
      </c>
      <c r="F342" s="601"/>
      <c r="G342" s="13">
        <f t="shared" si="76"/>
        <v>0.02</v>
      </c>
      <c r="H342" s="601"/>
      <c r="I342" s="13">
        <f t="shared" si="77"/>
        <v>1</v>
      </c>
      <c r="J342" s="601"/>
      <c r="K342" s="13">
        <f t="shared" si="78"/>
        <v>1</v>
      </c>
      <c r="L342" s="601"/>
      <c r="M342" s="13">
        <f t="shared" si="79"/>
        <v>1</v>
      </c>
      <c r="N342" s="601"/>
      <c r="O342" s="13">
        <f t="shared" si="80"/>
        <v>1</v>
      </c>
      <c r="P342" s="601"/>
      <c r="Q342" s="13">
        <f t="shared" si="81"/>
        <v>0.05</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0.02</v>
      </c>
      <c r="F343" s="601"/>
      <c r="G343" s="13">
        <f t="shared" si="76"/>
        <v>0.02</v>
      </c>
      <c r="H343" s="601"/>
      <c r="I343" s="13">
        <f t="shared" si="77"/>
        <v>1</v>
      </c>
      <c r="J343" s="601"/>
      <c r="K343" s="13">
        <f t="shared" si="78"/>
        <v>1</v>
      </c>
      <c r="L343" s="601"/>
      <c r="M343" s="13">
        <f t="shared" si="79"/>
        <v>1</v>
      </c>
      <c r="N343" s="601"/>
      <c r="O343" s="13">
        <f t="shared" si="80"/>
        <v>1</v>
      </c>
      <c r="P343" s="601"/>
      <c r="Q343" s="13">
        <f t="shared" si="81"/>
        <v>0.05</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0.02</v>
      </c>
      <c r="F344" s="601"/>
      <c r="G344" s="13">
        <f t="shared" si="76"/>
        <v>0.02</v>
      </c>
      <c r="H344" s="601"/>
      <c r="I344" s="13">
        <f t="shared" si="77"/>
        <v>1</v>
      </c>
      <c r="J344" s="601"/>
      <c r="K344" s="13">
        <f t="shared" si="78"/>
        <v>1</v>
      </c>
      <c r="L344" s="601"/>
      <c r="M344" s="13">
        <f t="shared" si="79"/>
        <v>1</v>
      </c>
      <c r="N344" s="601"/>
      <c r="O344" s="13">
        <f t="shared" si="80"/>
        <v>1</v>
      </c>
      <c r="P344" s="601"/>
      <c r="Q344" s="13">
        <f t="shared" si="81"/>
        <v>0.05</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0.02</v>
      </c>
      <c r="F345" s="601"/>
      <c r="G345" s="13">
        <f t="shared" si="76"/>
        <v>0.02</v>
      </c>
      <c r="H345" s="601"/>
      <c r="I345" s="13">
        <f t="shared" si="77"/>
        <v>1</v>
      </c>
      <c r="J345" s="601"/>
      <c r="K345" s="13">
        <f t="shared" si="78"/>
        <v>1</v>
      </c>
      <c r="L345" s="601"/>
      <c r="M345" s="13">
        <f t="shared" si="79"/>
        <v>1</v>
      </c>
      <c r="N345" s="601"/>
      <c r="O345" s="13">
        <f t="shared" si="80"/>
        <v>1</v>
      </c>
      <c r="P345" s="601"/>
      <c r="Q345" s="13">
        <f t="shared" si="81"/>
        <v>0.05</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0.02</v>
      </c>
      <c r="F346" s="601"/>
      <c r="G346" s="13">
        <f t="shared" si="76"/>
        <v>0.02</v>
      </c>
      <c r="H346" s="601"/>
      <c r="I346" s="13">
        <f t="shared" si="77"/>
        <v>1</v>
      </c>
      <c r="J346" s="601"/>
      <c r="K346" s="13">
        <f t="shared" si="78"/>
        <v>1</v>
      </c>
      <c r="L346" s="601"/>
      <c r="M346" s="13">
        <f t="shared" si="79"/>
        <v>1</v>
      </c>
      <c r="N346" s="601"/>
      <c r="O346" s="13">
        <f t="shared" si="80"/>
        <v>1</v>
      </c>
      <c r="P346" s="601"/>
      <c r="Q346" s="13">
        <f t="shared" si="81"/>
        <v>0.05</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0.02</v>
      </c>
      <c r="F347" s="601"/>
      <c r="G347" s="13">
        <f t="shared" si="76"/>
        <v>0.02</v>
      </c>
      <c r="H347" s="601"/>
      <c r="I347" s="13">
        <f t="shared" si="77"/>
        <v>1</v>
      </c>
      <c r="J347" s="601"/>
      <c r="K347" s="13">
        <f t="shared" si="78"/>
        <v>1</v>
      </c>
      <c r="L347" s="601"/>
      <c r="M347" s="13">
        <f t="shared" si="79"/>
        <v>1</v>
      </c>
      <c r="N347" s="601"/>
      <c r="O347" s="13">
        <f t="shared" si="80"/>
        <v>1</v>
      </c>
      <c r="P347" s="601"/>
      <c r="Q347" s="13">
        <f t="shared" si="81"/>
        <v>0.05</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0.02</v>
      </c>
      <c r="F348" s="601"/>
      <c r="G348" s="13">
        <f t="shared" ref="G348:G411" si="91">(SUMIF($10:$10,F348,$11:$11)-SUMIF($10:$10,$F$27,$11:$11)+100)/100</f>
        <v>0.02</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0.05</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0.02</v>
      </c>
      <c r="F349" s="601"/>
      <c r="G349" s="13">
        <f t="shared" si="91"/>
        <v>0.02</v>
      </c>
      <c r="H349" s="601"/>
      <c r="I349" s="13">
        <f t="shared" si="92"/>
        <v>1</v>
      </c>
      <c r="J349" s="601"/>
      <c r="K349" s="13">
        <f t="shared" si="93"/>
        <v>1</v>
      </c>
      <c r="L349" s="601"/>
      <c r="M349" s="13">
        <f t="shared" si="94"/>
        <v>1</v>
      </c>
      <c r="N349" s="601"/>
      <c r="O349" s="13">
        <f t="shared" si="95"/>
        <v>1</v>
      </c>
      <c r="P349" s="601"/>
      <c r="Q349" s="13">
        <f t="shared" si="96"/>
        <v>0.05</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0.02</v>
      </c>
      <c r="F350" s="601"/>
      <c r="G350" s="13">
        <f t="shared" si="91"/>
        <v>0.02</v>
      </c>
      <c r="H350" s="601"/>
      <c r="I350" s="13">
        <f t="shared" si="92"/>
        <v>1</v>
      </c>
      <c r="J350" s="601"/>
      <c r="K350" s="13">
        <f t="shared" si="93"/>
        <v>1</v>
      </c>
      <c r="L350" s="601"/>
      <c r="M350" s="13">
        <f t="shared" si="94"/>
        <v>1</v>
      </c>
      <c r="N350" s="601"/>
      <c r="O350" s="13">
        <f t="shared" si="95"/>
        <v>1</v>
      </c>
      <c r="P350" s="601"/>
      <c r="Q350" s="13">
        <f t="shared" si="96"/>
        <v>0.05</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0.02</v>
      </c>
      <c r="F351" s="601"/>
      <c r="G351" s="13">
        <f t="shared" si="91"/>
        <v>0.02</v>
      </c>
      <c r="H351" s="601"/>
      <c r="I351" s="13">
        <f t="shared" si="92"/>
        <v>1</v>
      </c>
      <c r="J351" s="601"/>
      <c r="K351" s="13">
        <f t="shared" si="93"/>
        <v>1</v>
      </c>
      <c r="L351" s="601"/>
      <c r="M351" s="13">
        <f t="shared" si="94"/>
        <v>1</v>
      </c>
      <c r="N351" s="601"/>
      <c r="O351" s="13">
        <f t="shared" si="95"/>
        <v>1</v>
      </c>
      <c r="P351" s="601"/>
      <c r="Q351" s="13">
        <f t="shared" si="96"/>
        <v>0.05</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0.02</v>
      </c>
      <c r="F352" s="601"/>
      <c r="G352" s="13">
        <f t="shared" si="91"/>
        <v>0.02</v>
      </c>
      <c r="H352" s="601"/>
      <c r="I352" s="13">
        <f t="shared" si="92"/>
        <v>1</v>
      </c>
      <c r="J352" s="601"/>
      <c r="K352" s="13">
        <f t="shared" si="93"/>
        <v>1</v>
      </c>
      <c r="L352" s="601"/>
      <c r="M352" s="13">
        <f t="shared" si="94"/>
        <v>1</v>
      </c>
      <c r="N352" s="601"/>
      <c r="O352" s="13">
        <f t="shared" si="95"/>
        <v>1</v>
      </c>
      <c r="P352" s="601"/>
      <c r="Q352" s="13">
        <f t="shared" si="96"/>
        <v>0.05</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0.02</v>
      </c>
      <c r="F353" s="601"/>
      <c r="G353" s="13">
        <f t="shared" si="91"/>
        <v>0.02</v>
      </c>
      <c r="H353" s="601"/>
      <c r="I353" s="13">
        <f t="shared" si="92"/>
        <v>1</v>
      </c>
      <c r="J353" s="601"/>
      <c r="K353" s="13">
        <f t="shared" si="93"/>
        <v>1</v>
      </c>
      <c r="L353" s="601"/>
      <c r="M353" s="13">
        <f t="shared" si="94"/>
        <v>1</v>
      </c>
      <c r="N353" s="601"/>
      <c r="O353" s="13">
        <f t="shared" si="95"/>
        <v>1</v>
      </c>
      <c r="P353" s="601"/>
      <c r="Q353" s="13">
        <f t="shared" si="96"/>
        <v>0.05</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0.02</v>
      </c>
      <c r="F354" s="601"/>
      <c r="G354" s="13">
        <f t="shared" si="91"/>
        <v>0.02</v>
      </c>
      <c r="H354" s="601"/>
      <c r="I354" s="13">
        <f t="shared" si="92"/>
        <v>1</v>
      </c>
      <c r="J354" s="601"/>
      <c r="K354" s="13">
        <f t="shared" si="93"/>
        <v>1</v>
      </c>
      <c r="L354" s="601"/>
      <c r="M354" s="13">
        <f t="shared" si="94"/>
        <v>1</v>
      </c>
      <c r="N354" s="601"/>
      <c r="O354" s="13">
        <f t="shared" si="95"/>
        <v>1</v>
      </c>
      <c r="P354" s="601"/>
      <c r="Q354" s="13">
        <f t="shared" si="96"/>
        <v>0.05</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0.02</v>
      </c>
      <c r="F355" s="601"/>
      <c r="G355" s="13">
        <f t="shared" si="91"/>
        <v>0.02</v>
      </c>
      <c r="H355" s="601"/>
      <c r="I355" s="13">
        <f t="shared" si="92"/>
        <v>1</v>
      </c>
      <c r="J355" s="601"/>
      <c r="K355" s="13">
        <f t="shared" si="93"/>
        <v>1</v>
      </c>
      <c r="L355" s="601"/>
      <c r="M355" s="13">
        <f t="shared" si="94"/>
        <v>1</v>
      </c>
      <c r="N355" s="601"/>
      <c r="O355" s="13">
        <f t="shared" si="95"/>
        <v>1</v>
      </c>
      <c r="P355" s="601"/>
      <c r="Q355" s="13">
        <f t="shared" si="96"/>
        <v>0.05</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0.02</v>
      </c>
      <c r="F356" s="601"/>
      <c r="G356" s="13">
        <f t="shared" si="91"/>
        <v>0.02</v>
      </c>
      <c r="H356" s="601"/>
      <c r="I356" s="13">
        <f t="shared" si="92"/>
        <v>1</v>
      </c>
      <c r="J356" s="601"/>
      <c r="K356" s="13">
        <f t="shared" si="93"/>
        <v>1</v>
      </c>
      <c r="L356" s="601"/>
      <c r="M356" s="13">
        <f t="shared" si="94"/>
        <v>1</v>
      </c>
      <c r="N356" s="601"/>
      <c r="O356" s="13">
        <f t="shared" si="95"/>
        <v>1</v>
      </c>
      <c r="P356" s="601"/>
      <c r="Q356" s="13">
        <f t="shared" si="96"/>
        <v>0.05</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0.02</v>
      </c>
      <c r="F357" s="601"/>
      <c r="G357" s="13">
        <f t="shared" si="91"/>
        <v>0.02</v>
      </c>
      <c r="H357" s="601"/>
      <c r="I357" s="13">
        <f t="shared" si="92"/>
        <v>1</v>
      </c>
      <c r="J357" s="601"/>
      <c r="K357" s="13">
        <f t="shared" si="93"/>
        <v>1</v>
      </c>
      <c r="L357" s="601"/>
      <c r="M357" s="13">
        <f t="shared" si="94"/>
        <v>1</v>
      </c>
      <c r="N357" s="601"/>
      <c r="O357" s="13">
        <f t="shared" si="95"/>
        <v>1</v>
      </c>
      <c r="P357" s="601"/>
      <c r="Q357" s="13">
        <f t="shared" si="96"/>
        <v>0.05</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0.02</v>
      </c>
      <c r="F358" s="601"/>
      <c r="G358" s="13">
        <f t="shared" si="91"/>
        <v>0.02</v>
      </c>
      <c r="H358" s="601"/>
      <c r="I358" s="13">
        <f t="shared" si="92"/>
        <v>1</v>
      </c>
      <c r="J358" s="601"/>
      <c r="K358" s="13">
        <f t="shared" si="93"/>
        <v>1</v>
      </c>
      <c r="L358" s="601"/>
      <c r="M358" s="13">
        <f t="shared" si="94"/>
        <v>1</v>
      </c>
      <c r="N358" s="601"/>
      <c r="O358" s="13">
        <f t="shared" si="95"/>
        <v>1</v>
      </c>
      <c r="P358" s="601"/>
      <c r="Q358" s="13">
        <f t="shared" si="96"/>
        <v>0.05</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0.02</v>
      </c>
      <c r="F359" s="601"/>
      <c r="G359" s="13">
        <f t="shared" si="91"/>
        <v>0.02</v>
      </c>
      <c r="H359" s="601"/>
      <c r="I359" s="13">
        <f t="shared" si="92"/>
        <v>1</v>
      </c>
      <c r="J359" s="601"/>
      <c r="K359" s="13">
        <f t="shared" si="93"/>
        <v>1</v>
      </c>
      <c r="L359" s="601"/>
      <c r="M359" s="13">
        <f t="shared" si="94"/>
        <v>1</v>
      </c>
      <c r="N359" s="601"/>
      <c r="O359" s="13">
        <f t="shared" si="95"/>
        <v>1</v>
      </c>
      <c r="P359" s="601"/>
      <c r="Q359" s="13">
        <f t="shared" si="96"/>
        <v>0.05</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0.02</v>
      </c>
      <c r="F360" s="601"/>
      <c r="G360" s="13">
        <f t="shared" si="91"/>
        <v>0.02</v>
      </c>
      <c r="H360" s="601"/>
      <c r="I360" s="13">
        <f t="shared" si="92"/>
        <v>1</v>
      </c>
      <c r="J360" s="601"/>
      <c r="K360" s="13">
        <f t="shared" si="93"/>
        <v>1</v>
      </c>
      <c r="L360" s="601"/>
      <c r="M360" s="13">
        <f t="shared" si="94"/>
        <v>1</v>
      </c>
      <c r="N360" s="601"/>
      <c r="O360" s="13">
        <f t="shared" si="95"/>
        <v>1</v>
      </c>
      <c r="P360" s="601"/>
      <c r="Q360" s="13">
        <f t="shared" si="96"/>
        <v>0.05</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0.02</v>
      </c>
      <c r="F361" s="601"/>
      <c r="G361" s="13">
        <f t="shared" si="91"/>
        <v>0.02</v>
      </c>
      <c r="H361" s="601"/>
      <c r="I361" s="13">
        <f t="shared" si="92"/>
        <v>1</v>
      </c>
      <c r="J361" s="601"/>
      <c r="K361" s="13">
        <f t="shared" si="93"/>
        <v>1</v>
      </c>
      <c r="L361" s="601"/>
      <c r="M361" s="13">
        <f t="shared" si="94"/>
        <v>1</v>
      </c>
      <c r="N361" s="601"/>
      <c r="O361" s="13">
        <f t="shared" si="95"/>
        <v>1</v>
      </c>
      <c r="P361" s="601"/>
      <c r="Q361" s="13">
        <f t="shared" si="96"/>
        <v>0.05</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0.02</v>
      </c>
      <c r="F362" s="601"/>
      <c r="G362" s="13">
        <f t="shared" si="91"/>
        <v>0.02</v>
      </c>
      <c r="H362" s="601"/>
      <c r="I362" s="13">
        <f t="shared" si="92"/>
        <v>1</v>
      </c>
      <c r="J362" s="601"/>
      <c r="K362" s="13">
        <f t="shared" si="93"/>
        <v>1</v>
      </c>
      <c r="L362" s="601"/>
      <c r="M362" s="13">
        <f t="shared" si="94"/>
        <v>1</v>
      </c>
      <c r="N362" s="601"/>
      <c r="O362" s="13">
        <f t="shared" si="95"/>
        <v>1</v>
      </c>
      <c r="P362" s="601"/>
      <c r="Q362" s="13">
        <f t="shared" si="96"/>
        <v>0.05</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0.02</v>
      </c>
      <c r="F363" s="601"/>
      <c r="G363" s="13">
        <f t="shared" si="91"/>
        <v>0.02</v>
      </c>
      <c r="H363" s="601"/>
      <c r="I363" s="13">
        <f t="shared" si="92"/>
        <v>1</v>
      </c>
      <c r="J363" s="601"/>
      <c r="K363" s="13">
        <f t="shared" si="93"/>
        <v>1</v>
      </c>
      <c r="L363" s="601"/>
      <c r="M363" s="13">
        <f t="shared" si="94"/>
        <v>1</v>
      </c>
      <c r="N363" s="601"/>
      <c r="O363" s="13">
        <f t="shared" si="95"/>
        <v>1</v>
      </c>
      <c r="P363" s="601"/>
      <c r="Q363" s="13">
        <f t="shared" si="96"/>
        <v>0.05</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0.02</v>
      </c>
      <c r="F364" s="601"/>
      <c r="G364" s="13">
        <f t="shared" si="91"/>
        <v>0.02</v>
      </c>
      <c r="H364" s="601"/>
      <c r="I364" s="13">
        <f t="shared" si="92"/>
        <v>1</v>
      </c>
      <c r="J364" s="601"/>
      <c r="K364" s="13">
        <f t="shared" si="93"/>
        <v>1</v>
      </c>
      <c r="L364" s="601"/>
      <c r="M364" s="13">
        <f t="shared" si="94"/>
        <v>1</v>
      </c>
      <c r="N364" s="601"/>
      <c r="O364" s="13">
        <f t="shared" si="95"/>
        <v>1</v>
      </c>
      <c r="P364" s="601"/>
      <c r="Q364" s="13">
        <f t="shared" si="96"/>
        <v>0.05</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0.02</v>
      </c>
      <c r="F365" s="601"/>
      <c r="G365" s="13">
        <f t="shared" si="91"/>
        <v>0.02</v>
      </c>
      <c r="H365" s="601"/>
      <c r="I365" s="13">
        <f t="shared" si="92"/>
        <v>1</v>
      </c>
      <c r="J365" s="601"/>
      <c r="K365" s="13">
        <f t="shared" si="93"/>
        <v>1</v>
      </c>
      <c r="L365" s="601"/>
      <c r="M365" s="13">
        <f t="shared" si="94"/>
        <v>1</v>
      </c>
      <c r="N365" s="601"/>
      <c r="O365" s="13">
        <f t="shared" si="95"/>
        <v>1</v>
      </c>
      <c r="P365" s="601"/>
      <c r="Q365" s="13">
        <f t="shared" si="96"/>
        <v>0.05</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0.02</v>
      </c>
      <c r="F366" s="601"/>
      <c r="G366" s="13">
        <f t="shared" si="91"/>
        <v>0.02</v>
      </c>
      <c r="H366" s="601"/>
      <c r="I366" s="13">
        <f t="shared" si="92"/>
        <v>1</v>
      </c>
      <c r="J366" s="601"/>
      <c r="K366" s="13">
        <f t="shared" si="93"/>
        <v>1</v>
      </c>
      <c r="L366" s="601"/>
      <c r="M366" s="13">
        <f t="shared" si="94"/>
        <v>1</v>
      </c>
      <c r="N366" s="601"/>
      <c r="O366" s="13">
        <f t="shared" si="95"/>
        <v>1</v>
      </c>
      <c r="P366" s="601"/>
      <c r="Q366" s="13">
        <f t="shared" si="96"/>
        <v>0.05</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0.02</v>
      </c>
      <c r="F367" s="601"/>
      <c r="G367" s="13">
        <f t="shared" si="91"/>
        <v>0.02</v>
      </c>
      <c r="H367" s="601"/>
      <c r="I367" s="13">
        <f t="shared" si="92"/>
        <v>1</v>
      </c>
      <c r="J367" s="601"/>
      <c r="K367" s="13">
        <f t="shared" si="93"/>
        <v>1</v>
      </c>
      <c r="L367" s="601"/>
      <c r="M367" s="13">
        <f t="shared" si="94"/>
        <v>1</v>
      </c>
      <c r="N367" s="601"/>
      <c r="O367" s="13">
        <f t="shared" si="95"/>
        <v>1</v>
      </c>
      <c r="P367" s="601"/>
      <c r="Q367" s="13">
        <f t="shared" si="96"/>
        <v>0.05</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0.02</v>
      </c>
      <c r="F368" s="601"/>
      <c r="G368" s="13">
        <f t="shared" si="91"/>
        <v>0.02</v>
      </c>
      <c r="H368" s="601"/>
      <c r="I368" s="13">
        <f t="shared" si="92"/>
        <v>1</v>
      </c>
      <c r="J368" s="601"/>
      <c r="K368" s="13">
        <f t="shared" si="93"/>
        <v>1</v>
      </c>
      <c r="L368" s="601"/>
      <c r="M368" s="13">
        <f t="shared" si="94"/>
        <v>1</v>
      </c>
      <c r="N368" s="601"/>
      <c r="O368" s="13">
        <f t="shared" si="95"/>
        <v>1</v>
      </c>
      <c r="P368" s="601"/>
      <c r="Q368" s="13">
        <f t="shared" si="96"/>
        <v>0.05</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0.02</v>
      </c>
      <c r="F369" s="601"/>
      <c r="G369" s="13">
        <f t="shared" si="91"/>
        <v>0.02</v>
      </c>
      <c r="H369" s="601"/>
      <c r="I369" s="13">
        <f t="shared" si="92"/>
        <v>1</v>
      </c>
      <c r="J369" s="601"/>
      <c r="K369" s="13">
        <f t="shared" si="93"/>
        <v>1</v>
      </c>
      <c r="L369" s="601"/>
      <c r="M369" s="13">
        <f t="shared" si="94"/>
        <v>1</v>
      </c>
      <c r="N369" s="601"/>
      <c r="O369" s="13">
        <f t="shared" si="95"/>
        <v>1</v>
      </c>
      <c r="P369" s="601"/>
      <c r="Q369" s="13">
        <f t="shared" si="96"/>
        <v>0.05</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0.02</v>
      </c>
      <c r="F370" s="601"/>
      <c r="G370" s="13">
        <f t="shared" si="91"/>
        <v>0.02</v>
      </c>
      <c r="H370" s="601"/>
      <c r="I370" s="13">
        <f t="shared" si="92"/>
        <v>1</v>
      </c>
      <c r="J370" s="601"/>
      <c r="K370" s="13">
        <f t="shared" si="93"/>
        <v>1</v>
      </c>
      <c r="L370" s="601"/>
      <c r="M370" s="13">
        <f t="shared" si="94"/>
        <v>1</v>
      </c>
      <c r="N370" s="601"/>
      <c r="O370" s="13">
        <f t="shared" si="95"/>
        <v>1</v>
      </c>
      <c r="P370" s="601"/>
      <c r="Q370" s="13">
        <f t="shared" si="96"/>
        <v>0.05</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0.02</v>
      </c>
      <c r="F371" s="601"/>
      <c r="G371" s="13">
        <f t="shared" si="91"/>
        <v>0.02</v>
      </c>
      <c r="H371" s="601"/>
      <c r="I371" s="13">
        <f t="shared" si="92"/>
        <v>1</v>
      </c>
      <c r="J371" s="601"/>
      <c r="K371" s="13">
        <f t="shared" si="93"/>
        <v>1</v>
      </c>
      <c r="L371" s="601"/>
      <c r="M371" s="13">
        <f t="shared" si="94"/>
        <v>1</v>
      </c>
      <c r="N371" s="601"/>
      <c r="O371" s="13">
        <f t="shared" si="95"/>
        <v>1</v>
      </c>
      <c r="P371" s="601"/>
      <c r="Q371" s="13">
        <f t="shared" si="96"/>
        <v>0.05</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0.02</v>
      </c>
      <c r="F372" s="601"/>
      <c r="G372" s="13">
        <f t="shared" si="91"/>
        <v>0.02</v>
      </c>
      <c r="H372" s="601"/>
      <c r="I372" s="13">
        <f t="shared" si="92"/>
        <v>1</v>
      </c>
      <c r="J372" s="601"/>
      <c r="K372" s="13">
        <f t="shared" si="93"/>
        <v>1</v>
      </c>
      <c r="L372" s="601"/>
      <c r="M372" s="13">
        <f t="shared" si="94"/>
        <v>1</v>
      </c>
      <c r="N372" s="601"/>
      <c r="O372" s="13">
        <f t="shared" si="95"/>
        <v>1</v>
      </c>
      <c r="P372" s="601"/>
      <c r="Q372" s="13">
        <f t="shared" si="96"/>
        <v>0.05</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0.02</v>
      </c>
      <c r="F373" s="601"/>
      <c r="G373" s="13">
        <f t="shared" si="91"/>
        <v>0.02</v>
      </c>
      <c r="H373" s="601"/>
      <c r="I373" s="13">
        <f t="shared" si="92"/>
        <v>1</v>
      </c>
      <c r="J373" s="601"/>
      <c r="K373" s="13">
        <f t="shared" si="93"/>
        <v>1</v>
      </c>
      <c r="L373" s="601"/>
      <c r="M373" s="13">
        <f t="shared" si="94"/>
        <v>1</v>
      </c>
      <c r="N373" s="601"/>
      <c r="O373" s="13">
        <f t="shared" si="95"/>
        <v>1</v>
      </c>
      <c r="P373" s="601"/>
      <c r="Q373" s="13">
        <f t="shared" si="96"/>
        <v>0.05</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0.02</v>
      </c>
      <c r="F374" s="601"/>
      <c r="G374" s="13">
        <f t="shared" si="91"/>
        <v>0.02</v>
      </c>
      <c r="H374" s="601"/>
      <c r="I374" s="13">
        <f t="shared" si="92"/>
        <v>1</v>
      </c>
      <c r="J374" s="601"/>
      <c r="K374" s="13">
        <f t="shared" si="93"/>
        <v>1</v>
      </c>
      <c r="L374" s="601"/>
      <c r="M374" s="13">
        <f t="shared" si="94"/>
        <v>1</v>
      </c>
      <c r="N374" s="601"/>
      <c r="O374" s="13">
        <f t="shared" si="95"/>
        <v>1</v>
      </c>
      <c r="P374" s="601"/>
      <c r="Q374" s="13">
        <f t="shared" si="96"/>
        <v>0.05</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0.02</v>
      </c>
      <c r="F375" s="601"/>
      <c r="G375" s="13">
        <f t="shared" si="91"/>
        <v>0.02</v>
      </c>
      <c r="H375" s="601"/>
      <c r="I375" s="13">
        <f t="shared" si="92"/>
        <v>1</v>
      </c>
      <c r="J375" s="601"/>
      <c r="K375" s="13">
        <f t="shared" si="93"/>
        <v>1</v>
      </c>
      <c r="L375" s="601"/>
      <c r="M375" s="13">
        <f t="shared" si="94"/>
        <v>1</v>
      </c>
      <c r="N375" s="601"/>
      <c r="O375" s="13">
        <f t="shared" si="95"/>
        <v>1</v>
      </c>
      <c r="P375" s="601"/>
      <c r="Q375" s="13">
        <f t="shared" si="96"/>
        <v>0.05</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0.02</v>
      </c>
      <c r="F376" s="601"/>
      <c r="G376" s="13">
        <f t="shared" si="91"/>
        <v>0.02</v>
      </c>
      <c r="H376" s="601"/>
      <c r="I376" s="13">
        <f t="shared" si="92"/>
        <v>1</v>
      </c>
      <c r="J376" s="601"/>
      <c r="K376" s="13">
        <f t="shared" si="93"/>
        <v>1</v>
      </c>
      <c r="L376" s="601"/>
      <c r="M376" s="13">
        <f t="shared" si="94"/>
        <v>1</v>
      </c>
      <c r="N376" s="601"/>
      <c r="O376" s="13">
        <f t="shared" si="95"/>
        <v>1</v>
      </c>
      <c r="P376" s="601"/>
      <c r="Q376" s="13">
        <f t="shared" si="96"/>
        <v>0.05</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0.02</v>
      </c>
      <c r="F377" s="601"/>
      <c r="G377" s="13">
        <f t="shared" si="91"/>
        <v>0.02</v>
      </c>
      <c r="H377" s="601"/>
      <c r="I377" s="13">
        <f t="shared" si="92"/>
        <v>1</v>
      </c>
      <c r="J377" s="601"/>
      <c r="K377" s="13">
        <f t="shared" si="93"/>
        <v>1</v>
      </c>
      <c r="L377" s="601"/>
      <c r="M377" s="13">
        <f t="shared" si="94"/>
        <v>1</v>
      </c>
      <c r="N377" s="601"/>
      <c r="O377" s="13">
        <f t="shared" si="95"/>
        <v>1</v>
      </c>
      <c r="P377" s="601"/>
      <c r="Q377" s="13">
        <f t="shared" si="96"/>
        <v>0.05</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0.02</v>
      </c>
      <c r="F378" s="601"/>
      <c r="G378" s="13">
        <f t="shared" si="91"/>
        <v>0.02</v>
      </c>
      <c r="H378" s="601"/>
      <c r="I378" s="13">
        <f t="shared" si="92"/>
        <v>1</v>
      </c>
      <c r="J378" s="601"/>
      <c r="K378" s="13">
        <f t="shared" si="93"/>
        <v>1</v>
      </c>
      <c r="L378" s="601"/>
      <c r="M378" s="13">
        <f t="shared" si="94"/>
        <v>1</v>
      </c>
      <c r="N378" s="601"/>
      <c r="O378" s="13">
        <f t="shared" si="95"/>
        <v>1</v>
      </c>
      <c r="P378" s="601"/>
      <c r="Q378" s="13">
        <f t="shared" si="96"/>
        <v>0.05</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0.02</v>
      </c>
      <c r="F379" s="601"/>
      <c r="G379" s="13">
        <f t="shared" si="91"/>
        <v>0.02</v>
      </c>
      <c r="H379" s="601"/>
      <c r="I379" s="13">
        <f t="shared" si="92"/>
        <v>1</v>
      </c>
      <c r="J379" s="601"/>
      <c r="K379" s="13">
        <f t="shared" si="93"/>
        <v>1</v>
      </c>
      <c r="L379" s="601"/>
      <c r="M379" s="13">
        <f t="shared" si="94"/>
        <v>1</v>
      </c>
      <c r="N379" s="601"/>
      <c r="O379" s="13">
        <f t="shared" si="95"/>
        <v>1</v>
      </c>
      <c r="P379" s="601"/>
      <c r="Q379" s="13">
        <f t="shared" si="96"/>
        <v>0.05</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0.02</v>
      </c>
      <c r="F380" s="601"/>
      <c r="G380" s="13">
        <f t="shared" si="91"/>
        <v>0.02</v>
      </c>
      <c r="H380" s="601"/>
      <c r="I380" s="13">
        <f t="shared" si="92"/>
        <v>1</v>
      </c>
      <c r="J380" s="601"/>
      <c r="K380" s="13">
        <f t="shared" si="93"/>
        <v>1</v>
      </c>
      <c r="L380" s="601"/>
      <c r="M380" s="13">
        <f t="shared" si="94"/>
        <v>1</v>
      </c>
      <c r="N380" s="601"/>
      <c r="O380" s="13">
        <f t="shared" si="95"/>
        <v>1</v>
      </c>
      <c r="P380" s="601"/>
      <c r="Q380" s="13">
        <f t="shared" si="96"/>
        <v>0.05</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0.02</v>
      </c>
      <c r="F381" s="601"/>
      <c r="G381" s="13">
        <f t="shared" si="91"/>
        <v>0.02</v>
      </c>
      <c r="H381" s="601"/>
      <c r="I381" s="13">
        <f t="shared" si="92"/>
        <v>1</v>
      </c>
      <c r="J381" s="601"/>
      <c r="K381" s="13">
        <f t="shared" si="93"/>
        <v>1</v>
      </c>
      <c r="L381" s="601"/>
      <c r="M381" s="13">
        <f t="shared" si="94"/>
        <v>1</v>
      </c>
      <c r="N381" s="601"/>
      <c r="O381" s="13">
        <f t="shared" si="95"/>
        <v>1</v>
      </c>
      <c r="P381" s="601"/>
      <c r="Q381" s="13">
        <f t="shared" si="96"/>
        <v>0.05</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0.02</v>
      </c>
      <c r="F382" s="601"/>
      <c r="G382" s="13">
        <f t="shared" si="91"/>
        <v>0.02</v>
      </c>
      <c r="H382" s="601"/>
      <c r="I382" s="13">
        <f t="shared" si="92"/>
        <v>1</v>
      </c>
      <c r="J382" s="601"/>
      <c r="K382" s="13">
        <f t="shared" si="93"/>
        <v>1</v>
      </c>
      <c r="L382" s="601"/>
      <c r="M382" s="13">
        <f t="shared" si="94"/>
        <v>1</v>
      </c>
      <c r="N382" s="601"/>
      <c r="O382" s="13">
        <f t="shared" si="95"/>
        <v>1</v>
      </c>
      <c r="P382" s="601"/>
      <c r="Q382" s="13">
        <f t="shared" si="96"/>
        <v>0.05</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0.02</v>
      </c>
      <c r="F383" s="601"/>
      <c r="G383" s="13">
        <f t="shared" si="91"/>
        <v>0.02</v>
      </c>
      <c r="H383" s="601"/>
      <c r="I383" s="13">
        <f t="shared" si="92"/>
        <v>1</v>
      </c>
      <c r="J383" s="601"/>
      <c r="K383" s="13">
        <f t="shared" si="93"/>
        <v>1</v>
      </c>
      <c r="L383" s="601"/>
      <c r="M383" s="13">
        <f t="shared" si="94"/>
        <v>1</v>
      </c>
      <c r="N383" s="601"/>
      <c r="O383" s="13">
        <f t="shared" si="95"/>
        <v>1</v>
      </c>
      <c r="P383" s="601"/>
      <c r="Q383" s="13">
        <f t="shared" si="96"/>
        <v>0.05</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0.02</v>
      </c>
      <c r="F384" s="601"/>
      <c r="G384" s="13">
        <f t="shared" si="91"/>
        <v>0.02</v>
      </c>
      <c r="H384" s="601"/>
      <c r="I384" s="13">
        <f t="shared" si="92"/>
        <v>1</v>
      </c>
      <c r="J384" s="601"/>
      <c r="K384" s="13">
        <f t="shared" si="93"/>
        <v>1</v>
      </c>
      <c r="L384" s="601"/>
      <c r="M384" s="13">
        <f t="shared" si="94"/>
        <v>1</v>
      </c>
      <c r="N384" s="601"/>
      <c r="O384" s="13">
        <f t="shared" si="95"/>
        <v>1</v>
      </c>
      <c r="P384" s="601"/>
      <c r="Q384" s="13">
        <f t="shared" si="96"/>
        <v>0.05</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0.02</v>
      </c>
      <c r="F385" s="601"/>
      <c r="G385" s="13">
        <f t="shared" si="91"/>
        <v>0.02</v>
      </c>
      <c r="H385" s="601"/>
      <c r="I385" s="13">
        <f t="shared" si="92"/>
        <v>1</v>
      </c>
      <c r="J385" s="601"/>
      <c r="K385" s="13">
        <f t="shared" si="93"/>
        <v>1</v>
      </c>
      <c r="L385" s="601"/>
      <c r="M385" s="13">
        <f t="shared" si="94"/>
        <v>1</v>
      </c>
      <c r="N385" s="601"/>
      <c r="O385" s="13">
        <f t="shared" si="95"/>
        <v>1</v>
      </c>
      <c r="P385" s="601"/>
      <c r="Q385" s="13">
        <f t="shared" si="96"/>
        <v>0.05</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0.02</v>
      </c>
      <c r="F386" s="601"/>
      <c r="G386" s="13">
        <f t="shared" si="91"/>
        <v>0.02</v>
      </c>
      <c r="H386" s="601"/>
      <c r="I386" s="13">
        <f t="shared" si="92"/>
        <v>1</v>
      </c>
      <c r="J386" s="601"/>
      <c r="K386" s="13">
        <f t="shared" si="93"/>
        <v>1</v>
      </c>
      <c r="L386" s="601"/>
      <c r="M386" s="13">
        <f t="shared" si="94"/>
        <v>1</v>
      </c>
      <c r="N386" s="601"/>
      <c r="O386" s="13">
        <f t="shared" si="95"/>
        <v>1</v>
      </c>
      <c r="P386" s="601"/>
      <c r="Q386" s="13">
        <f t="shared" si="96"/>
        <v>0.05</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0.02</v>
      </c>
      <c r="F387" s="601"/>
      <c r="G387" s="13">
        <f t="shared" si="91"/>
        <v>0.02</v>
      </c>
      <c r="H387" s="601"/>
      <c r="I387" s="13">
        <f t="shared" si="92"/>
        <v>1</v>
      </c>
      <c r="J387" s="601"/>
      <c r="K387" s="13">
        <f t="shared" si="93"/>
        <v>1</v>
      </c>
      <c r="L387" s="601"/>
      <c r="M387" s="13">
        <f t="shared" si="94"/>
        <v>1</v>
      </c>
      <c r="N387" s="601"/>
      <c r="O387" s="13">
        <f t="shared" si="95"/>
        <v>1</v>
      </c>
      <c r="P387" s="601"/>
      <c r="Q387" s="13">
        <f t="shared" si="96"/>
        <v>0.05</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0.02</v>
      </c>
      <c r="F388" s="601"/>
      <c r="G388" s="13">
        <f t="shared" si="91"/>
        <v>0.02</v>
      </c>
      <c r="H388" s="601"/>
      <c r="I388" s="13">
        <f t="shared" si="92"/>
        <v>1</v>
      </c>
      <c r="J388" s="601"/>
      <c r="K388" s="13">
        <f t="shared" si="93"/>
        <v>1</v>
      </c>
      <c r="L388" s="601"/>
      <c r="M388" s="13">
        <f t="shared" si="94"/>
        <v>1</v>
      </c>
      <c r="N388" s="601"/>
      <c r="O388" s="13">
        <f t="shared" si="95"/>
        <v>1</v>
      </c>
      <c r="P388" s="601"/>
      <c r="Q388" s="13">
        <f t="shared" si="96"/>
        <v>0.05</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0.02</v>
      </c>
      <c r="F389" s="601"/>
      <c r="G389" s="13">
        <f t="shared" si="91"/>
        <v>0.02</v>
      </c>
      <c r="H389" s="601"/>
      <c r="I389" s="13">
        <f t="shared" si="92"/>
        <v>1</v>
      </c>
      <c r="J389" s="601"/>
      <c r="K389" s="13">
        <f t="shared" si="93"/>
        <v>1</v>
      </c>
      <c r="L389" s="601"/>
      <c r="M389" s="13">
        <f t="shared" si="94"/>
        <v>1</v>
      </c>
      <c r="N389" s="601"/>
      <c r="O389" s="13">
        <f t="shared" si="95"/>
        <v>1</v>
      </c>
      <c r="P389" s="601"/>
      <c r="Q389" s="13">
        <f t="shared" si="96"/>
        <v>0.05</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0.02</v>
      </c>
      <c r="F390" s="601"/>
      <c r="G390" s="13">
        <f t="shared" si="91"/>
        <v>0.02</v>
      </c>
      <c r="H390" s="601"/>
      <c r="I390" s="13">
        <f t="shared" si="92"/>
        <v>1</v>
      </c>
      <c r="J390" s="601"/>
      <c r="K390" s="13">
        <f t="shared" si="93"/>
        <v>1</v>
      </c>
      <c r="L390" s="601"/>
      <c r="M390" s="13">
        <f t="shared" si="94"/>
        <v>1</v>
      </c>
      <c r="N390" s="601"/>
      <c r="O390" s="13">
        <f t="shared" si="95"/>
        <v>1</v>
      </c>
      <c r="P390" s="601"/>
      <c r="Q390" s="13">
        <f t="shared" si="96"/>
        <v>0.05</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0.02</v>
      </c>
      <c r="F391" s="601"/>
      <c r="G391" s="13">
        <f t="shared" si="91"/>
        <v>0.02</v>
      </c>
      <c r="H391" s="601"/>
      <c r="I391" s="13">
        <f t="shared" si="92"/>
        <v>1</v>
      </c>
      <c r="J391" s="601"/>
      <c r="K391" s="13">
        <f t="shared" si="93"/>
        <v>1</v>
      </c>
      <c r="L391" s="601"/>
      <c r="M391" s="13">
        <f t="shared" si="94"/>
        <v>1</v>
      </c>
      <c r="N391" s="601"/>
      <c r="O391" s="13">
        <f t="shared" si="95"/>
        <v>1</v>
      </c>
      <c r="P391" s="601"/>
      <c r="Q391" s="13">
        <f t="shared" si="96"/>
        <v>0.05</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0.02</v>
      </c>
      <c r="F392" s="601"/>
      <c r="G392" s="13">
        <f t="shared" si="91"/>
        <v>0.02</v>
      </c>
      <c r="H392" s="601"/>
      <c r="I392" s="13">
        <f t="shared" si="92"/>
        <v>1</v>
      </c>
      <c r="J392" s="601"/>
      <c r="K392" s="13">
        <f t="shared" si="93"/>
        <v>1</v>
      </c>
      <c r="L392" s="601"/>
      <c r="M392" s="13">
        <f t="shared" si="94"/>
        <v>1</v>
      </c>
      <c r="N392" s="601"/>
      <c r="O392" s="13">
        <f t="shared" si="95"/>
        <v>1</v>
      </c>
      <c r="P392" s="601"/>
      <c r="Q392" s="13">
        <f t="shared" si="96"/>
        <v>0.05</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0.02</v>
      </c>
      <c r="F393" s="601"/>
      <c r="G393" s="13">
        <f t="shared" si="91"/>
        <v>0.02</v>
      </c>
      <c r="H393" s="601"/>
      <c r="I393" s="13">
        <f t="shared" si="92"/>
        <v>1</v>
      </c>
      <c r="J393" s="601"/>
      <c r="K393" s="13">
        <f t="shared" si="93"/>
        <v>1</v>
      </c>
      <c r="L393" s="601"/>
      <c r="M393" s="13">
        <f t="shared" si="94"/>
        <v>1</v>
      </c>
      <c r="N393" s="601"/>
      <c r="O393" s="13">
        <f t="shared" si="95"/>
        <v>1</v>
      </c>
      <c r="P393" s="601"/>
      <c r="Q393" s="13">
        <f t="shared" si="96"/>
        <v>0.05</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0.02</v>
      </c>
      <c r="F394" s="601"/>
      <c r="G394" s="13">
        <f t="shared" si="91"/>
        <v>0.02</v>
      </c>
      <c r="H394" s="601"/>
      <c r="I394" s="13">
        <f t="shared" si="92"/>
        <v>1</v>
      </c>
      <c r="J394" s="601"/>
      <c r="K394" s="13">
        <f t="shared" si="93"/>
        <v>1</v>
      </c>
      <c r="L394" s="601"/>
      <c r="M394" s="13">
        <f t="shared" si="94"/>
        <v>1</v>
      </c>
      <c r="N394" s="601"/>
      <c r="O394" s="13">
        <f t="shared" si="95"/>
        <v>1</v>
      </c>
      <c r="P394" s="601"/>
      <c r="Q394" s="13">
        <f t="shared" si="96"/>
        <v>0.05</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0.02</v>
      </c>
      <c r="F395" s="601"/>
      <c r="G395" s="13">
        <f t="shared" si="91"/>
        <v>0.02</v>
      </c>
      <c r="H395" s="601"/>
      <c r="I395" s="13">
        <f t="shared" si="92"/>
        <v>1</v>
      </c>
      <c r="J395" s="601"/>
      <c r="K395" s="13">
        <f t="shared" si="93"/>
        <v>1</v>
      </c>
      <c r="L395" s="601"/>
      <c r="M395" s="13">
        <f t="shared" si="94"/>
        <v>1</v>
      </c>
      <c r="N395" s="601"/>
      <c r="O395" s="13">
        <f t="shared" si="95"/>
        <v>1</v>
      </c>
      <c r="P395" s="601"/>
      <c r="Q395" s="13">
        <f t="shared" si="96"/>
        <v>0.05</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0.02</v>
      </c>
      <c r="F396" s="601"/>
      <c r="G396" s="13">
        <f t="shared" si="91"/>
        <v>0.02</v>
      </c>
      <c r="H396" s="601"/>
      <c r="I396" s="13">
        <f t="shared" si="92"/>
        <v>1</v>
      </c>
      <c r="J396" s="601"/>
      <c r="K396" s="13">
        <f t="shared" si="93"/>
        <v>1</v>
      </c>
      <c r="L396" s="601"/>
      <c r="M396" s="13">
        <f t="shared" si="94"/>
        <v>1</v>
      </c>
      <c r="N396" s="601"/>
      <c r="O396" s="13">
        <f t="shared" si="95"/>
        <v>1</v>
      </c>
      <c r="P396" s="601"/>
      <c r="Q396" s="13">
        <f t="shared" si="96"/>
        <v>0.05</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0.02</v>
      </c>
      <c r="F397" s="601"/>
      <c r="G397" s="13">
        <f t="shared" si="91"/>
        <v>0.02</v>
      </c>
      <c r="H397" s="601"/>
      <c r="I397" s="13">
        <f t="shared" si="92"/>
        <v>1</v>
      </c>
      <c r="J397" s="601"/>
      <c r="K397" s="13">
        <f t="shared" si="93"/>
        <v>1</v>
      </c>
      <c r="L397" s="601"/>
      <c r="M397" s="13">
        <f t="shared" si="94"/>
        <v>1</v>
      </c>
      <c r="N397" s="601"/>
      <c r="O397" s="13">
        <f t="shared" si="95"/>
        <v>1</v>
      </c>
      <c r="P397" s="601"/>
      <c r="Q397" s="13">
        <f t="shared" si="96"/>
        <v>0.05</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0.02</v>
      </c>
      <c r="F398" s="601"/>
      <c r="G398" s="13">
        <f t="shared" si="91"/>
        <v>0.02</v>
      </c>
      <c r="H398" s="601"/>
      <c r="I398" s="13">
        <f t="shared" si="92"/>
        <v>1</v>
      </c>
      <c r="J398" s="601"/>
      <c r="K398" s="13">
        <f t="shared" si="93"/>
        <v>1</v>
      </c>
      <c r="L398" s="601"/>
      <c r="M398" s="13">
        <f t="shared" si="94"/>
        <v>1</v>
      </c>
      <c r="N398" s="601"/>
      <c r="O398" s="13">
        <f t="shared" si="95"/>
        <v>1</v>
      </c>
      <c r="P398" s="601"/>
      <c r="Q398" s="13">
        <f t="shared" si="96"/>
        <v>0.05</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0.02</v>
      </c>
      <c r="F399" s="601"/>
      <c r="G399" s="13">
        <f t="shared" si="91"/>
        <v>0.02</v>
      </c>
      <c r="H399" s="601"/>
      <c r="I399" s="13">
        <f t="shared" si="92"/>
        <v>1</v>
      </c>
      <c r="J399" s="601"/>
      <c r="K399" s="13">
        <f t="shared" si="93"/>
        <v>1</v>
      </c>
      <c r="L399" s="601"/>
      <c r="M399" s="13">
        <f t="shared" si="94"/>
        <v>1</v>
      </c>
      <c r="N399" s="601"/>
      <c r="O399" s="13">
        <f t="shared" si="95"/>
        <v>1</v>
      </c>
      <c r="P399" s="601"/>
      <c r="Q399" s="13">
        <f t="shared" si="96"/>
        <v>0.05</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0.02</v>
      </c>
      <c r="F400" s="601"/>
      <c r="G400" s="13">
        <f t="shared" si="91"/>
        <v>0.02</v>
      </c>
      <c r="H400" s="601"/>
      <c r="I400" s="13">
        <f t="shared" si="92"/>
        <v>1</v>
      </c>
      <c r="J400" s="601"/>
      <c r="K400" s="13">
        <f t="shared" si="93"/>
        <v>1</v>
      </c>
      <c r="L400" s="601"/>
      <c r="M400" s="13">
        <f t="shared" si="94"/>
        <v>1</v>
      </c>
      <c r="N400" s="601"/>
      <c r="O400" s="13">
        <f t="shared" si="95"/>
        <v>1</v>
      </c>
      <c r="P400" s="601"/>
      <c r="Q400" s="13">
        <f t="shared" si="96"/>
        <v>0.05</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0.02</v>
      </c>
      <c r="F401" s="601"/>
      <c r="G401" s="13">
        <f t="shared" si="91"/>
        <v>0.02</v>
      </c>
      <c r="H401" s="601"/>
      <c r="I401" s="13">
        <f t="shared" si="92"/>
        <v>1</v>
      </c>
      <c r="J401" s="601"/>
      <c r="K401" s="13">
        <f t="shared" si="93"/>
        <v>1</v>
      </c>
      <c r="L401" s="601"/>
      <c r="M401" s="13">
        <f t="shared" si="94"/>
        <v>1</v>
      </c>
      <c r="N401" s="601"/>
      <c r="O401" s="13">
        <f t="shared" si="95"/>
        <v>1</v>
      </c>
      <c r="P401" s="601"/>
      <c r="Q401" s="13">
        <f t="shared" si="96"/>
        <v>0.05</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0.02</v>
      </c>
      <c r="F402" s="601"/>
      <c r="G402" s="13">
        <f t="shared" si="91"/>
        <v>0.02</v>
      </c>
      <c r="H402" s="601"/>
      <c r="I402" s="13">
        <f t="shared" si="92"/>
        <v>1</v>
      </c>
      <c r="J402" s="601"/>
      <c r="K402" s="13">
        <f t="shared" si="93"/>
        <v>1</v>
      </c>
      <c r="L402" s="601"/>
      <c r="M402" s="13">
        <f t="shared" si="94"/>
        <v>1</v>
      </c>
      <c r="N402" s="601"/>
      <c r="O402" s="13">
        <f t="shared" si="95"/>
        <v>1</v>
      </c>
      <c r="P402" s="601"/>
      <c r="Q402" s="13">
        <f t="shared" si="96"/>
        <v>0.05</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0.02</v>
      </c>
      <c r="F403" s="601"/>
      <c r="G403" s="13">
        <f t="shared" si="91"/>
        <v>0.02</v>
      </c>
      <c r="H403" s="601"/>
      <c r="I403" s="13">
        <f t="shared" si="92"/>
        <v>1</v>
      </c>
      <c r="J403" s="601"/>
      <c r="K403" s="13">
        <f t="shared" si="93"/>
        <v>1</v>
      </c>
      <c r="L403" s="601"/>
      <c r="M403" s="13">
        <f t="shared" si="94"/>
        <v>1</v>
      </c>
      <c r="N403" s="601"/>
      <c r="O403" s="13">
        <f t="shared" si="95"/>
        <v>1</v>
      </c>
      <c r="P403" s="601"/>
      <c r="Q403" s="13">
        <f t="shared" si="96"/>
        <v>0.05</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0.02</v>
      </c>
      <c r="F404" s="601"/>
      <c r="G404" s="13">
        <f t="shared" si="91"/>
        <v>0.02</v>
      </c>
      <c r="H404" s="601"/>
      <c r="I404" s="13">
        <f t="shared" si="92"/>
        <v>1</v>
      </c>
      <c r="J404" s="601"/>
      <c r="K404" s="13">
        <f t="shared" si="93"/>
        <v>1</v>
      </c>
      <c r="L404" s="601"/>
      <c r="M404" s="13">
        <f t="shared" si="94"/>
        <v>1</v>
      </c>
      <c r="N404" s="601"/>
      <c r="O404" s="13">
        <f t="shared" si="95"/>
        <v>1</v>
      </c>
      <c r="P404" s="601"/>
      <c r="Q404" s="13">
        <f t="shared" si="96"/>
        <v>0.05</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0.02</v>
      </c>
      <c r="F405" s="601"/>
      <c r="G405" s="13">
        <f t="shared" si="91"/>
        <v>0.02</v>
      </c>
      <c r="H405" s="601"/>
      <c r="I405" s="13">
        <f t="shared" si="92"/>
        <v>1</v>
      </c>
      <c r="J405" s="601"/>
      <c r="K405" s="13">
        <f t="shared" si="93"/>
        <v>1</v>
      </c>
      <c r="L405" s="601"/>
      <c r="M405" s="13">
        <f t="shared" si="94"/>
        <v>1</v>
      </c>
      <c r="N405" s="601"/>
      <c r="O405" s="13">
        <f t="shared" si="95"/>
        <v>1</v>
      </c>
      <c r="P405" s="601"/>
      <c r="Q405" s="13">
        <f t="shared" si="96"/>
        <v>0.05</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0.02</v>
      </c>
      <c r="F406" s="601"/>
      <c r="G406" s="13">
        <f t="shared" si="91"/>
        <v>0.02</v>
      </c>
      <c r="H406" s="601"/>
      <c r="I406" s="13">
        <f t="shared" si="92"/>
        <v>1</v>
      </c>
      <c r="J406" s="601"/>
      <c r="K406" s="13">
        <f t="shared" si="93"/>
        <v>1</v>
      </c>
      <c r="L406" s="601"/>
      <c r="M406" s="13">
        <f t="shared" si="94"/>
        <v>1</v>
      </c>
      <c r="N406" s="601"/>
      <c r="O406" s="13">
        <f t="shared" si="95"/>
        <v>1</v>
      </c>
      <c r="P406" s="601"/>
      <c r="Q406" s="13">
        <f t="shared" si="96"/>
        <v>0.05</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0.02</v>
      </c>
      <c r="F407" s="601"/>
      <c r="G407" s="13">
        <f t="shared" si="91"/>
        <v>0.02</v>
      </c>
      <c r="H407" s="601"/>
      <c r="I407" s="13">
        <f t="shared" si="92"/>
        <v>1</v>
      </c>
      <c r="J407" s="601"/>
      <c r="K407" s="13">
        <f t="shared" si="93"/>
        <v>1</v>
      </c>
      <c r="L407" s="601"/>
      <c r="M407" s="13">
        <f t="shared" si="94"/>
        <v>1</v>
      </c>
      <c r="N407" s="601"/>
      <c r="O407" s="13">
        <f t="shared" si="95"/>
        <v>1</v>
      </c>
      <c r="P407" s="601"/>
      <c r="Q407" s="13">
        <f t="shared" si="96"/>
        <v>0.05</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0.02</v>
      </c>
      <c r="F408" s="601"/>
      <c r="G408" s="13">
        <f t="shared" si="91"/>
        <v>0.02</v>
      </c>
      <c r="H408" s="601"/>
      <c r="I408" s="13">
        <f t="shared" si="92"/>
        <v>1</v>
      </c>
      <c r="J408" s="601"/>
      <c r="K408" s="13">
        <f t="shared" si="93"/>
        <v>1</v>
      </c>
      <c r="L408" s="601"/>
      <c r="M408" s="13">
        <f t="shared" si="94"/>
        <v>1</v>
      </c>
      <c r="N408" s="601"/>
      <c r="O408" s="13">
        <f t="shared" si="95"/>
        <v>1</v>
      </c>
      <c r="P408" s="601"/>
      <c r="Q408" s="13">
        <f t="shared" si="96"/>
        <v>0.05</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0.02</v>
      </c>
      <c r="F409" s="601"/>
      <c r="G409" s="13">
        <f t="shared" si="91"/>
        <v>0.02</v>
      </c>
      <c r="H409" s="601"/>
      <c r="I409" s="13">
        <f t="shared" si="92"/>
        <v>1</v>
      </c>
      <c r="J409" s="601"/>
      <c r="K409" s="13">
        <f t="shared" si="93"/>
        <v>1</v>
      </c>
      <c r="L409" s="601"/>
      <c r="M409" s="13">
        <f t="shared" si="94"/>
        <v>1</v>
      </c>
      <c r="N409" s="601"/>
      <c r="O409" s="13">
        <f t="shared" si="95"/>
        <v>1</v>
      </c>
      <c r="P409" s="601"/>
      <c r="Q409" s="13">
        <f t="shared" si="96"/>
        <v>0.05</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0.02</v>
      </c>
      <c r="F410" s="601"/>
      <c r="G410" s="13">
        <f t="shared" si="91"/>
        <v>0.02</v>
      </c>
      <c r="H410" s="601"/>
      <c r="I410" s="13">
        <f t="shared" si="92"/>
        <v>1</v>
      </c>
      <c r="J410" s="601"/>
      <c r="K410" s="13">
        <f t="shared" si="93"/>
        <v>1</v>
      </c>
      <c r="L410" s="601"/>
      <c r="M410" s="13">
        <f t="shared" si="94"/>
        <v>1</v>
      </c>
      <c r="N410" s="601"/>
      <c r="O410" s="13">
        <f t="shared" si="95"/>
        <v>1</v>
      </c>
      <c r="P410" s="601"/>
      <c r="Q410" s="13">
        <f t="shared" si="96"/>
        <v>0.05</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0.02</v>
      </c>
      <c r="F411" s="601"/>
      <c r="G411" s="13">
        <f t="shared" si="91"/>
        <v>0.02</v>
      </c>
      <c r="H411" s="601"/>
      <c r="I411" s="13">
        <f t="shared" si="92"/>
        <v>1</v>
      </c>
      <c r="J411" s="601"/>
      <c r="K411" s="13">
        <f t="shared" si="93"/>
        <v>1</v>
      </c>
      <c r="L411" s="601"/>
      <c r="M411" s="13">
        <f t="shared" si="94"/>
        <v>1</v>
      </c>
      <c r="N411" s="601"/>
      <c r="O411" s="13">
        <f t="shared" si="95"/>
        <v>1</v>
      </c>
      <c r="P411" s="601"/>
      <c r="Q411" s="13">
        <f t="shared" si="96"/>
        <v>0.05</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0.02</v>
      </c>
      <c r="F412" s="601"/>
      <c r="G412" s="13">
        <f t="shared" ref="G412:G475" si="106">(SUMIF($10:$10,F412,$11:$11)-SUMIF($10:$10,$F$27,$11:$11)+100)/100</f>
        <v>0.02</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0.05</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0.02</v>
      </c>
      <c r="F413" s="601"/>
      <c r="G413" s="13">
        <f t="shared" si="106"/>
        <v>0.02</v>
      </c>
      <c r="H413" s="601"/>
      <c r="I413" s="13">
        <f t="shared" si="107"/>
        <v>1</v>
      </c>
      <c r="J413" s="601"/>
      <c r="K413" s="13">
        <f t="shared" si="108"/>
        <v>1</v>
      </c>
      <c r="L413" s="601"/>
      <c r="M413" s="13">
        <f t="shared" si="109"/>
        <v>1</v>
      </c>
      <c r="N413" s="601"/>
      <c r="O413" s="13">
        <f t="shared" si="110"/>
        <v>1</v>
      </c>
      <c r="P413" s="601"/>
      <c r="Q413" s="13">
        <f t="shared" si="111"/>
        <v>0.05</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0.02</v>
      </c>
      <c r="F414" s="601"/>
      <c r="G414" s="13">
        <f t="shared" si="106"/>
        <v>0.02</v>
      </c>
      <c r="H414" s="601"/>
      <c r="I414" s="13">
        <f t="shared" si="107"/>
        <v>1</v>
      </c>
      <c r="J414" s="601"/>
      <c r="K414" s="13">
        <f t="shared" si="108"/>
        <v>1</v>
      </c>
      <c r="L414" s="601"/>
      <c r="M414" s="13">
        <f t="shared" si="109"/>
        <v>1</v>
      </c>
      <c r="N414" s="601"/>
      <c r="O414" s="13">
        <f t="shared" si="110"/>
        <v>1</v>
      </c>
      <c r="P414" s="601"/>
      <c r="Q414" s="13">
        <f t="shared" si="111"/>
        <v>0.05</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0.02</v>
      </c>
      <c r="F415" s="601"/>
      <c r="G415" s="13">
        <f t="shared" si="106"/>
        <v>0.02</v>
      </c>
      <c r="H415" s="601"/>
      <c r="I415" s="13">
        <f t="shared" si="107"/>
        <v>1</v>
      </c>
      <c r="J415" s="601"/>
      <c r="K415" s="13">
        <f t="shared" si="108"/>
        <v>1</v>
      </c>
      <c r="L415" s="601"/>
      <c r="M415" s="13">
        <f t="shared" si="109"/>
        <v>1</v>
      </c>
      <c r="N415" s="601"/>
      <c r="O415" s="13">
        <f t="shared" si="110"/>
        <v>1</v>
      </c>
      <c r="P415" s="601"/>
      <c r="Q415" s="13">
        <f t="shared" si="111"/>
        <v>0.05</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0.02</v>
      </c>
      <c r="F416" s="601"/>
      <c r="G416" s="13">
        <f t="shared" si="106"/>
        <v>0.02</v>
      </c>
      <c r="H416" s="601"/>
      <c r="I416" s="13">
        <f t="shared" si="107"/>
        <v>1</v>
      </c>
      <c r="J416" s="601"/>
      <c r="K416" s="13">
        <f t="shared" si="108"/>
        <v>1</v>
      </c>
      <c r="L416" s="601"/>
      <c r="M416" s="13">
        <f t="shared" si="109"/>
        <v>1</v>
      </c>
      <c r="N416" s="601"/>
      <c r="O416" s="13">
        <f t="shared" si="110"/>
        <v>1</v>
      </c>
      <c r="P416" s="601"/>
      <c r="Q416" s="13">
        <f t="shared" si="111"/>
        <v>0.05</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0.02</v>
      </c>
      <c r="F417" s="601"/>
      <c r="G417" s="13">
        <f t="shared" si="106"/>
        <v>0.02</v>
      </c>
      <c r="H417" s="601"/>
      <c r="I417" s="13">
        <f t="shared" si="107"/>
        <v>1</v>
      </c>
      <c r="J417" s="601"/>
      <c r="K417" s="13">
        <f t="shared" si="108"/>
        <v>1</v>
      </c>
      <c r="L417" s="601"/>
      <c r="M417" s="13">
        <f t="shared" si="109"/>
        <v>1</v>
      </c>
      <c r="N417" s="601"/>
      <c r="O417" s="13">
        <f t="shared" si="110"/>
        <v>1</v>
      </c>
      <c r="P417" s="601"/>
      <c r="Q417" s="13">
        <f t="shared" si="111"/>
        <v>0.05</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0.02</v>
      </c>
      <c r="F418" s="601"/>
      <c r="G418" s="13">
        <f t="shared" si="106"/>
        <v>0.02</v>
      </c>
      <c r="H418" s="601"/>
      <c r="I418" s="13">
        <f t="shared" si="107"/>
        <v>1</v>
      </c>
      <c r="J418" s="601"/>
      <c r="K418" s="13">
        <f t="shared" si="108"/>
        <v>1</v>
      </c>
      <c r="L418" s="601"/>
      <c r="M418" s="13">
        <f t="shared" si="109"/>
        <v>1</v>
      </c>
      <c r="N418" s="601"/>
      <c r="O418" s="13">
        <f t="shared" si="110"/>
        <v>1</v>
      </c>
      <c r="P418" s="601"/>
      <c r="Q418" s="13">
        <f t="shared" si="111"/>
        <v>0.05</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0.02</v>
      </c>
      <c r="F419" s="601"/>
      <c r="G419" s="13">
        <f t="shared" si="106"/>
        <v>0.02</v>
      </c>
      <c r="H419" s="601"/>
      <c r="I419" s="13">
        <f t="shared" si="107"/>
        <v>1</v>
      </c>
      <c r="J419" s="601"/>
      <c r="K419" s="13">
        <f t="shared" si="108"/>
        <v>1</v>
      </c>
      <c r="L419" s="601"/>
      <c r="M419" s="13">
        <f t="shared" si="109"/>
        <v>1</v>
      </c>
      <c r="N419" s="601"/>
      <c r="O419" s="13">
        <f t="shared" si="110"/>
        <v>1</v>
      </c>
      <c r="P419" s="601"/>
      <c r="Q419" s="13">
        <f t="shared" si="111"/>
        <v>0.05</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0.02</v>
      </c>
      <c r="F420" s="601"/>
      <c r="G420" s="13">
        <f t="shared" si="106"/>
        <v>0.02</v>
      </c>
      <c r="H420" s="601"/>
      <c r="I420" s="13">
        <f t="shared" si="107"/>
        <v>1</v>
      </c>
      <c r="J420" s="601"/>
      <c r="K420" s="13">
        <f t="shared" si="108"/>
        <v>1</v>
      </c>
      <c r="L420" s="601"/>
      <c r="M420" s="13">
        <f t="shared" si="109"/>
        <v>1</v>
      </c>
      <c r="N420" s="601"/>
      <c r="O420" s="13">
        <f t="shared" si="110"/>
        <v>1</v>
      </c>
      <c r="P420" s="601"/>
      <c r="Q420" s="13">
        <f t="shared" si="111"/>
        <v>0.05</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0.02</v>
      </c>
      <c r="F421" s="601"/>
      <c r="G421" s="13">
        <f t="shared" si="106"/>
        <v>0.02</v>
      </c>
      <c r="H421" s="601"/>
      <c r="I421" s="13">
        <f t="shared" si="107"/>
        <v>1</v>
      </c>
      <c r="J421" s="601"/>
      <c r="K421" s="13">
        <f t="shared" si="108"/>
        <v>1</v>
      </c>
      <c r="L421" s="601"/>
      <c r="M421" s="13">
        <f t="shared" si="109"/>
        <v>1</v>
      </c>
      <c r="N421" s="601"/>
      <c r="O421" s="13">
        <f t="shared" si="110"/>
        <v>1</v>
      </c>
      <c r="P421" s="601"/>
      <c r="Q421" s="13">
        <f t="shared" si="111"/>
        <v>0.05</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0.02</v>
      </c>
      <c r="F422" s="601"/>
      <c r="G422" s="13">
        <f t="shared" si="106"/>
        <v>0.02</v>
      </c>
      <c r="H422" s="601"/>
      <c r="I422" s="13">
        <f t="shared" si="107"/>
        <v>1</v>
      </c>
      <c r="J422" s="601"/>
      <c r="K422" s="13">
        <f t="shared" si="108"/>
        <v>1</v>
      </c>
      <c r="L422" s="601"/>
      <c r="M422" s="13">
        <f t="shared" si="109"/>
        <v>1</v>
      </c>
      <c r="N422" s="601"/>
      <c r="O422" s="13">
        <f t="shared" si="110"/>
        <v>1</v>
      </c>
      <c r="P422" s="601"/>
      <c r="Q422" s="13">
        <f t="shared" si="111"/>
        <v>0.05</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0.02</v>
      </c>
      <c r="F423" s="601"/>
      <c r="G423" s="13">
        <f t="shared" si="106"/>
        <v>0.02</v>
      </c>
      <c r="H423" s="601"/>
      <c r="I423" s="13">
        <f t="shared" si="107"/>
        <v>1</v>
      </c>
      <c r="J423" s="601"/>
      <c r="K423" s="13">
        <f t="shared" si="108"/>
        <v>1</v>
      </c>
      <c r="L423" s="601"/>
      <c r="M423" s="13">
        <f t="shared" si="109"/>
        <v>1</v>
      </c>
      <c r="N423" s="601"/>
      <c r="O423" s="13">
        <f t="shared" si="110"/>
        <v>1</v>
      </c>
      <c r="P423" s="601"/>
      <c r="Q423" s="13">
        <f t="shared" si="111"/>
        <v>0.05</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0.02</v>
      </c>
      <c r="F424" s="601"/>
      <c r="G424" s="13">
        <f t="shared" si="106"/>
        <v>0.02</v>
      </c>
      <c r="H424" s="601"/>
      <c r="I424" s="13">
        <f t="shared" si="107"/>
        <v>1</v>
      </c>
      <c r="J424" s="601"/>
      <c r="K424" s="13">
        <f t="shared" si="108"/>
        <v>1</v>
      </c>
      <c r="L424" s="601"/>
      <c r="M424" s="13">
        <f t="shared" si="109"/>
        <v>1</v>
      </c>
      <c r="N424" s="601"/>
      <c r="O424" s="13">
        <f t="shared" si="110"/>
        <v>1</v>
      </c>
      <c r="P424" s="601"/>
      <c r="Q424" s="13">
        <f t="shared" si="111"/>
        <v>0.05</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0.02</v>
      </c>
      <c r="F425" s="601"/>
      <c r="G425" s="13">
        <f t="shared" si="106"/>
        <v>0.02</v>
      </c>
      <c r="H425" s="601"/>
      <c r="I425" s="13">
        <f t="shared" si="107"/>
        <v>1</v>
      </c>
      <c r="J425" s="601"/>
      <c r="K425" s="13">
        <f t="shared" si="108"/>
        <v>1</v>
      </c>
      <c r="L425" s="601"/>
      <c r="M425" s="13">
        <f t="shared" si="109"/>
        <v>1</v>
      </c>
      <c r="N425" s="601"/>
      <c r="O425" s="13">
        <f t="shared" si="110"/>
        <v>1</v>
      </c>
      <c r="P425" s="601"/>
      <c r="Q425" s="13">
        <f t="shared" si="111"/>
        <v>0.05</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0.02</v>
      </c>
      <c r="F426" s="601"/>
      <c r="G426" s="13">
        <f t="shared" si="106"/>
        <v>0.02</v>
      </c>
      <c r="H426" s="601"/>
      <c r="I426" s="13">
        <f t="shared" si="107"/>
        <v>1</v>
      </c>
      <c r="J426" s="601"/>
      <c r="K426" s="13">
        <f t="shared" si="108"/>
        <v>1</v>
      </c>
      <c r="L426" s="601"/>
      <c r="M426" s="13">
        <f t="shared" si="109"/>
        <v>1</v>
      </c>
      <c r="N426" s="601"/>
      <c r="O426" s="13">
        <f t="shared" si="110"/>
        <v>1</v>
      </c>
      <c r="P426" s="601"/>
      <c r="Q426" s="13">
        <f t="shared" si="111"/>
        <v>0.05</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0.02</v>
      </c>
      <c r="F427" s="601"/>
      <c r="G427" s="13">
        <f t="shared" si="106"/>
        <v>0.02</v>
      </c>
      <c r="H427" s="601"/>
      <c r="I427" s="13">
        <f t="shared" si="107"/>
        <v>1</v>
      </c>
      <c r="J427" s="601"/>
      <c r="K427" s="13">
        <f t="shared" si="108"/>
        <v>1</v>
      </c>
      <c r="L427" s="601"/>
      <c r="M427" s="13">
        <f t="shared" si="109"/>
        <v>1</v>
      </c>
      <c r="N427" s="601"/>
      <c r="O427" s="13">
        <f t="shared" si="110"/>
        <v>1</v>
      </c>
      <c r="P427" s="601"/>
      <c r="Q427" s="13">
        <f t="shared" si="111"/>
        <v>0.05</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0.02</v>
      </c>
      <c r="F428" s="601"/>
      <c r="G428" s="13">
        <f t="shared" si="106"/>
        <v>0.02</v>
      </c>
      <c r="H428" s="601"/>
      <c r="I428" s="13">
        <f t="shared" si="107"/>
        <v>1</v>
      </c>
      <c r="J428" s="601"/>
      <c r="K428" s="13">
        <f t="shared" si="108"/>
        <v>1</v>
      </c>
      <c r="L428" s="601"/>
      <c r="M428" s="13">
        <f t="shared" si="109"/>
        <v>1</v>
      </c>
      <c r="N428" s="601"/>
      <c r="O428" s="13">
        <f t="shared" si="110"/>
        <v>1</v>
      </c>
      <c r="P428" s="601"/>
      <c r="Q428" s="13">
        <f t="shared" si="111"/>
        <v>0.05</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0.02</v>
      </c>
      <c r="F429" s="601"/>
      <c r="G429" s="13">
        <f t="shared" si="106"/>
        <v>0.02</v>
      </c>
      <c r="H429" s="601"/>
      <c r="I429" s="13">
        <f t="shared" si="107"/>
        <v>1</v>
      </c>
      <c r="J429" s="601"/>
      <c r="K429" s="13">
        <f t="shared" si="108"/>
        <v>1</v>
      </c>
      <c r="L429" s="601"/>
      <c r="M429" s="13">
        <f t="shared" si="109"/>
        <v>1</v>
      </c>
      <c r="N429" s="601"/>
      <c r="O429" s="13">
        <f t="shared" si="110"/>
        <v>1</v>
      </c>
      <c r="P429" s="601"/>
      <c r="Q429" s="13">
        <f t="shared" si="111"/>
        <v>0.05</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0.02</v>
      </c>
      <c r="F430" s="601"/>
      <c r="G430" s="13">
        <f t="shared" si="106"/>
        <v>0.02</v>
      </c>
      <c r="H430" s="601"/>
      <c r="I430" s="13">
        <f t="shared" si="107"/>
        <v>1</v>
      </c>
      <c r="J430" s="601"/>
      <c r="K430" s="13">
        <f t="shared" si="108"/>
        <v>1</v>
      </c>
      <c r="L430" s="601"/>
      <c r="M430" s="13">
        <f t="shared" si="109"/>
        <v>1</v>
      </c>
      <c r="N430" s="601"/>
      <c r="O430" s="13">
        <f t="shared" si="110"/>
        <v>1</v>
      </c>
      <c r="P430" s="601"/>
      <c r="Q430" s="13">
        <f t="shared" si="111"/>
        <v>0.05</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0.02</v>
      </c>
      <c r="F431" s="601"/>
      <c r="G431" s="13">
        <f t="shared" si="106"/>
        <v>0.02</v>
      </c>
      <c r="H431" s="601"/>
      <c r="I431" s="13">
        <f t="shared" si="107"/>
        <v>1</v>
      </c>
      <c r="J431" s="601"/>
      <c r="K431" s="13">
        <f t="shared" si="108"/>
        <v>1</v>
      </c>
      <c r="L431" s="601"/>
      <c r="M431" s="13">
        <f t="shared" si="109"/>
        <v>1</v>
      </c>
      <c r="N431" s="601"/>
      <c r="O431" s="13">
        <f t="shared" si="110"/>
        <v>1</v>
      </c>
      <c r="P431" s="601"/>
      <c r="Q431" s="13">
        <f t="shared" si="111"/>
        <v>0.05</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0.02</v>
      </c>
      <c r="F432" s="601"/>
      <c r="G432" s="13">
        <f t="shared" si="106"/>
        <v>0.02</v>
      </c>
      <c r="H432" s="601"/>
      <c r="I432" s="13">
        <f t="shared" si="107"/>
        <v>1</v>
      </c>
      <c r="J432" s="601"/>
      <c r="K432" s="13">
        <f t="shared" si="108"/>
        <v>1</v>
      </c>
      <c r="L432" s="601"/>
      <c r="M432" s="13">
        <f t="shared" si="109"/>
        <v>1</v>
      </c>
      <c r="N432" s="601"/>
      <c r="O432" s="13">
        <f t="shared" si="110"/>
        <v>1</v>
      </c>
      <c r="P432" s="601"/>
      <c r="Q432" s="13">
        <f t="shared" si="111"/>
        <v>0.05</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0.02</v>
      </c>
      <c r="F433" s="601"/>
      <c r="G433" s="13">
        <f t="shared" si="106"/>
        <v>0.02</v>
      </c>
      <c r="H433" s="601"/>
      <c r="I433" s="13">
        <f t="shared" si="107"/>
        <v>1</v>
      </c>
      <c r="J433" s="601"/>
      <c r="K433" s="13">
        <f t="shared" si="108"/>
        <v>1</v>
      </c>
      <c r="L433" s="601"/>
      <c r="M433" s="13">
        <f t="shared" si="109"/>
        <v>1</v>
      </c>
      <c r="N433" s="601"/>
      <c r="O433" s="13">
        <f t="shared" si="110"/>
        <v>1</v>
      </c>
      <c r="P433" s="601"/>
      <c r="Q433" s="13">
        <f t="shared" si="111"/>
        <v>0.05</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0.02</v>
      </c>
      <c r="F434" s="601"/>
      <c r="G434" s="13">
        <f t="shared" si="106"/>
        <v>0.02</v>
      </c>
      <c r="H434" s="601"/>
      <c r="I434" s="13">
        <f t="shared" si="107"/>
        <v>1</v>
      </c>
      <c r="J434" s="601"/>
      <c r="K434" s="13">
        <f t="shared" si="108"/>
        <v>1</v>
      </c>
      <c r="L434" s="601"/>
      <c r="M434" s="13">
        <f t="shared" si="109"/>
        <v>1</v>
      </c>
      <c r="N434" s="601"/>
      <c r="O434" s="13">
        <f t="shared" si="110"/>
        <v>1</v>
      </c>
      <c r="P434" s="601"/>
      <c r="Q434" s="13">
        <f t="shared" si="111"/>
        <v>0.05</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0.02</v>
      </c>
      <c r="F435" s="601"/>
      <c r="G435" s="13">
        <f t="shared" si="106"/>
        <v>0.02</v>
      </c>
      <c r="H435" s="601"/>
      <c r="I435" s="13">
        <f t="shared" si="107"/>
        <v>1</v>
      </c>
      <c r="J435" s="601"/>
      <c r="K435" s="13">
        <f t="shared" si="108"/>
        <v>1</v>
      </c>
      <c r="L435" s="601"/>
      <c r="M435" s="13">
        <f t="shared" si="109"/>
        <v>1</v>
      </c>
      <c r="N435" s="601"/>
      <c r="O435" s="13">
        <f t="shared" si="110"/>
        <v>1</v>
      </c>
      <c r="P435" s="601"/>
      <c r="Q435" s="13">
        <f t="shared" si="111"/>
        <v>0.05</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0.02</v>
      </c>
      <c r="F436" s="601"/>
      <c r="G436" s="13">
        <f t="shared" si="106"/>
        <v>0.02</v>
      </c>
      <c r="H436" s="601"/>
      <c r="I436" s="13">
        <f t="shared" si="107"/>
        <v>1</v>
      </c>
      <c r="J436" s="601"/>
      <c r="K436" s="13">
        <f t="shared" si="108"/>
        <v>1</v>
      </c>
      <c r="L436" s="601"/>
      <c r="M436" s="13">
        <f t="shared" si="109"/>
        <v>1</v>
      </c>
      <c r="N436" s="601"/>
      <c r="O436" s="13">
        <f t="shared" si="110"/>
        <v>1</v>
      </c>
      <c r="P436" s="601"/>
      <c r="Q436" s="13">
        <f t="shared" si="111"/>
        <v>0.05</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0.02</v>
      </c>
      <c r="F437" s="601"/>
      <c r="G437" s="13">
        <f t="shared" si="106"/>
        <v>0.02</v>
      </c>
      <c r="H437" s="601"/>
      <c r="I437" s="13">
        <f t="shared" si="107"/>
        <v>1</v>
      </c>
      <c r="J437" s="601"/>
      <c r="K437" s="13">
        <f t="shared" si="108"/>
        <v>1</v>
      </c>
      <c r="L437" s="601"/>
      <c r="M437" s="13">
        <f t="shared" si="109"/>
        <v>1</v>
      </c>
      <c r="N437" s="601"/>
      <c r="O437" s="13">
        <f t="shared" si="110"/>
        <v>1</v>
      </c>
      <c r="P437" s="601"/>
      <c r="Q437" s="13">
        <f t="shared" si="111"/>
        <v>0.05</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0.02</v>
      </c>
      <c r="F438" s="601"/>
      <c r="G438" s="13">
        <f t="shared" si="106"/>
        <v>0.02</v>
      </c>
      <c r="H438" s="601"/>
      <c r="I438" s="13">
        <f t="shared" si="107"/>
        <v>1</v>
      </c>
      <c r="J438" s="601"/>
      <c r="K438" s="13">
        <f t="shared" si="108"/>
        <v>1</v>
      </c>
      <c r="L438" s="601"/>
      <c r="M438" s="13">
        <f t="shared" si="109"/>
        <v>1</v>
      </c>
      <c r="N438" s="601"/>
      <c r="O438" s="13">
        <f t="shared" si="110"/>
        <v>1</v>
      </c>
      <c r="P438" s="601"/>
      <c r="Q438" s="13">
        <f t="shared" si="111"/>
        <v>0.05</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0.02</v>
      </c>
      <c r="F439" s="601"/>
      <c r="G439" s="13">
        <f t="shared" si="106"/>
        <v>0.02</v>
      </c>
      <c r="H439" s="601"/>
      <c r="I439" s="13">
        <f t="shared" si="107"/>
        <v>1</v>
      </c>
      <c r="J439" s="601"/>
      <c r="K439" s="13">
        <f t="shared" si="108"/>
        <v>1</v>
      </c>
      <c r="L439" s="601"/>
      <c r="M439" s="13">
        <f t="shared" si="109"/>
        <v>1</v>
      </c>
      <c r="N439" s="601"/>
      <c r="O439" s="13">
        <f t="shared" si="110"/>
        <v>1</v>
      </c>
      <c r="P439" s="601"/>
      <c r="Q439" s="13">
        <f t="shared" si="111"/>
        <v>0.05</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0.02</v>
      </c>
      <c r="F440" s="601"/>
      <c r="G440" s="13">
        <f t="shared" si="106"/>
        <v>0.02</v>
      </c>
      <c r="H440" s="601"/>
      <c r="I440" s="13">
        <f t="shared" si="107"/>
        <v>1</v>
      </c>
      <c r="J440" s="601"/>
      <c r="K440" s="13">
        <f t="shared" si="108"/>
        <v>1</v>
      </c>
      <c r="L440" s="601"/>
      <c r="M440" s="13">
        <f t="shared" si="109"/>
        <v>1</v>
      </c>
      <c r="N440" s="601"/>
      <c r="O440" s="13">
        <f t="shared" si="110"/>
        <v>1</v>
      </c>
      <c r="P440" s="601"/>
      <c r="Q440" s="13">
        <f t="shared" si="111"/>
        <v>0.05</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0.02</v>
      </c>
      <c r="F441" s="601"/>
      <c r="G441" s="13">
        <f t="shared" si="106"/>
        <v>0.02</v>
      </c>
      <c r="H441" s="601"/>
      <c r="I441" s="13">
        <f t="shared" si="107"/>
        <v>1</v>
      </c>
      <c r="J441" s="601"/>
      <c r="K441" s="13">
        <f t="shared" si="108"/>
        <v>1</v>
      </c>
      <c r="L441" s="601"/>
      <c r="M441" s="13">
        <f t="shared" si="109"/>
        <v>1</v>
      </c>
      <c r="N441" s="601"/>
      <c r="O441" s="13">
        <f t="shared" si="110"/>
        <v>1</v>
      </c>
      <c r="P441" s="601"/>
      <c r="Q441" s="13">
        <f t="shared" si="111"/>
        <v>0.05</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0.02</v>
      </c>
      <c r="F442" s="601"/>
      <c r="G442" s="13">
        <f t="shared" si="106"/>
        <v>0.02</v>
      </c>
      <c r="H442" s="601"/>
      <c r="I442" s="13">
        <f t="shared" si="107"/>
        <v>1</v>
      </c>
      <c r="J442" s="601"/>
      <c r="K442" s="13">
        <f t="shared" si="108"/>
        <v>1</v>
      </c>
      <c r="L442" s="601"/>
      <c r="M442" s="13">
        <f t="shared" si="109"/>
        <v>1</v>
      </c>
      <c r="N442" s="601"/>
      <c r="O442" s="13">
        <f t="shared" si="110"/>
        <v>1</v>
      </c>
      <c r="P442" s="601"/>
      <c r="Q442" s="13">
        <f t="shared" si="111"/>
        <v>0.05</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0.02</v>
      </c>
      <c r="F443" s="601"/>
      <c r="G443" s="13">
        <f t="shared" si="106"/>
        <v>0.02</v>
      </c>
      <c r="H443" s="601"/>
      <c r="I443" s="13">
        <f t="shared" si="107"/>
        <v>1</v>
      </c>
      <c r="J443" s="601"/>
      <c r="K443" s="13">
        <f t="shared" si="108"/>
        <v>1</v>
      </c>
      <c r="L443" s="601"/>
      <c r="M443" s="13">
        <f t="shared" si="109"/>
        <v>1</v>
      </c>
      <c r="N443" s="601"/>
      <c r="O443" s="13">
        <f t="shared" si="110"/>
        <v>1</v>
      </c>
      <c r="P443" s="601"/>
      <c r="Q443" s="13">
        <f t="shared" si="111"/>
        <v>0.05</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0.02</v>
      </c>
      <c r="F444" s="601"/>
      <c r="G444" s="13">
        <f t="shared" si="106"/>
        <v>0.02</v>
      </c>
      <c r="H444" s="601"/>
      <c r="I444" s="13">
        <f t="shared" si="107"/>
        <v>1</v>
      </c>
      <c r="J444" s="601"/>
      <c r="K444" s="13">
        <f t="shared" si="108"/>
        <v>1</v>
      </c>
      <c r="L444" s="601"/>
      <c r="M444" s="13">
        <f t="shared" si="109"/>
        <v>1</v>
      </c>
      <c r="N444" s="601"/>
      <c r="O444" s="13">
        <f t="shared" si="110"/>
        <v>1</v>
      </c>
      <c r="P444" s="601"/>
      <c r="Q444" s="13">
        <f t="shared" si="111"/>
        <v>0.05</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0.02</v>
      </c>
      <c r="F445" s="601"/>
      <c r="G445" s="13">
        <f t="shared" si="106"/>
        <v>0.02</v>
      </c>
      <c r="H445" s="601"/>
      <c r="I445" s="13">
        <f t="shared" si="107"/>
        <v>1</v>
      </c>
      <c r="J445" s="601"/>
      <c r="K445" s="13">
        <f t="shared" si="108"/>
        <v>1</v>
      </c>
      <c r="L445" s="601"/>
      <c r="M445" s="13">
        <f t="shared" si="109"/>
        <v>1</v>
      </c>
      <c r="N445" s="601"/>
      <c r="O445" s="13">
        <f t="shared" si="110"/>
        <v>1</v>
      </c>
      <c r="P445" s="601"/>
      <c r="Q445" s="13">
        <f t="shared" si="111"/>
        <v>0.05</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0.02</v>
      </c>
      <c r="F446" s="601"/>
      <c r="G446" s="13">
        <f t="shared" si="106"/>
        <v>0.02</v>
      </c>
      <c r="H446" s="601"/>
      <c r="I446" s="13">
        <f t="shared" si="107"/>
        <v>1</v>
      </c>
      <c r="J446" s="601"/>
      <c r="K446" s="13">
        <f t="shared" si="108"/>
        <v>1</v>
      </c>
      <c r="L446" s="601"/>
      <c r="M446" s="13">
        <f t="shared" si="109"/>
        <v>1</v>
      </c>
      <c r="N446" s="601"/>
      <c r="O446" s="13">
        <f t="shared" si="110"/>
        <v>1</v>
      </c>
      <c r="P446" s="601"/>
      <c r="Q446" s="13">
        <f t="shared" si="111"/>
        <v>0.05</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0.02</v>
      </c>
      <c r="F447" s="601"/>
      <c r="G447" s="13">
        <f t="shared" si="106"/>
        <v>0.02</v>
      </c>
      <c r="H447" s="601"/>
      <c r="I447" s="13">
        <f t="shared" si="107"/>
        <v>1</v>
      </c>
      <c r="J447" s="601"/>
      <c r="K447" s="13">
        <f t="shared" si="108"/>
        <v>1</v>
      </c>
      <c r="L447" s="601"/>
      <c r="M447" s="13">
        <f t="shared" si="109"/>
        <v>1</v>
      </c>
      <c r="N447" s="601"/>
      <c r="O447" s="13">
        <f t="shared" si="110"/>
        <v>1</v>
      </c>
      <c r="P447" s="601"/>
      <c r="Q447" s="13">
        <f t="shared" si="111"/>
        <v>0.05</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0.02</v>
      </c>
      <c r="F448" s="601"/>
      <c r="G448" s="13">
        <f t="shared" si="106"/>
        <v>0.02</v>
      </c>
      <c r="H448" s="601"/>
      <c r="I448" s="13">
        <f t="shared" si="107"/>
        <v>1</v>
      </c>
      <c r="J448" s="601"/>
      <c r="K448" s="13">
        <f t="shared" si="108"/>
        <v>1</v>
      </c>
      <c r="L448" s="601"/>
      <c r="M448" s="13">
        <f t="shared" si="109"/>
        <v>1</v>
      </c>
      <c r="N448" s="601"/>
      <c r="O448" s="13">
        <f t="shared" si="110"/>
        <v>1</v>
      </c>
      <c r="P448" s="601"/>
      <c r="Q448" s="13">
        <f t="shared" si="111"/>
        <v>0.05</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0.02</v>
      </c>
      <c r="F449" s="601"/>
      <c r="G449" s="13">
        <f t="shared" si="106"/>
        <v>0.02</v>
      </c>
      <c r="H449" s="601"/>
      <c r="I449" s="13">
        <f t="shared" si="107"/>
        <v>1</v>
      </c>
      <c r="J449" s="601"/>
      <c r="K449" s="13">
        <f t="shared" si="108"/>
        <v>1</v>
      </c>
      <c r="L449" s="601"/>
      <c r="M449" s="13">
        <f t="shared" si="109"/>
        <v>1</v>
      </c>
      <c r="N449" s="601"/>
      <c r="O449" s="13">
        <f t="shared" si="110"/>
        <v>1</v>
      </c>
      <c r="P449" s="601"/>
      <c r="Q449" s="13">
        <f t="shared" si="111"/>
        <v>0.05</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0.02</v>
      </c>
      <c r="F450" s="601"/>
      <c r="G450" s="13">
        <f t="shared" si="106"/>
        <v>0.02</v>
      </c>
      <c r="H450" s="601"/>
      <c r="I450" s="13">
        <f t="shared" si="107"/>
        <v>1</v>
      </c>
      <c r="J450" s="601"/>
      <c r="K450" s="13">
        <f t="shared" si="108"/>
        <v>1</v>
      </c>
      <c r="L450" s="601"/>
      <c r="M450" s="13">
        <f t="shared" si="109"/>
        <v>1</v>
      </c>
      <c r="N450" s="601"/>
      <c r="O450" s="13">
        <f t="shared" si="110"/>
        <v>1</v>
      </c>
      <c r="P450" s="601"/>
      <c r="Q450" s="13">
        <f t="shared" si="111"/>
        <v>0.05</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0.02</v>
      </c>
      <c r="F451" s="601"/>
      <c r="G451" s="13">
        <f t="shared" si="106"/>
        <v>0.02</v>
      </c>
      <c r="H451" s="601"/>
      <c r="I451" s="13">
        <f t="shared" si="107"/>
        <v>1</v>
      </c>
      <c r="J451" s="601"/>
      <c r="K451" s="13">
        <f t="shared" si="108"/>
        <v>1</v>
      </c>
      <c r="L451" s="601"/>
      <c r="M451" s="13">
        <f t="shared" si="109"/>
        <v>1</v>
      </c>
      <c r="N451" s="601"/>
      <c r="O451" s="13">
        <f t="shared" si="110"/>
        <v>1</v>
      </c>
      <c r="P451" s="601"/>
      <c r="Q451" s="13">
        <f t="shared" si="111"/>
        <v>0.05</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0.02</v>
      </c>
      <c r="F452" s="601"/>
      <c r="G452" s="13">
        <f t="shared" si="106"/>
        <v>0.02</v>
      </c>
      <c r="H452" s="601"/>
      <c r="I452" s="13">
        <f t="shared" si="107"/>
        <v>1</v>
      </c>
      <c r="J452" s="601"/>
      <c r="K452" s="13">
        <f t="shared" si="108"/>
        <v>1</v>
      </c>
      <c r="L452" s="601"/>
      <c r="M452" s="13">
        <f t="shared" si="109"/>
        <v>1</v>
      </c>
      <c r="N452" s="601"/>
      <c r="O452" s="13">
        <f t="shared" si="110"/>
        <v>1</v>
      </c>
      <c r="P452" s="601"/>
      <c r="Q452" s="13">
        <f t="shared" si="111"/>
        <v>0.05</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0.02</v>
      </c>
      <c r="F453" s="601"/>
      <c r="G453" s="13">
        <f t="shared" si="106"/>
        <v>0.02</v>
      </c>
      <c r="H453" s="601"/>
      <c r="I453" s="13">
        <f t="shared" si="107"/>
        <v>1</v>
      </c>
      <c r="J453" s="601"/>
      <c r="K453" s="13">
        <f t="shared" si="108"/>
        <v>1</v>
      </c>
      <c r="L453" s="601"/>
      <c r="M453" s="13">
        <f t="shared" si="109"/>
        <v>1</v>
      </c>
      <c r="N453" s="601"/>
      <c r="O453" s="13">
        <f t="shared" si="110"/>
        <v>1</v>
      </c>
      <c r="P453" s="601"/>
      <c r="Q453" s="13">
        <f t="shared" si="111"/>
        <v>0.05</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0.02</v>
      </c>
      <c r="F454" s="601"/>
      <c r="G454" s="13">
        <f t="shared" si="106"/>
        <v>0.02</v>
      </c>
      <c r="H454" s="601"/>
      <c r="I454" s="13">
        <f t="shared" si="107"/>
        <v>1</v>
      </c>
      <c r="J454" s="601"/>
      <c r="K454" s="13">
        <f t="shared" si="108"/>
        <v>1</v>
      </c>
      <c r="L454" s="601"/>
      <c r="M454" s="13">
        <f t="shared" si="109"/>
        <v>1</v>
      </c>
      <c r="N454" s="601"/>
      <c r="O454" s="13">
        <f t="shared" si="110"/>
        <v>1</v>
      </c>
      <c r="P454" s="601"/>
      <c r="Q454" s="13">
        <f t="shared" si="111"/>
        <v>0.05</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0.02</v>
      </c>
      <c r="F455" s="601"/>
      <c r="G455" s="13">
        <f t="shared" si="106"/>
        <v>0.02</v>
      </c>
      <c r="H455" s="601"/>
      <c r="I455" s="13">
        <f t="shared" si="107"/>
        <v>1</v>
      </c>
      <c r="J455" s="601"/>
      <c r="K455" s="13">
        <f t="shared" si="108"/>
        <v>1</v>
      </c>
      <c r="L455" s="601"/>
      <c r="M455" s="13">
        <f t="shared" si="109"/>
        <v>1</v>
      </c>
      <c r="N455" s="601"/>
      <c r="O455" s="13">
        <f t="shared" si="110"/>
        <v>1</v>
      </c>
      <c r="P455" s="601"/>
      <c r="Q455" s="13">
        <f t="shared" si="111"/>
        <v>0.05</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0.02</v>
      </c>
      <c r="F456" s="601"/>
      <c r="G456" s="13">
        <f t="shared" si="106"/>
        <v>0.02</v>
      </c>
      <c r="H456" s="601"/>
      <c r="I456" s="13">
        <f t="shared" si="107"/>
        <v>1</v>
      </c>
      <c r="J456" s="601"/>
      <c r="K456" s="13">
        <f t="shared" si="108"/>
        <v>1</v>
      </c>
      <c r="L456" s="601"/>
      <c r="M456" s="13">
        <f t="shared" si="109"/>
        <v>1</v>
      </c>
      <c r="N456" s="601"/>
      <c r="O456" s="13">
        <f t="shared" si="110"/>
        <v>1</v>
      </c>
      <c r="P456" s="601"/>
      <c r="Q456" s="13">
        <f t="shared" si="111"/>
        <v>0.05</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0.02</v>
      </c>
      <c r="F457" s="601"/>
      <c r="G457" s="13">
        <f t="shared" si="106"/>
        <v>0.02</v>
      </c>
      <c r="H457" s="601"/>
      <c r="I457" s="13">
        <f t="shared" si="107"/>
        <v>1</v>
      </c>
      <c r="J457" s="601"/>
      <c r="K457" s="13">
        <f t="shared" si="108"/>
        <v>1</v>
      </c>
      <c r="L457" s="601"/>
      <c r="M457" s="13">
        <f t="shared" si="109"/>
        <v>1</v>
      </c>
      <c r="N457" s="601"/>
      <c r="O457" s="13">
        <f t="shared" si="110"/>
        <v>1</v>
      </c>
      <c r="P457" s="601"/>
      <c r="Q457" s="13">
        <f t="shared" si="111"/>
        <v>0.05</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0.02</v>
      </c>
      <c r="F458" s="601"/>
      <c r="G458" s="13">
        <f t="shared" si="106"/>
        <v>0.02</v>
      </c>
      <c r="H458" s="601"/>
      <c r="I458" s="13">
        <f t="shared" si="107"/>
        <v>1</v>
      </c>
      <c r="J458" s="601"/>
      <c r="K458" s="13">
        <f t="shared" si="108"/>
        <v>1</v>
      </c>
      <c r="L458" s="601"/>
      <c r="M458" s="13">
        <f t="shared" si="109"/>
        <v>1</v>
      </c>
      <c r="N458" s="601"/>
      <c r="O458" s="13">
        <f t="shared" si="110"/>
        <v>1</v>
      </c>
      <c r="P458" s="601"/>
      <c r="Q458" s="13">
        <f t="shared" si="111"/>
        <v>0.05</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0.02</v>
      </c>
      <c r="F459" s="601"/>
      <c r="G459" s="13">
        <f t="shared" si="106"/>
        <v>0.02</v>
      </c>
      <c r="H459" s="601"/>
      <c r="I459" s="13">
        <f t="shared" si="107"/>
        <v>1</v>
      </c>
      <c r="J459" s="601"/>
      <c r="K459" s="13">
        <f t="shared" si="108"/>
        <v>1</v>
      </c>
      <c r="L459" s="601"/>
      <c r="M459" s="13">
        <f t="shared" si="109"/>
        <v>1</v>
      </c>
      <c r="N459" s="601"/>
      <c r="O459" s="13">
        <f t="shared" si="110"/>
        <v>1</v>
      </c>
      <c r="P459" s="601"/>
      <c r="Q459" s="13">
        <f t="shared" si="111"/>
        <v>0.05</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0.02</v>
      </c>
      <c r="F460" s="601"/>
      <c r="G460" s="13">
        <f t="shared" si="106"/>
        <v>0.02</v>
      </c>
      <c r="H460" s="601"/>
      <c r="I460" s="13">
        <f t="shared" si="107"/>
        <v>1</v>
      </c>
      <c r="J460" s="601"/>
      <c r="K460" s="13">
        <f t="shared" si="108"/>
        <v>1</v>
      </c>
      <c r="L460" s="601"/>
      <c r="M460" s="13">
        <f t="shared" si="109"/>
        <v>1</v>
      </c>
      <c r="N460" s="601"/>
      <c r="O460" s="13">
        <f t="shared" si="110"/>
        <v>1</v>
      </c>
      <c r="P460" s="601"/>
      <c r="Q460" s="13">
        <f t="shared" si="111"/>
        <v>0.05</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0.02</v>
      </c>
      <c r="F461" s="601"/>
      <c r="G461" s="13">
        <f t="shared" si="106"/>
        <v>0.02</v>
      </c>
      <c r="H461" s="601"/>
      <c r="I461" s="13">
        <f t="shared" si="107"/>
        <v>1</v>
      </c>
      <c r="J461" s="601"/>
      <c r="K461" s="13">
        <f t="shared" si="108"/>
        <v>1</v>
      </c>
      <c r="L461" s="601"/>
      <c r="M461" s="13">
        <f t="shared" si="109"/>
        <v>1</v>
      </c>
      <c r="N461" s="601"/>
      <c r="O461" s="13">
        <f t="shared" si="110"/>
        <v>1</v>
      </c>
      <c r="P461" s="601"/>
      <c r="Q461" s="13">
        <f t="shared" si="111"/>
        <v>0.05</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0.02</v>
      </c>
      <c r="F462" s="601"/>
      <c r="G462" s="13">
        <f t="shared" si="106"/>
        <v>0.02</v>
      </c>
      <c r="H462" s="601"/>
      <c r="I462" s="13">
        <f t="shared" si="107"/>
        <v>1</v>
      </c>
      <c r="J462" s="601"/>
      <c r="K462" s="13">
        <f t="shared" si="108"/>
        <v>1</v>
      </c>
      <c r="L462" s="601"/>
      <c r="M462" s="13">
        <f t="shared" si="109"/>
        <v>1</v>
      </c>
      <c r="N462" s="601"/>
      <c r="O462" s="13">
        <f t="shared" si="110"/>
        <v>1</v>
      </c>
      <c r="P462" s="601"/>
      <c r="Q462" s="13">
        <f t="shared" si="111"/>
        <v>0.05</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0.02</v>
      </c>
      <c r="F463" s="601"/>
      <c r="G463" s="13">
        <f t="shared" si="106"/>
        <v>0.02</v>
      </c>
      <c r="H463" s="601"/>
      <c r="I463" s="13">
        <f t="shared" si="107"/>
        <v>1</v>
      </c>
      <c r="J463" s="601"/>
      <c r="K463" s="13">
        <f t="shared" si="108"/>
        <v>1</v>
      </c>
      <c r="L463" s="601"/>
      <c r="M463" s="13">
        <f t="shared" si="109"/>
        <v>1</v>
      </c>
      <c r="N463" s="601"/>
      <c r="O463" s="13">
        <f t="shared" si="110"/>
        <v>1</v>
      </c>
      <c r="P463" s="601"/>
      <c r="Q463" s="13">
        <f t="shared" si="111"/>
        <v>0.05</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0.02</v>
      </c>
      <c r="F464" s="601"/>
      <c r="G464" s="13">
        <f t="shared" si="106"/>
        <v>0.02</v>
      </c>
      <c r="H464" s="601"/>
      <c r="I464" s="13">
        <f t="shared" si="107"/>
        <v>1</v>
      </c>
      <c r="J464" s="601"/>
      <c r="K464" s="13">
        <f t="shared" si="108"/>
        <v>1</v>
      </c>
      <c r="L464" s="601"/>
      <c r="M464" s="13">
        <f t="shared" si="109"/>
        <v>1</v>
      </c>
      <c r="N464" s="601"/>
      <c r="O464" s="13">
        <f t="shared" si="110"/>
        <v>1</v>
      </c>
      <c r="P464" s="601"/>
      <c r="Q464" s="13">
        <f t="shared" si="111"/>
        <v>0.05</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0.02</v>
      </c>
      <c r="F465" s="601"/>
      <c r="G465" s="13">
        <f t="shared" si="106"/>
        <v>0.02</v>
      </c>
      <c r="H465" s="601"/>
      <c r="I465" s="13">
        <f t="shared" si="107"/>
        <v>1</v>
      </c>
      <c r="J465" s="601"/>
      <c r="K465" s="13">
        <f t="shared" si="108"/>
        <v>1</v>
      </c>
      <c r="L465" s="601"/>
      <c r="M465" s="13">
        <f t="shared" si="109"/>
        <v>1</v>
      </c>
      <c r="N465" s="601"/>
      <c r="O465" s="13">
        <f t="shared" si="110"/>
        <v>1</v>
      </c>
      <c r="P465" s="601"/>
      <c r="Q465" s="13">
        <f t="shared" si="111"/>
        <v>0.05</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0.02</v>
      </c>
      <c r="F466" s="601"/>
      <c r="G466" s="13">
        <f t="shared" si="106"/>
        <v>0.02</v>
      </c>
      <c r="H466" s="601"/>
      <c r="I466" s="13">
        <f t="shared" si="107"/>
        <v>1</v>
      </c>
      <c r="J466" s="601"/>
      <c r="K466" s="13">
        <f t="shared" si="108"/>
        <v>1</v>
      </c>
      <c r="L466" s="601"/>
      <c r="M466" s="13">
        <f t="shared" si="109"/>
        <v>1</v>
      </c>
      <c r="N466" s="601"/>
      <c r="O466" s="13">
        <f t="shared" si="110"/>
        <v>1</v>
      </c>
      <c r="P466" s="601"/>
      <c r="Q466" s="13">
        <f t="shared" si="111"/>
        <v>0.05</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0.02</v>
      </c>
      <c r="F467" s="601"/>
      <c r="G467" s="13">
        <f t="shared" si="106"/>
        <v>0.02</v>
      </c>
      <c r="H467" s="601"/>
      <c r="I467" s="13">
        <f t="shared" si="107"/>
        <v>1</v>
      </c>
      <c r="J467" s="601"/>
      <c r="K467" s="13">
        <f t="shared" si="108"/>
        <v>1</v>
      </c>
      <c r="L467" s="601"/>
      <c r="M467" s="13">
        <f t="shared" si="109"/>
        <v>1</v>
      </c>
      <c r="N467" s="601"/>
      <c r="O467" s="13">
        <f t="shared" si="110"/>
        <v>1</v>
      </c>
      <c r="P467" s="601"/>
      <c r="Q467" s="13">
        <f t="shared" si="111"/>
        <v>0.05</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0.02</v>
      </c>
      <c r="F468" s="601"/>
      <c r="G468" s="13">
        <f t="shared" si="106"/>
        <v>0.02</v>
      </c>
      <c r="H468" s="601"/>
      <c r="I468" s="13">
        <f t="shared" si="107"/>
        <v>1</v>
      </c>
      <c r="J468" s="601"/>
      <c r="K468" s="13">
        <f t="shared" si="108"/>
        <v>1</v>
      </c>
      <c r="L468" s="601"/>
      <c r="M468" s="13">
        <f t="shared" si="109"/>
        <v>1</v>
      </c>
      <c r="N468" s="601"/>
      <c r="O468" s="13">
        <f t="shared" si="110"/>
        <v>1</v>
      </c>
      <c r="P468" s="601"/>
      <c r="Q468" s="13">
        <f t="shared" si="111"/>
        <v>0.05</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0.02</v>
      </c>
      <c r="F469" s="601"/>
      <c r="G469" s="13">
        <f t="shared" si="106"/>
        <v>0.02</v>
      </c>
      <c r="H469" s="601"/>
      <c r="I469" s="13">
        <f t="shared" si="107"/>
        <v>1</v>
      </c>
      <c r="J469" s="601"/>
      <c r="K469" s="13">
        <f t="shared" si="108"/>
        <v>1</v>
      </c>
      <c r="L469" s="601"/>
      <c r="M469" s="13">
        <f t="shared" si="109"/>
        <v>1</v>
      </c>
      <c r="N469" s="601"/>
      <c r="O469" s="13">
        <f t="shared" si="110"/>
        <v>1</v>
      </c>
      <c r="P469" s="601"/>
      <c r="Q469" s="13">
        <f t="shared" si="111"/>
        <v>0.05</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0.02</v>
      </c>
      <c r="F470" s="601"/>
      <c r="G470" s="13">
        <f t="shared" si="106"/>
        <v>0.02</v>
      </c>
      <c r="H470" s="601"/>
      <c r="I470" s="13">
        <f t="shared" si="107"/>
        <v>1</v>
      </c>
      <c r="J470" s="601"/>
      <c r="K470" s="13">
        <f t="shared" si="108"/>
        <v>1</v>
      </c>
      <c r="L470" s="601"/>
      <c r="M470" s="13">
        <f t="shared" si="109"/>
        <v>1</v>
      </c>
      <c r="N470" s="601"/>
      <c r="O470" s="13">
        <f t="shared" si="110"/>
        <v>1</v>
      </c>
      <c r="P470" s="601"/>
      <c r="Q470" s="13">
        <f t="shared" si="111"/>
        <v>0.05</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0.02</v>
      </c>
      <c r="F471" s="601"/>
      <c r="G471" s="13">
        <f t="shared" si="106"/>
        <v>0.02</v>
      </c>
      <c r="H471" s="601"/>
      <c r="I471" s="13">
        <f t="shared" si="107"/>
        <v>1</v>
      </c>
      <c r="J471" s="601"/>
      <c r="K471" s="13">
        <f t="shared" si="108"/>
        <v>1</v>
      </c>
      <c r="L471" s="601"/>
      <c r="M471" s="13">
        <f t="shared" si="109"/>
        <v>1</v>
      </c>
      <c r="N471" s="601"/>
      <c r="O471" s="13">
        <f t="shared" si="110"/>
        <v>1</v>
      </c>
      <c r="P471" s="601"/>
      <c r="Q471" s="13">
        <f t="shared" si="111"/>
        <v>0.05</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0.02</v>
      </c>
      <c r="F472" s="601"/>
      <c r="G472" s="13">
        <f t="shared" si="106"/>
        <v>0.02</v>
      </c>
      <c r="H472" s="601"/>
      <c r="I472" s="13">
        <f t="shared" si="107"/>
        <v>1</v>
      </c>
      <c r="J472" s="601"/>
      <c r="K472" s="13">
        <f t="shared" si="108"/>
        <v>1</v>
      </c>
      <c r="L472" s="601"/>
      <c r="M472" s="13">
        <f t="shared" si="109"/>
        <v>1</v>
      </c>
      <c r="N472" s="601"/>
      <c r="O472" s="13">
        <f t="shared" si="110"/>
        <v>1</v>
      </c>
      <c r="P472" s="601"/>
      <c r="Q472" s="13">
        <f t="shared" si="111"/>
        <v>0.05</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0.02</v>
      </c>
      <c r="F473" s="601"/>
      <c r="G473" s="13">
        <f t="shared" si="106"/>
        <v>0.02</v>
      </c>
      <c r="H473" s="601"/>
      <c r="I473" s="13">
        <f t="shared" si="107"/>
        <v>1</v>
      </c>
      <c r="J473" s="601"/>
      <c r="K473" s="13">
        <f t="shared" si="108"/>
        <v>1</v>
      </c>
      <c r="L473" s="601"/>
      <c r="M473" s="13">
        <f t="shared" si="109"/>
        <v>1</v>
      </c>
      <c r="N473" s="601"/>
      <c r="O473" s="13">
        <f t="shared" si="110"/>
        <v>1</v>
      </c>
      <c r="P473" s="601"/>
      <c r="Q473" s="13">
        <f t="shared" si="111"/>
        <v>0.05</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0.02</v>
      </c>
      <c r="F474" s="601"/>
      <c r="G474" s="13">
        <f t="shared" si="106"/>
        <v>0.02</v>
      </c>
      <c r="H474" s="601"/>
      <c r="I474" s="13">
        <f t="shared" si="107"/>
        <v>1</v>
      </c>
      <c r="J474" s="601"/>
      <c r="K474" s="13">
        <f t="shared" si="108"/>
        <v>1</v>
      </c>
      <c r="L474" s="601"/>
      <c r="M474" s="13">
        <f t="shared" si="109"/>
        <v>1</v>
      </c>
      <c r="N474" s="601"/>
      <c r="O474" s="13">
        <f t="shared" si="110"/>
        <v>1</v>
      </c>
      <c r="P474" s="601"/>
      <c r="Q474" s="13">
        <f t="shared" si="111"/>
        <v>0.05</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0.02</v>
      </c>
      <c r="F475" s="601"/>
      <c r="G475" s="13">
        <f t="shared" si="106"/>
        <v>0.02</v>
      </c>
      <c r="H475" s="601"/>
      <c r="I475" s="13">
        <f t="shared" si="107"/>
        <v>1</v>
      </c>
      <c r="J475" s="601"/>
      <c r="K475" s="13">
        <f t="shared" si="108"/>
        <v>1</v>
      </c>
      <c r="L475" s="601"/>
      <c r="M475" s="13">
        <f t="shared" si="109"/>
        <v>1</v>
      </c>
      <c r="N475" s="601"/>
      <c r="O475" s="13">
        <f t="shared" si="110"/>
        <v>1</v>
      </c>
      <c r="P475" s="601"/>
      <c r="Q475" s="13">
        <f t="shared" si="111"/>
        <v>0.05</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0.02</v>
      </c>
      <c r="F476" s="601"/>
      <c r="G476" s="13">
        <f t="shared" ref="G476:G527" si="121">(SUMIF($10:$10,F476,$11:$11)-SUMIF($10:$10,$F$27,$11:$11)+100)/100</f>
        <v>0.02</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0.05</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0.02</v>
      </c>
      <c r="F477" s="601"/>
      <c r="G477" s="13">
        <f t="shared" si="121"/>
        <v>0.02</v>
      </c>
      <c r="H477" s="601"/>
      <c r="I477" s="13">
        <f t="shared" si="122"/>
        <v>1</v>
      </c>
      <c r="J477" s="601"/>
      <c r="K477" s="13">
        <f t="shared" si="123"/>
        <v>1</v>
      </c>
      <c r="L477" s="601"/>
      <c r="M477" s="13">
        <f t="shared" si="124"/>
        <v>1</v>
      </c>
      <c r="N477" s="601"/>
      <c r="O477" s="13">
        <f t="shared" si="125"/>
        <v>1</v>
      </c>
      <c r="P477" s="601"/>
      <c r="Q477" s="13">
        <f t="shared" si="126"/>
        <v>0.05</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0.02</v>
      </c>
      <c r="F478" s="601"/>
      <c r="G478" s="13">
        <f t="shared" si="121"/>
        <v>0.02</v>
      </c>
      <c r="H478" s="601"/>
      <c r="I478" s="13">
        <f t="shared" si="122"/>
        <v>1</v>
      </c>
      <c r="J478" s="601"/>
      <c r="K478" s="13">
        <f t="shared" si="123"/>
        <v>1</v>
      </c>
      <c r="L478" s="601"/>
      <c r="M478" s="13">
        <f t="shared" si="124"/>
        <v>1</v>
      </c>
      <c r="N478" s="601"/>
      <c r="O478" s="13">
        <f t="shared" si="125"/>
        <v>1</v>
      </c>
      <c r="P478" s="601"/>
      <c r="Q478" s="13">
        <f t="shared" si="126"/>
        <v>0.05</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0.02</v>
      </c>
      <c r="F479" s="601"/>
      <c r="G479" s="13">
        <f t="shared" si="121"/>
        <v>0.02</v>
      </c>
      <c r="H479" s="601"/>
      <c r="I479" s="13">
        <f t="shared" si="122"/>
        <v>1</v>
      </c>
      <c r="J479" s="601"/>
      <c r="K479" s="13">
        <f t="shared" si="123"/>
        <v>1</v>
      </c>
      <c r="L479" s="601"/>
      <c r="M479" s="13">
        <f t="shared" si="124"/>
        <v>1</v>
      </c>
      <c r="N479" s="601"/>
      <c r="O479" s="13">
        <f t="shared" si="125"/>
        <v>1</v>
      </c>
      <c r="P479" s="601"/>
      <c r="Q479" s="13">
        <f t="shared" si="126"/>
        <v>0.05</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0.02</v>
      </c>
      <c r="F480" s="601"/>
      <c r="G480" s="13">
        <f t="shared" si="121"/>
        <v>0.02</v>
      </c>
      <c r="H480" s="601"/>
      <c r="I480" s="13">
        <f t="shared" si="122"/>
        <v>1</v>
      </c>
      <c r="J480" s="601"/>
      <c r="K480" s="13">
        <f t="shared" si="123"/>
        <v>1</v>
      </c>
      <c r="L480" s="601"/>
      <c r="M480" s="13">
        <f t="shared" si="124"/>
        <v>1</v>
      </c>
      <c r="N480" s="601"/>
      <c r="O480" s="13">
        <f t="shared" si="125"/>
        <v>1</v>
      </c>
      <c r="P480" s="601"/>
      <c r="Q480" s="13">
        <f t="shared" si="126"/>
        <v>0.05</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0.02</v>
      </c>
      <c r="F481" s="601"/>
      <c r="G481" s="13">
        <f t="shared" si="121"/>
        <v>0.02</v>
      </c>
      <c r="H481" s="601"/>
      <c r="I481" s="13">
        <f t="shared" si="122"/>
        <v>1</v>
      </c>
      <c r="J481" s="601"/>
      <c r="K481" s="13">
        <f t="shared" si="123"/>
        <v>1</v>
      </c>
      <c r="L481" s="601"/>
      <c r="M481" s="13">
        <f t="shared" si="124"/>
        <v>1</v>
      </c>
      <c r="N481" s="601"/>
      <c r="O481" s="13">
        <f t="shared" si="125"/>
        <v>1</v>
      </c>
      <c r="P481" s="601"/>
      <c r="Q481" s="13">
        <f t="shared" si="126"/>
        <v>0.05</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0.02</v>
      </c>
      <c r="F482" s="601"/>
      <c r="G482" s="13">
        <f t="shared" si="121"/>
        <v>0.02</v>
      </c>
      <c r="H482" s="601"/>
      <c r="I482" s="13">
        <f t="shared" si="122"/>
        <v>1</v>
      </c>
      <c r="J482" s="601"/>
      <c r="K482" s="13">
        <f t="shared" si="123"/>
        <v>1</v>
      </c>
      <c r="L482" s="601"/>
      <c r="M482" s="13">
        <f t="shared" si="124"/>
        <v>1</v>
      </c>
      <c r="N482" s="601"/>
      <c r="O482" s="13">
        <f t="shared" si="125"/>
        <v>1</v>
      </c>
      <c r="P482" s="601"/>
      <c r="Q482" s="13">
        <f t="shared" si="126"/>
        <v>0.05</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0.02</v>
      </c>
      <c r="F483" s="601"/>
      <c r="G483" s="13">
        <f t="shared" si="121"/>
        <v>0.02</v>
      </c>
      <c r="H483" s="601"/>
      <c r="I483" s="13">
        <f t="shared" si="122"/>
        <v>1</v>
      </c>
      <c r="J483" s="601"/>
      <c r="K483" s="13">
        <f t="shared" si="123"/>
        <v>1</v>
      </c>
      <c r="L483" s="601"/>
      <c r="M483" s="13">
        <f t="shared" si="124"/>
        <v>1</v>
      </c>
      <c r="N483" s="601"/>
      <c r="O483" s="13">
        <f t="shared" si="125"/>
        <v>1</v>
      </c>
      <c r="P483" s="601"/>
      <c r="Q483" s="13">
        <f t="shared" si="126"/>
        <v>0.05</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0.02</v>
      </c>
      <c r="F484" s="601"/>
      <c r="G484" s="13">
        <f t="shared" si="121"/>
        <v>0.02</v>
      </c>
      <c r="H484" s="601"/>
      <c r="I484" s="13">
        <f t="shared" si="122"/>
        <v>1</v>
      </c>
      <c r="J484" s="601"/>
      <c r="K484" s="13">
        <f t="shared" si="123"/>
        <v>1</v>
      </c>
      <c r="L484" s="601"/>
      <c r="M484" s="13">
        <f t="shared" si="124"/>
        <v>1</v>
      </c>
      <c r="N484" s="601"/>
      <c r="O484" s="13">
        <f t="shared" si="125"/>
        <v>1</v>
      </c>
      <c r="P484" s="601"/>
      <c r="Q484" s="13">
        <f t="shared" si="126"/>
        <v>0.05</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0.02</v>
      </c>
      <c r="F485" s="601"/>
      <c r="G485" s="13">
        <f t="shared" si="121"/>
        <v>0.02</v>
      </c>
      <c r="H485" s="601"/>
      <c r="I485" s="13">
        <f t="shared" si="122"/>
        <v>1</v>
      </c>
      <c r="J485" s="601"/>
      <c r="K485" s="13">
        <f t="shared" si="123"/>
        <v>1</v>
      </c>
      <c r="L485" s="601"/>
      <c r="M485" s="13">
        <f t="shared" si="124"/>
        <v>1</v>
      </c>
      <c r="N485" s="601"/>
      <c r="O485" s="13">
        <f t="shared" si="125"/>
        <v>1</v>
      </c>
      <c r="P485" s="601"/>
      <c r="Q485" s="13">
        <f t="shared" si="126"/>
        <v>0.05</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0.02</v>
      </c>
      <c r="F486" s="601"/>
      <c r="G486" s="13">
        <f t="shared" si="121"/>
        <v>0.02</v>
      </c>
      <c r="H486" s="601"/>
      <c r="I486" s="13">
        <f t="shared" si="122"/>
        <v>1</v>
      </c>
      <c r="J486" s="601"/>
      <c r="K486" s="13">
        <f t="shared" si="123"/>
        <v>1</v>
      </c>
      <c r="L486" s="601"/>
      <c r="M486" s="13">
        <f t="shared" si="124"/>
        <v>1</v>
      </c>
      <c r="N486" s="601"/>
      <c r="O486" s="13">
        <f t="shared" si="125"/>
        <v>1</v>
      </c>
      <c r="P486" s="601"/>
      <c r="Q486" s="13">
        <f t="shared" si="126"/>
        <v>0.05</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0.02</v>
      </c>
      <c r="F487" s="601"/>
      <c r="G487" s="13">
        <f t="shared" si="121"/>
        <v>0.02</v>
      </c>
      <c r="H487" s="601"/>
      <c r="I487" s="13">
        <f t="shared" si="122"/>
        <v>1</v>
      </c>
      <c r="J487" s="601"/>
      <c r="K487" s="13">
        <f t="shared" si="123"/>
        <v>1</v>
      </c>
      <c r="L487" s="601"/>
      <c r="M487" s="13">
        <f t="shared" si="124"/>
        <v>1</v>
      </c>
      <c r="N487" s="601"/>
      <c r="O487" s="13">
        <f t="shared" si="125"/>
        <v>1</v>
      </c>
      <c r="P487" s="601"/>
      <c r="Q487" s="13">
        <f t="shared" si="126"/>
        <v>0.05</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0.02</v>
      </c>
      <c r="F488" s="601"/>
      <c r="G488" s="13">
        <f t="shared" si="121"/>
        <v>0.02</v>
      </c>
      <c r="H488" s="601"/>
      <c r="I488" s="13">
        <f t="shared" si="122"/>
        <v>1</v>
      </c>
      <c r="J488" s="601"/>
      <c r="K488" s="13">
        <f t="shared" si="123"/>
        <v>1</v>
      </c>
      <c r="L488" s="601"/>
      <c r="M488" s="13">
        <f t="shared" si="124"/>
        <v>1</v>
      </c>
      <c r="N488" s="601"/>
      <c r="O488" s="13">
        <f t="shared" si="125"/>
        <v>1</v>
      </c>
      <c r="P488" s="601"/>
      <c r="Q488" s="13">
        <f t="shared" si="126"/>
        <v>0.05</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0.02</v>
      </c>
      <c r="F489" s="601"/>
      <c r="G489" s="13">
        <f t="shared" si="121"/>
        <v>0.02</v>
      </c>
      <c r="H489" s="601"/>
      <c r="I489" s="13">
        <f t="shared" si="122"/>
        <v>1</v>
      </c>
      <c r="J489" s="601"/>
      <c r="K489" s="13">
        <f t="shared" si="123"/>
        <v>1</v>
      </c>
      <c r="L489" s="601"/>
      <c r="M489" s="13">
        <f t="shared" si="124"/>
        <v>1</v>
      </c>
      <c r="N489" s="601"/>
      <c r="O489" s="13">
        <f t="shared" si="125"/>
        <v>1</v>
      </c>
      <c r="P489" s="601"/>
      <c r="Q489" s="13">
        <f t="shared" si="126"/>
        <v>0.05</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0.02</v>
      </c>
      <c r="F490" s="601"/>
      <c r="G490" s="13">
        <f t="shared" si="121"/>
        <v>0.02</v>
      </c>
      <c r="H490" s="601"/>
      <c r="I490" s="13">
        <f t="shared" si="122"/>
        <v>1</v>
      </c>
      <c r="J490" s="601"/>
      <c r="K490" s="13">
        <f t="shared" si="123"/>
        <v>1</v>
      </c>
      <c r="L490" s="601"/>
      <c r="M490" s="13">
        <f t="shared" si="124"/>
        <v>1</v>
      </c>
      <c r="N490" s="601"/>
      <c r="O490" s="13">
        <f t="shared" si="125"/>
        <v>1</v>
      </c>
      <c r="P490" s="601"/>
      <c r="Q490" s="13">
        <f t="shared" si="126"/>
        <v>0.05</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0.02</v>
      </c>
      <c r="F491" s="601"/>
      <c r="G491" s="13">
        <f t="shared" si="121"/>
        <v>0.02</v>
      </c>
      <c r="H491" s="601"/>
      <c r="I491" s="13">
        <f t="shared" si="122"/>
        <v>1</v>
      </c>
      <c r="J491" s="601"/>
      <c r="K491" s="13">
        <f t="shared" si="123"/>
        <v>1</v>
      </c>
      <c r="L491" s="601"/>
      <c r="M491" s="13">
        <f t="shared" si="124"/>
        <v>1</v>
      </c>
      <c r="N491" s="601"/>
      <c r="O491" s="13">
        <f t="shared" si="125"/>
        <v>1</v>
      </c>
      <c r="P491" s="601"/>
      <c r="Q491" s="13">
        <f t="shared" si="126"/>
        <v>0.05</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0.02</v>
      </c>
      <c r="F492" s="601"/>
      <c r="G492" s="13">
        <f t="shared" si="121"/>
        <v>0.02</v>
      </c>
      <c r="H492" s="601"/>
      <c r="I492" s="13">
        <f t="shared" si="122"/>
        <v>1</v>
      </c>
      <c r="J492" s="601"/>
      <c r="K492" s="13">
        <f t="shared" si="123"/>
        <v>1</v>
      </c>
      <c r="L492" s="601"/>
      <c r="M492" s="13">
        <f t="shared" si="124"/>
        <v>1</v>
      </c>
      <c r="N492" s="601"/>
      <c r="O492" s="13">
        <f t="shared" si="125"/>
        <v>1</v>
      </c>
      <c r="P492" s="601"/>
      <c r="Q492" s="13">
        <f t="shared" si="126"/>
        <v>0.05</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0.02</v>
      </c>
      <c r="F493" s="601"/>
      <c r="G493" s="13">
        <f t="shared" si="121"/>
        <v>0.02</v>
      </c>
      <c r="H493" s="601"/>
      <c r="I493" s="13">
        <f t="shared" si="122"/>
        <v>1</v>
      </c>
      <c r="J493" s="601"/>
      <c r="K493" s="13">
        <f t="shared" si="123"/>
        <v>1</v>
      </c>
      <c r="L493" s="601"/>
      <c r="M493" s="13">
        <f t="shared" si="124"/>
        <v>1</v>
      </c>
      <c r="N493" s="601"/>
      <c r="O493" s="13">
        <f t="shared" si="125"/>
        <v>1</v>
      </c>
      <c r="P493" s="601"/>
      <c r="Q493" s="13">
        <f t="shared" si="126"/>
        <v>0.05</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0.02</v>
      </c>
      <c r="F494" s="601"/>
      <c r="G494" s="13">
        <f t="shared" si="121"/>
        <v>0.02</v>
      </c>
      <c r="H494" s="601"/>
      <c r="I494" s="13">
        <f t="shared" si="122"/>
        <v>1</v>
      </c>
      <c r="J494" s="601"/>
      <c r="K494" s="13">
        <f t="shared" si="123"/>
        <v>1</v>
      </c>
      <c r="L494" s="601"/>
      <c r="M494" s="13">
        <f t="shared" si="124"/>
        <v>1</v>
      </c>
      <c r="N494" s="601"/>
      <c r="O494" s="13">
        <f t="shared" si="125"/>
        <v>1</v>
      </c>
      <c r="P494" s="601"/>
      <c r="Q494" s="13">
        <f t="shared" si="126"/>
        <v>0.05</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0.02</v>
      </c>
      <c r="F495" s="601"/>
      <c r="G495" s="13">
        <f t="shared" si="121"/>
        <v>0.02</v>
      </c>
      <c r="H495" s="601"/>
      <c r="I495" s="13">
        <f t="shared" si="122"/>
        <v>1</v>
      </c>
      <c r="J495" s="601"/>
      <c r="K495" s="13">
        <f t="shared" si="123"/>
        <v>1</v>
      </c>
      <c r="L495" s="601"/>
      <c r="M495" s="13">
        <f t="shared" si="124"/>
        <v>1</v>
      </c>
      <c r="N495" s="601"/>
      <c r="O495" s="13">
        <f t="shared" si="125"/>
        <v>1</v>
      </c>
      <c r="P495" s="601"/>
      <c r="Q495" s="13">
        <f t="shared" si="126"/>
        <v>0.05</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0.02</v>
      </c>
      <c r="F496" s="601"/>
      <c r="G496" s="13">
        <f t="shared" si="121"/>
        <v>0.02</v>
      </c>
      <c r="H496" s="601"/>
      <c r="I496" s="13">
        <f t="shared" si="122"/>
        <v>1</v>
      </c>
      <c r="J496" s="601"/>
      <c r="K496" s="13">
        <f t="shared" si="123"/>
        <v>1</v>
      </c>
      <c r="L496" s="601"/>
      <c r="M496" s="13">
        <f t="shared" si="124"/>
        <v>1</v>
      </c>
      <c r="N496" s="601"/>
      <c r="O496" s="13">
        <f t="shared" si="125"/>
        <v>1</v>
      </c>
      <c r="P496" s="601"/>
      <c r="Q496" s="13">
        <f t="shared" si="126"/>
        <v>0.05</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0.02</v>
      </c>
      <c r="F497" s="601"/>
      <c r="G497" s="13">
        <f t="shared" si="121"/>
        <v>0.02</v>
      </c>
      <c r="H497" s="601"/>
      <c r="I497" s="13">
        <f t="shared" si="122"/>
        <v>1</v>
      </c>
      <c r="J497" s="601"/>
      <c r="K497" s="13">
        <f t="shared" si="123"/>
        <v>1</v>
      </c>
      <c r="L497" s="601"/>
      <c r="M497" s="13">
        <f t="shared" si="124"/>
        <v>1</v>
      </c>
      <c r="N497" s="601"/>
      <c r="O497" s="13">
        <f t="shared" si="125"/>
        <v>1</v>
      </c>
      <c r="P497" s="601"/>
      <c r="Q497" s="13">
        <f t="shared" si="126"/>
        <v>0.05</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0.02</v>
      </c>
      <c r="F498" s="601"/>
      <c r="G498" s="13">
        <f t="shared" si="121"/>
        <v>0.02</v>
      </c>
      <c r="H498" s="601"/>
      <c r="I498" s="13">
        <f t="shared" si="122"/>
        <v>1</v>
      </c>
      <c r="J498" s="601"/>
      <c r="K498" s="13">
        <f t="shared" si="123"/>
        <v>1</v>
      </c>
      <c r="L498" s="601"/>
      <c r="M498" s="13">
        <f t="shared" si="124"/>
        <v>1</v>
      </c>
      <c r="N498" s="601"/>
      <c r="O498" s="13">
        <f t="shared" si="125"/>
        <v>1</v>
      </c>
      <c r="P498" s="601"/>
      <c r="Q498" s="13">
        <f t="shared" si="126"/>
        <v>0.05</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0.02</v>
      </c>
      <c r="F499" s="601"/>
      <c r="G499" s="13">
        <f t="shared" si="121"/>
        <v>0.02</v>
      </c>
      <c r="H499" s="601"/>
      <c r="I499" s="13">
        <f t="shared" si="122"/>
        <v>1</v>
      </c>
      <c r="J499" s="601"/>
      <c r="K499" s="13">
        <f t="shared" si="123"/>
        <v>1</v>
      </c>
      <c r="L499" s="601"/>
      <c r="M499" s="13">
        <f t="shared" si="124"/>
        <v>1</v>
      </c>
      <c r="N499" s="601"/>
      <c r="O499" s="13">
        <f t="shared" si="125"/>
        <v>1</v>
      </c>
      <c r="P499" s="601"/>
      <c r="Q499" s="13">
        <f t="shared" si="126"/>
        <v>0.05</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0.02</v>
      </c>
      <c r="F500" s="601"/>
      <c r="G500" s="13">
        <f t="shared" si="121"/>
        <v>0.02</v>
      </c>
      <c r="H500" s="601"/>
      <c r="I500" s="13">
        <f t="shared" si="122"/>
        <v>1</v>
      </c>
      <c r="J500" s="601"/>
      <c r="K500" s="13">
        <f t="shared" si="123"/>
        <v>1</v>
      </c>
      <c r="L500" s="601"/>
      <c r="M500" s="13">
        <f t="shared" si="124"/>
        <v>1</v>
      </c>
      <c r="N500" s="601"/>
      <c r="O500" s="13">
        <f t="shared" si="125"/>
        <v>1</v>
      </c>
      <c r="P500" s="601"/>
      <c r="Q500" s="13">
        <f t="shared" si="126"/>
        <v>0.05</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0.02</v>
      </c>
      <c r="F501" s="601"/>
      <c r="G501" s="13">
        <f t="shared" si="121"/>
        <v>0.02</v>
      </c>
      <c r="H501" s="601"/>
      <c r="I501" s="13">
        <f t="shared" si="122"/>
        <v>1</v>
      </c>
      <c r="J501" s="601"/>
      <c r="K501" s="13">
        <f t="shared" si="123"/>
        <v>1</v>
      </c>
      <c r="L501" s="601"/>
      <c r="M501" s="13">
        <f t="shared" si="124"/>
        <v>1</v>
      </c>
      <c r="N501" s="601"/>
      <c r="O501" s="13">
        <f t="shared" si="125"/>
        <v>1</v>
      </c>
      <c r="P501" s="601"/>
      <c r="Q501" s="13">
        <f t="shared" si="126"/>
        <v>0.05</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0.02</v>
      </c>
      <c r="F502" s="601"/>
      <c r="G502" s="13">
        <f t="shared" si="121"/>
        <v>0.02</v>
      </c>
      <c r="H502" s="601"/>
      <c r="I502" s="13">
        <f t="shared" si="122"/>
        <v>1</v>
      </c>
      <c r="J502" s="601"/>
      <c r="K502" s="13">
        <f t="shared" si="123"/>
        <v>1</v>
      </c>
      <c r="L502" s="601"/>
      <c r="M502" s="13">
        <f t="shared" si="124"/>
        <v>1</v>
      </c>
      <c r="N502" s="601"/>
      <c r="O502" s="13">
        <f t="shared" si="125"/>
        <v>1</v>
      </c>
      <c r="P502" s="601"/>
      <c r="Q502" s="13">
        <f t="shared" si="126"/>
        <v>0.05</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0.02</v>
      </c>
      <c r="F503" s="601"/>
      <c r="G503" s="13">
        <f t="shared" si="121"/>
        <v>0.02</v>
      </c>
      <c r="H503" s="601"/>
      <c r="I503" s="13">
        <f t="shared" si="122"/>
        <v>1</v>
      </c>
      <c r="J503" s="601"/>
      <c r="K503" s="13">
        <f t="shared" si="123"/>
        <v>1</v>
      </c>
      <c r="L503" s="601"/>
      <c r="M503" s="13">
        <f t="shared" si="124"/>
        <v>1</v>
      </c>
      <c r="N503" s="601"/>
      <c r="O503" s="13">
        <f t="shared" si="125"/>
        <v>1</v>
      </c>
      <c r="P503" s="601"/>
      <c r="Q503" s="13">
        <f t="shared" si="126"/>
        <v>0.05</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0.02</v>
      </c>
      <c r="F504" s="601"/>
      <c r="G504" s="13">
        <f t="shared" si="121"/>
        <v>0.02</v>
      </c>
      <c r="H504" s="601"/>
      <c r="I504" s="13">
        <f t="shared" si="122"/>
        <v>1</v>
      </c>
      <c r="J504" s="601"/>
      <c r="K504" s="13">
        <f t="shared" si="123"/>
        <v>1</v>
      </c>
      <c r="L504" s="601"/>
      <c r="M504" s="13">
        <f t="shared" si="124"/>
        <v>1</v>
      </c>
      <c r="N504" s="601"/>
      <c r="O504" s="13">
        <f t="shared" si="125"/>
        <v>1</v>
      </c>
      <c r="P504" s="601"/>
      <c r="Q504" s="13">
        <f t="shared" si="126"/>
        <v>0.05</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0.02</v>
      </c>
      <c r="F505" s="601"/>
      <c r="G505" s="13">
        <f t="shared" si="121"/>
        <v>0.02</v>
      </c>
      <c r="H505" s="601"/>
      <c r="I505" s="13">
        <f t="shared" si="122"/>
        <v>1</v>
      </c>
      <c r="J505" s="601"/>
      <c r="K505" s="13">
        <f t="shared" si="123"/>
        <v>1</v>
      </c>
      <c r="L505" s="601"/>
      <c r="M505" s="13">
        <f t="shared" si="124"/>
        <v>1</v>
      </c>
      <c r="N505" s="601"/>
      <c r="O505" s="13">
        <f t="shared" si="125"/>
        <v>1</v>
      </c>
      <c r="P505" s="601"/>
      <c r="Q505" s="13">
        <f t="shared" si="126"/>
        <v>0.05</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0.02</v>
      </c>
      <c r="F506" s="601"/>
      <c r="G506" s="13">
        <f t="shared" si="121"/>
        <v>0.02</v>
      </c>
      <c r="H506" s="601"/>
      <c r="I506" s="13">
        <f t="shared" si="122"/>
        <v>1</v>
      </c>
      <c r="J506" s="601"/>
      <c r="K506" s="13">
        <f t="shared" si="123"/>
        <v>1</v>
      </c>
      <c r="L506" s="601"/>
      <c r="M506" s="13">
        <f t="shared" si="124"/>
        <v>1</v>
      </c>
      <c r="N506" s="601"/>
      <c r="O506" s="13">
        <f t="shared" si="125"/>
        <v>1</v>
      </c>
      <c r="P506" s="601"/>
      <c r="Q506" s="13">
        <f t="shared" si="126"/>
        <v>0.05</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0.02</v>
      </c>
      <c r="F507" s="601"/>
      <c r="G507" s="13">
        <f t="shared" si="121"/>
        <v>0.02</v>
      </c>
      <c r="H507" s="601"/>
      <c r="I507" s="13">
        <f t="shared" si="122"/>
        <v>1</v>
      </c>
      <c r="J507" s="601"/>
      <c r="K507" s="13">
        <f t="shared" si="123"/>
        <v>1</v>
      </c>
      <c r="L507" s="601"/>
      <c r="M507" s="13">
        <f t="shared" si="124"/>
        <v>1</v>
      </c>
      <c r="N507" s="601"/>
      <c r="O507" s="13">
        <f t="shared" si="125"/>
        <v>1</v>
      </c>
      <c r="P507" s="601"/>
      <c r="Q507" s="13">
        <f t="shared" si="126"/>
        <v>0.05</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0.02</v>
      </c>
      <c r="F508" s="601"/>
      <c r="G508" s="13">
        <f t="shared" si="121"/>
        <v>0.02</v>
      </c>
      <c r="H508" s="601"/>
      <c r="I508" s="13">
        <f t="shared" si="122"/>
        <v>1</v>
      </c>
      <c r="J508" s="601"/>
      <c r="K508" s="13">
        <f t="shared" si="123"/>
        <v>1</v>
      </c>
      <c r="L508" s="601"/>
      <c r="M508" s="13">
        <f t="shared" si="124"/>
        <v>1</v>
      </c>
      <c r="N508" s="601"/>
      <c r="O508" s="13">
        <f t="shared" si="125"/>
        <v>1</v>
      </c>
      <c r="P508" s="601"/>
      <c r="Q508" s="13">
        <f t="shared" si="126"/>
        <v>0.05</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0.02</v>
      </c>
      <c r="F509" s="601"/>
      <c r="G509" s="13">
        <f t="shared" si="121"/>
        <v>0.02</v>
      </c>
      <c r="H509" s="601"/>
      <c r="I509" s="13">
        <f t="shared" si="122"/>
        <v>1</v>
      </c>
      <c r="J509" s="601"/>
      <c r="K509" s="13">
        <f t="shared" si="123"/>
        <v>1</v>
      </c>
      <c r="L509" s="601"/>
      <c r="M509" s="13">
        <f t="shared" si="124"/>
        <v>1</v>
      </c>
      <c r="N509" s="601"/>
      <c r="O509" s="13">
        <f t="shared" si="125"/>
        <v>1</v>
      </c>
      <c r="P509" s="601"/>
      <c r="Q509" s="13">
        <f t="shared" si="126"/>
        <v>0.05</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0.02</v>
      </c>
      <c r="F510" s="601"/>
      <c r="G510" s="13">
        <f t="shared" si="121"/>
        <v>0.02</v>
      </c>
      <c r="H510" s="601"/>
      <c r="I510" s="13">
        <f t="shared" si="122"/>
        <v>1</v>
      </c>
      <c r="J510" s="601"/>
      <c r="K510" s="13">
        <f t="shared" si="123"/>
        <v>1</v>
      </c>
      <c r="L510" s="601"/>
      <c r="M510" s="13">
        <f t="shared" si="124"/>
        <v>1</v>
      </c>
      <c r="N510" s="601"/>
      <c r="O510" s="13">
        <f t="shared" si="125"/>
        <v>1</v>
      </c>
      <c r="P510" s="601"/>
      <c r="Q510" s="13">
        <f t="shared" si="126"/>
        <v>0.05</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0.02</v>
      </c>
      <c r="F511" s="601"/>
      <c r="G511" s="13">
        <f t="shared" si="121"/>
        <v>0.02</v>
      </c>
      <c r="H511" s="601"/>
      <c r="I511" s="13">
        <f t="shared" si="122"/>
        <v>1</v>
      </c>
      <c r="J511" s="601"/>
      <c r="K511" s="13">
        <f t="shared" si="123"/>
        <v>1</v>
      </c>
      <c r="L511" s="601"/>
      <c r="M511" s="13">
        <f t="shared" si="124"/>
        <v>1</v>
      </c>
      <c r="N511" s="601"/>
      <c r="O511" s="13">
        <f t="shared" si="125"/>
        <v>1</v>
      </c>
      <c r="P511" s="601"/>
      <c r="Q511" s="13">
        <f t="shared" si="126"/>
        <v>0.05</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0.02</v>
      </c>
      <c r="F512" s="601"/>
      <c r="G512" s="13">
        <f t="shared" si="121"/>
        <v>0.02</v>
      </c>
      <c r="H512" s="601"/>
      <c r="I512" s="13">
        <f t="shared" si="122"/>
        <v>1</v>
      </c>
      <c r="J512" s="601"/>
      <c r="K512" s="13">
        <f t="shared" si="123"/>
        <v>1</v>
      </c>
      <c r="L512" s="601"/>
      <c r="M512" s="13">
        <f t="shared" si="124"/>
        <v>1</v>
      </c>
      <c r="N512" s="601"/>
      <c r="O512" s="13">
        <f t="shared" si="125"/>
        <v>1</v>
      </c>
      <c r="P512" s="601"/>
      <c r="Q512" s="13">
        <f t="shared" si="126"/>
        <v>0.05</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0.02</v>
      </c>
      <c r="F513" s="601"/>
      <c r="G513" s="13">
        <f t="shared" si="121"/>
        <v>0.02</v>
      </c>
      <c r="H513" s="601"/>
      <c r="I513" s="13">
        <f t="shared" si="122"/>
        <v>1</v>
      </c>
      <c r="J513" s="601"/>
      <c r="K513" s="13">
        <f t="shared" si="123"/>
        <v>1</v>
      </c>
      <c r="L513" s="601"/>
      <c r="M513" s="13">
        <f t="shared" si="124"/>
        <v>1</v>
      </c>
      <c r="N513" s="601"/>
      <c r="O513" s="13">
        <f t="shared" si="125"/>
        <v>1</v>
      </c>
      <c r="P513" s="601"/>
      <c r="Q513" s="13">
        <f t="shared" si="126"/>
        <v>0.05</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0.02</v>
      </c>
      <c r="F514" s="601"/>
      <c r="G514" s="13">
        <f t="shared" si="121"/>
        <v>0.02</v>
      </c>
      <c r="H514" s="601"/>
      <c r="I514" s="13">
        <f t="shared" si="122"/>
        <v>1</v>
      </c>
      <c r="J514" s="601"/>
      <c r="K514" s="13">
        <f t="shared" si="123"/>
        <v>1</v>
      </c>
      <c r="L514" s="601"/>
      <c r="M514" s="13">
        <f t="shared" si="124"/>
        <v>1</v>
      </c>
      <c r="N514" s="601"/>
      <c r="O514" s="13">
        <f t="shared" si="125"/>
        <v>1</v>
      </c>
      <c r="P514" s="601"/>
      <c r="Q514" s="13">
        <f t="shared" si="126"/>
        <v>0.05</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0.02</v>
      </c>
      <c r="F515" s="601"/>
      <c r="G515" s="13">
        <f t="shared" si="121"/>
        <v>0.02</v>
      </c>
      <c r="H515" s="601"/>
      <c r="I515" s="13">
        <f t="shared" si="122"/>
        <v>1</v>
      </c>
      <c r="J515" s="601"/>
      <c r="K515" s="13">
        <f t="shared" si="123"/>
        <v>1</v>
      </c>
      <c r="L515" s="601"/>
      <c r="M515" s="13">
        <f t="shared" si="124"/>
        <v>1</v>
      </c>
      <c r="N515" s="601"/>
      <c r="O515" s="13">
        <f t="shared" si="125"/>
        <v>1</v>
      </c>
      <c r="P515" s="601"/>
      <c r="Q515" s="13">
        <f t="shared" si="126"/>
        <v>0.05</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0.02</v>
      </c>
      <c r="F516" s="601"/>
      <c r="G516" s="13">
        <f t="shared" si="121"/>
        <v>0.02</v>
      </c>
      <c r="H516" s="601"/>
      <c r="I516" s="13">
        <f t="shared" si="122"/>
        <v>1</v>
      </c>
      <c r="J516" s="601"/>
      <c r="K516" s="13">
        <f t="shared" si="123"/>
        <v>1</v>
      </c>
      <c r="L516" s="601"/>
      <c r="M516" s="13">
        <f t="shared" si="124"/>
        <v>1</v>
      </c>
      <c r="N516" s="601"/>
      <c r="O516" s="13">
        <f t="shared" si="125"/>
        <v>1</v>
      </c>
      <c r="P516" s="601"/>
      <c r="Q516" s="13">
        <f t="shared" si="126"/>
        <v>0.05</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0.02</v>
      </c>
      <c r="F517" s="601"/>
      <c r="G517" s="13">
        <f t="shared" si="121"/>
        <v>0.02</v>
      </c>
      <c r="H517" s="601"/>
      <c r="I517" s="13">
        <f t="shared" si="122"/>
        <v>1</v>
      </c>
      <c r="J517" s="601"/>
      <c r="K517" s="13">
        <f t="shared" si="123"/>
        <v>1</v>
      </c>
      <c r="L517" s="601"/>
      <c r="M517" s="13">
        <f t="shared" si="124"/>
        <v>1</v>
      </c>
      <c r="N517" s="601"/>
      <c r="O517" s="13">
        <f t="shared" si="125"/>
        <v>1</v>
      </c>
      <c r="P517" s="601"/>
      <c r="Q517" s="13">
        <f t="shared" si="126"/>
        <v>0.05</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0.02</v>
      </c>
      <c r="F518" s="601"/>
      <c r="G518" s="13">
        <f t="shared" si="121"/>
        <v>0.02</v>
      </c>
      <c r="H518" s="601"/>
      <c r="I518" s="13">
        <f t="shared" si="122"/>
        <v>1</v>
      </c>
      <c r="J518" s="601"/>
      <c r="K518" s="13">
        <f t="shared" si="123"/>
        <v>1</v>
      </c>
      <c r="L518" s="601"/>
      <c r="M518" s="13">
        <f t="shared" si="124"/>
        <v>1</v>
      </c>
      <c r="N518" s="601"/>
      <c r="O518" s="13">
        <f t="shared" si="125"/>
        <v>1</v>
      </c>
      <c r="P518" s="601"/>
      <c r="Q518" s="13">
        <f t="shared" si="126"/>
        <v>0.05</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0.02</v>
      </c>
      <c r="F519" s="601"/>
      <c r="G519" s="13">
        <f t="shared" si="121"/>
        <v>0.02</v>
      </c>
      <c r="H519" s="601"/>
      <c r="I519" s="13">
        <f t="shared" si="122"/>
        <v>1</v>
      </c>
      <c r="J519" s="601"/>
      <c r="K519" s="13">
        <f t="shared" si="123"/>
        <v>1</v>
      </c>
      <c r="L519" s="601"/>
      <c r="M519" s="13">
        <f t="shared" si="124"/>
        <v>1</v>
      </c>
      <c r="N519" s="601"/>
      <c r="O519" s="13">
        <f t="shared" si="125"/>
        <v>1</v>
      </c>
      <c r="P519" s="601"/>
      <c r="Q519" s="13">
        <f t="shared" si="126"/>
        <v>0.05</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0.02</v>
      </c>
      <c r="F520" s="601"/>
      <c r="G520" s="13">
        <f t="shared" si="121"/>
        <v>0.02</v>
      </c>
      <c r="H520" s="601"/>
      <c r="I520" s="13">
        <f t="shared" si="122"/>
        <v>1</v>
      </c>
      <c r="J520" s="601"/>
      <c r="K520" s="13">
        <f t="shared" si="123"/>
        <v>1</v>
      </c>
      <c r="L520" s="601"/>
      <c r="M520" s="13">
        <f t="shared" si="124"/>
        <v>1</v>
      </c>
      <c r="N520" s="601"/>
      <c r="O520" s="13">
        <f t="shared" si="125"/>
        <v>1</v>
      </c>
      <c r="P520" s="601"/>
      <c r="Q520" s="13">
        <f t="shared" si="126"/>
        <v>0.05</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0.02</v>
      </c>
      <c r="F521" s="601"/>
      <c r="G521" s="13">
        <f t="shared" si="121"/>
        <v>0.02</v>
      </c>
      <c r="H521" s="601"/>
      <c r="I521" s="13">
        <f t="shared" si="122"/>
        <v>1</v>
      </c>
      <c r="J521" s="601"/>
      <c r="K521" s="13">
        <f t="shared" si="123"/>
        <v>1</v>
      </c>
      <c r="L521" s="601"/>
      <c r="M521" s="13">
        <f t="shared" si="124"/>
        <v>1</v>
      </c>
      <c r="N521" s="601"/>
      <c r="O521" s="13">
        <f t="shared" si="125"/>
        <v>1</v>
      </c>
      <c r="P521" s="601"/>
      <c r="Q521" s="13">
        <f t="shared" si="126"/>
        <v>0.05</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0.02</v>
      </c>
      <c r="F522" s="601"/>
      <c r="G522" s="13">
        <f t="shared" si="121"/>
        <v>0.02</v>
      </c>
      <c r="H522" s="601"/>
      <c r="I522" s="13">
        <f t="shared" si="122"/>
        <v>1</v>
      </c>
      <c r="J522" s="601"/>
      <c r="K522" s="13">
        <f t="shared" si="123"/>
        <v>1</v>
      </c>
      <c r="L522" s="601"/>
      <c r="M522" s="13">
        <f t="shared" si="124"/>
        <v>1</v>
      </c>
      <c r="N522" s="601"/>
      <c r="O522" s="13">
        <f t="shared" si="125"/>
        <v>1</v>
      </c>
      <c r="P522" s="601"/>
      <c r="Q522" s="13">
        <f t="shared" si="126"/>
        <v>0.05</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0.02</v>
      </c>
      <c r="F523" s="601"/>
      <c r="G523" s="13">
        <f t="shared" si="121"/>
        <v>0.02</v>
      </c>
      <c r="H523" s="601"/>
      <c r="I523" s="13">
        <f t="shared" si="122"/>
        <v>1</v>
      </c>
      <c r="J523" s="601"/>
      <c r="K523" s="13">
        <f t="shared" si="123"/>
        <v>1</v>
      </c>
      <c r="L523" s="601"/>
      <c r="M523" s="13">
        <f t="shared" si="124"/>
        <v>1</v>
      </c>
      <c r="N523" s="601"/>
      <c r="O523" s="13">
        <f t="shared" si="125"/>
        <v>1</v>
      </c>
      <c r="P523" s="601"/>
      <c r="Q523" s="13">
        <f t="shared" si="126"/>
        <v>0.05</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0.02</v>
      </c>
      <c r="F524" s="601"/>
      <c r="G524" s="13">
        <f t="shared" si="121"/>
        <v>0.02</v>
      </c>
      <c r="H524" s="601"/>
      <c r="I524" s="13">
        <f t="shared" si="122"/>
        <v>1</v>
      </c>
      <c r="J524" s="601"/>
      <c r="K524" s="13">
        <f t="shared" si="123"/>
        <v>1</v>
      </c>
      <c r="L524" s="601"/>
      <c r="M524" s="13">
        <f t="shared" si="124"/>
        <v>1</v>
      </c>
      <c r="N524" s="601"/>
      <c r="O524" s="13">
        <f t="shared" si="125"/>
        <v>1</v>
      </c>
      <c r="P524" s="601"/>
      <c r="Q524" s="13">
        <f t="shared" si="126"/>
        <v>0.05</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0.02</v>
      </c>
      <c r="F525" s="601"/>
      <c r="G525" s="13">
        <f t="shared" si="121"/>
        <v>0.02</v>
      </c>
      <c r="H525" s="601"/>
      <c r="I525" s="13">
        <f t="shared" si="122"/>
        <v>1</v>
      </c>
      <c r="J525" s="601"/>
      <c r="K525" s="13">
        <f t="shared" si="123"/>
        <v>1</v>
      </c>
      <c r="L525" s="601"/>
      <c r="M525" s="13">
        <f t="shared" si="124"/>
        <v>1</v>
      </c>
      <c r="N525" s="601"/>
      <c r="O525" s="13">
        <f t="shared" si="125"/>
        <v>1</v>
      </c>
      <c r="P525" s="601"/>
      <c r="Q525" s="13">
        <f t="shared" si="126"/>
        <v>0.05</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0.02</v>
      </c>
      <c r="F526" s="601"/>
      <c r="G526" s="13">
        <f t="shared" si="121"/>
        <v>0.02</v>
      </c>
      <c r="H526" s="601"/>
      <c r="I526" s="13">
        <f t="shared" si="122"/>
        <v>1</v>
      </c>
      <c r="J526" s="601"/>
      <c r="K526" s="13">
        <f t="shared" si="123"/>
        <v>1</v>
      </c>
      <c r="L526" s="601"/>
      <c r="M526" s="13">
        <f t="shared" si="124"/>
        <v>1</v>
      </c>
      <c r="N526" s="601"/>
      <c r="O526" s="13">
        <f t="shared" si="125"/>
        <v>1</v>
      </c>
      <c r="P526" s="601"/>
      <c r="Q526" s="13">
        <f t="shared" si="126"/>
        <v>0.05</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0.02</v>
      </c>
      <c r="F527" s="601"/>
      <c r="G527" s="13">
        <f t="shared" si="121"/>
        <v>0.02</v>
      </c>
      <c r="H527" s="601"/>
      <c r="I527" s="13">
        <f t="shared" si="122"/>
        <v>1</v>
      </c>
      <c r="J527" s="601"/>
      <c r="K527" s="13">
        <f t="shared" si="123"/>
        <v>1</v>
      </c>
      <c r="L527" s="601"/>
      <c r="M527" s="13">
        <f t="shared" si="124"/>
        <v>1</v>
      </c>
      <c r="N527" s="601"/>
      <c r="O527" s="13">
        <f t="shared" si="125"/>
        <v>1</v>
      </c>
      <c r="P527" s="601"/>
      <c r="Q527" s="13">
        <f t="shared" si="126"/>
        <v>0.05</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3" customWidth="1"/>
    <col min="2" max="2" width="15.75" style="1663" customWidth="1"/>
    <col min="3" max="3" width="14.375" style="1663" customWidth="1"/>
    <col min="4" max="4" width="12.25" style="1663" customWidth="1"/>
    <col min="5" max="5" width="14.375" style="1663" customWidth="1"/>
    <col min="6" max="6" width="12.25" style="1663" customWidth="1"/>
    <col min="7" max="7" width="14.5" style="1663" customWidth="1"/>
    <col min="8" max="8" width="12.25" style="1663" customWidth="1"/>
    <col min="9" max="9" width="14.5" style="1663" customWidth="1"/>
    <col min="10" max="10" width="12.25" style="1663" customWidth="1"/>
    <col min="11" max="11" width="12.25" style="1905" customWidth="1"/>
    <col min="12" max="12" width="12.25" style="1906" customWidth="1"/>
    <col min="13" max="15" width="12.25" style="1663" customWidth="1"/>
    <col min="16" max="16" width="4.75" style="1802" customWidth="1"/>
    <col min="17" max="17" width="19.5" style="1663" customWidth="1"/>
    <col min="18" max="22" width="6.125" style="1663" customWidth="1"/>
    <col min="23" max="23" width="5.75" style="1663" customWidth="1"/>
    <col min="24" max="24" width="4.25" style="1663" customWidth="1"/>
    <col min="25" max="25" width="3.5" style="1663" customWidth="1"/>
    <col min="26" max="26" width="19.75" style="1663" customWidth="1"/>
    <col min="27" max="28" width="9.375" style="1663" customWidth="1"/>
    <col min="29" max="16384" width="9" style="1663"/>
  </cols>
  <sheetData>
    <row r="1" spans="1:29" s="1644" customFormat="1" ht="28.5" customHeight="1" thickBot="1">
      <c r="A1" s="1633" t="s">
        <v>2239</v>
      </c>
      <c r="B1" s="1634" t="s">
        <v>2352</v>
      </c>
      <c r="C1" s="1635"/>
      <c r="D1" s="2465"/>
      <c r="E1" s="1637"/>
      <c r="F1" s="1638" t="s">
        <v>2241</v>
      </c>
      <c r="G1" s="1634"/>
      <c r="H1" s="1634"/>
      <c r="I1" s="1634"/>
      <c r="J1" s="1634"/>
      <c r="K1" s="1639"/>
      <c r="L1" s="1640"/>
      <c r="M1" s="1634"/>
      <c r="N1" s="1634"/>
      <c r="O1" s="1634"/>
      <c r="P1" s="1641"/>
      <c r="Q1" s="1642"/>
      <c r="R1" s="1642"/>
      <c r="S1" s="1642"/>
      <c r="T1" s="1642"/>
      <c r="U1" s="1642"/>
      <c r="V1" s="1642"/>
      <c r="W1" s="1642"/>
      <c r="X1" s="1642"/>
      <c r="Y1" s="1642"/>
      <c r="Z1" s="1642"/>
      <c r="AA1" s="1642"/>
      <c r="AB1" s="1642"/>
      <c r="AC1" s="1643"/>
    </row>
    <row r="2" spans="1:29" s="1955" customFormat="1" ht="28.5" customHeight="1" thickTop="1">
      <c r="A2" s="1645" t="s">
        <v>1914</v>
      </c>
      <c r="B2" s="1646" t="e">
        <f ca="1">IF(D2="——",IF(C2="元",ROUND(C49*D3,0),ROUND(C49*D3/10000,0)),IF(C2="元",ROUND(C49*D3,0),ROUND(C49*D3/10000,0))-E2)</f>
        <v>#DIV/0!</v>
      </c>
      <c r="C2" s="1647" t="str">
        <f>'数据-取费表'!B3</f>
        <v>元</v>
      </c>
      <c r="D2" s="1648"/>
      <c r="E2" s="2466" t="e">
        <f ca="1">SUMIF(INDIRECT("'"&amp;G2&amp;"'"&amp;"!A:A"),"承租人权益价值",INDIRECT("'"&amp;G2&amp;"'"&amp;"!c:c"))</f>
        <v>#REF!</v>
      </c>
      <c r="F2" s="1650" t="str">
        <f>C2</f>
        <v>元</v>
      </c>
      <c r="G2" s="1651"/>
      <c r="H2" s="3006"/>
      <c r="I2" s="3006"/>
      <c r="J2" s="3006"/>
      <c r="K2" s="3006"/>
      <c r="L2" s="3008"/>
      <c r="M2" s="3006"/>
      <c r="N2" s="3006"/>
      <c r="O2" s="3006"/>
      <c r="P2" s="2467"/>
      <c r="Q2" s="1952"/>
      <c r="R2" s="1952"/>
      <c r="S2" s="1952"/>
      <c r="T2" s="1952"/>
      <c r="U2" s="1952"/>
      <c r="V2" s="1952"/>
      <c r="W2" s="1952"/>
      <c r="X2" s="1952"/>
      <c r="Y2" s="1952"/>
      <c r="Z2" s="1952"/>
      <c r="AA2" s="1952"/>
      <c r="AB2" s="1952"/>
      <c r="AC2" s="1953"/>
    </row>
    <row r="3" spans="1:29" s="1955" customFormat="1" ht="28.5" customHeight="1" thickBot="1">
      <c r="A3" s="1655" t="s">
        <v>1915</v>
      </c>
      <c r="B3" s="1958" t="e">
        <f ca="1">ROUND(IF(D2="——",C49,IF(C2="万元",B2*10000/D3,B2/D3)),0)</f>
        <v>#DIV/0!</v>
      </c>
      <c r="C3" s="1656" t="s">
        <v>2242</v>
      </c>
      <c r="D3" s="1656">
        <f>IF(C1="仅计算典型户型",'数据-取费表'!E5,'数据-取费表'!B5)</f>
        <v>732.34</v>
      </c>
      <c r="F3" s="3005"/>
      <c r="G3" s="3006"/>
      <c r="H3" s="3006"/>
      <c r="I3" s="3006"/>
      <c r="J3" s="3006"/>
      <c r="K3" s="3007"/>
      <c r="L3" s="3008"/>
      <c r="M3" s="3006"/>
      <c r="N3" s="3006"/>
      <c r="O3" s="3006"/>
      <c r="P3" s="2467"/>
      <c r="Q3" s="1952"/>
      <c r="R3" s="1952"/>
      <c r="S3" s="1952"/>
      <c r="T3" s="1952"/>
      <c r="U3" s="1952"/>
      <c r="V3" s="1952"/>
      <c r="W3" s="1952"/>
      <c r="X3" s="1952"/>
      <c r="Y3" s="1952"/>
      <c r="Z3" s="1952"/>
      <c r="AA3" s="1952"/>
      <c r="AB3" s="1952"/>
      <c r="AC3" s="1960"/>
    </row>
    <row r="4" spans="1:29" ht="15">
      <c r="A4" s="1659" t="s">
        <v>2243</v>
      </c>
      <c r="B4" s="1660"/>
      <c r="C4" s="3408" t="s">
        <v>2244</v>
      </c>
      <c r="D4" s="3409"/>
      <c r="E4" s="3410" t="s">
        <v>2245</v>
      </c>
      <c r="F4" s="3411"/>
      <c r="G4" s="3408" t="s">
        <v>2246</v>
      </c>
      <c r="H4" s="3409"/>
      <c r="I4" s="3408" t="s">
        <v>2247</v>
      </c>
      <c r="J4" s="3409"/>
      <c r="K4" s="1961" t="s">
        <v>2248</v>
      </c>
      <c r="L4" s="2991"/>
      <c r="M4" s="2992"/>
      <c r="N4" s="2992"/>
      <c r="O4" s="2992"/>
      <c r="P4" s="3412" t="s">
        <v>2249</v>
      </c>
      <c r="Q4" s="3413"/>
      <c r="R4" s="3418" t="s">
        <v>2245</v>
      </c>
      <c r="S4" s="3419"/>
      <c r="T4" s="3418" t="s">
        <v>2246</v>
      </c>
      <c r="U4" s="3419"/>
      <c r="V4" s="3424" t="s">
        <v>2247</v>
      </c>
      <c r="W4" s="3424"/>
      <c r="X4" s="2070"/>
      <c r="Y4" s="3418" t="s">
        <v>2249</v>
      </c>
      <c r="Z4" s="3419"/>
      <c r="AA4" s="3405" t="s">
        <v>2245</v>
      </c>
      <c r="AB4" s="3424" t="s">
        <v>2246</v>
      </c>
      <c r="AC4" s="3405" t="s">
        <v>2247</v>
      </c>
    </row>
    <row r="5" spans="1:29" ht="15">
      <c r="A5" s="1664"/>
      <c r="B5" s="1665"/>
      <c r="C5" s="3427" t="s">
        <v>2250</v>
      </c>
      <c r="D5" s="3428"/>
      <c r="E5" s="3511" t="s">
        <v>2251</v>
      </c>
      <c r="F5" s="3426"/>
      <c r="G5" s="3427" t="s">
        <v>2252</v>
      </c>
      <c r="H5" s="3428"/>
      <c r="I5" s="3427" t="s">
        <v>2253</v>
      </c>
      <c r="J5" s="3428"/>
      <c r="K5" s="1961"/>
      <c r="L5" s="2991"/>
      <c r="M5" s="2992"/>
      <c r="N5" s="2992"/>
      <c r="O5" s="2992"/>
      <c r="P5" s="3414"/>
      <c r="Q5" s="3415"/>
      <c r="R5" s="3420"/>
      <c r="S5" s="3421"/>
      <c r="T5" s="3420"/>
      <c r="U5" s="3421"/>
      <c r="V5" s="3424"/>
      <c r="W5" s="3424"/>
      <c r="X5" s="2070"/>
      <c r="Y5" s="3420"/>
      <c r="Z5" s="3421"/>
      <c r="AA5" s="3406"/>
      <c r="AB5" s="3424"/>
      <c r="AC5" s="3406"/>
    </row>
    <row r="6" spans="1:29" ht="15.75" thickBot="1">
      <c r="A6" s="1667"/>
      <c r="B6" s="1668"/>
      <c r="C6" s="3429" t="s">
        <v>2254</v>
      </c>
      <c r="D6" s="3430"/>
      <c r="E6" s="3432" t="s">
        <v>2254</v>
      </c>
      <c r="F6" s="3433"/>
      <c r="G6" s="3429" t="s">
        <v>2254</v>
      </c>
      <c r="H6" s="3430"/>
      <c r="I6" s="3429" t="s">
        <v>2254</v>
      </c>
      <c r="J6" s="3430"/>
      <c r="K6" s="1961" t="s">
        <v>2255</v>
      </c>
      <c r="L6" s="2991"/>
      <c r="M6" s="2992"/>
      <c r="N6" s="2992"/>
      <c r="O6" s="2992"/>
      <c r="P6" s="3416"/>
      <c r="Q6" s="3417"/>
      <c r="R6" s="3420"/>
      <c r="S6" s="3421"/>
      <c r="T6" s="3422"/>
      <c r="U6" s="3423"/>
      <c r="V6" s="3424"/>
      <c r="W6" s="3424"/>
      <c r="X6" s="2070"/>
      <c r="Y6" s="3422"/>
      <c r="Z6" s="3423"/>
      <c r="AA6" s="3407"/>
      <c r="AB6" s="3424"/>
      <c r="AC6" s="3407"/>
    </row>
    <row r="7" spans="1:29" s="1681" customFormat="1" ht="15.75" thickBot="1">
      <c r="A7" s="1669" t="s">
        <v>2256</v>
      </c>
      <c r="B7" s="1670"/>
      <c r="C7" s="1671">
        <f>'数据-取费表'!B2</f>
        <v>44333</v>
      </c>
      <c r="D7" s="1672">
        <v>100</v>
      </c>
      <c r="E7" s="1673"/>
      <c r="F7" s="1674">
        <f>SUMIF(58:58,YEAR(E7)&amp;"-"&amp;MONTH(E7),59:59)</f>
        <v>0</v>
      </c>
      <c r="G7" s="1673"/>
      <c r="H7" s="1672">
        <f>SUMIF(58:58,YEAR(G7)&amp;"-"&amp;MONTH(G7),59:59)</f>
        <v>0</v>
      </c>
      <c r="I7" s="1673"/>
      <c r="J7" s="1672">
        <f>SUMIF(58:58,YEAR(I7)&amp;"-"&amp;MONTH(I7),59:59)</f>
        <v>0</v>
      </c>
      <c r="K7" s="1963"/>
      <c r="L7" s="2991"/>
      <c r="M7" s="2964"/>
      <c r="N7" s="2964"/>
      <c r="O7" s="2964"/>
      <c r="P7" s="3441" t="s">
        <v>2257</v>
      </c>
      <c r="Q7" s="3443"/>
      <c r="R7" s="1677" t="s">
        <v>25</v>
      </c>
      <c r="S7" s="1678">
        <f t="shared" ref="S7:S15" si="0">F7</f>
        <v>0</v>
      </c>
      <c r="T7" s="1677" t="s">
        <v>25</v>
      </c>
      <c r="U7" s="1678">
        <f t="shared" ref="U7:U15" si="1">H7</f>
        <v>0</v>
      </c>
      <c r="V7" s="1677" t="s">
        <v>25</v>
      </c>
      <c r="W7" s="1678">
        <f t="shared" ref="W7:W15" si="2">J7</f>
        <v>0</v>
      </c>
      <c r="X7" s="1679"/>
      <c r="Y7" s="3441" t="s">
        <v>2257</v>
      </c>
      <c r="Z7" s="3442"/>
      <c r="AA7" s="1680" t="e">
        <f>D7/F7</f>
        <v>#DIV/0!</v>
      </c>
      <c r="AB7" s="1680" t="e">
        <f>D7/H7</f>
        <v>#DIV/0!</v>
      </c>
      <c r="AC7" s="1680" t="e">
        <f>D7/J7</f>
        <v>#DIV/0!</v>
      </c>
    </row>
    <row r="8" spans="1:29" s="1681" customFormat="1" ht="15.75" thickBot="1">
      <c r="A8" s="1669" t="s">
        <v>2258</v>
      </c>
      <c r="B8" s="1670"/>
      <c r="C8" s="1682" t="s">
        <v>2259</v>
      </c>
      <c r="D8" s="1672">
        <v>100</v>
      </c>
      <c r="E8" s="1682"/>
      <c r="F8" s="1674">
        <f>SUMIF(61:61,E8,62:62)-SUMIF(61:61,C8,62:62)+100</f>
        <v>0</v>
      </c>
      <c r="G8" s="1682"/>
      <c r="H8" s="1672">
        <f>SUMIF(61:61,G8,62:62)-SUMIF(61:61,C8,62:62)+100</f>
        <v>0</v>
      </c>
      <c r="I8" s="1682"/>
      <c r="J8" s="1672">
        <f>SUMIF(61:61,I8,62:62)-SUMIF(61:61,C8,62:62)+100</f>
        <v>0</v>
      </c>
      <c r="K8" s="1963"/>
      <c r="L8" s="2991"/>
      <c r="M8" s="2964"/>
      <c r="N8" s="2964"/>
      <c r="O8" s="2964"/>
      <c r="P8" s="3441" t="s">
        <v>2260</v>
      </c>
      <c r="Q8" s="3442"/>
      <c r="R8" s="1677" t="s">
        <v>25</v>
      </c>
      <c r="S8" s="1678">
        <f t="shared" si="0"/>
        <v>0</v>
      </c>
      <c r="T8" s="1677" t="s">
        <v>25</v>
      </c>
      <c r="U8" s="1678">
        <f t="shared" si="1"/>
        <v>0</v>
      </c>
      <c r="V8" s="1677" t="s">
        <v>25</v>
      </c>
      <c r="W8" s="1678">
        <f t="shared" si="2"/>
        <v>0</v>
      </c>
      <c r="X8" s="1679"/>
      <c r="Y8" s="3441" t="s">
        <v>2260</v>
      </c>
      <c r="Z8" s="3442"/>
      <c r="AA8" s="1680" t="e">
        <f t="shared" ref="AA8:AA46" si="3">D8/F8</f>
        <v>#DIV/0!</v>
      </c>
      <c r="AB8" s="1680" t="e">
        <f t="shared" ref="AB8:AB46" si="4">D8/H8</f>
        <v>#DIV/0!</v>
      </c>
      <c r="AC8" s="1680" t="e">
        <f t="shared" ref="AC8:AC46" si="5">D8/J8</f>
        <v>#DIV/0!</v>
      </c>
    </row>
    <row r="9" spans="1:29" s="1681" customFormat="1">
      <c r="A9" s="2062" t="s">
        <v>2261</v>
      </c>
      <c r="B9" s="1683" t="s">
        <v>2262</v>
      </c>
      <c r="C9" s="1684"/>
      <c r="D9" s="1685">
        <v>100</v>
      </c>
      <c r="E9" s="1686"/>
      <c r="F9" s="1687">
        <f>SUMIF(63:63,E9,64:64)-SUMIF(63:63,C9,64:64)+100</f>
        <v>100</v>
      </c>
      <c r="G9" s="1686"/>
      <c r="H9" s="1685">
        <f>SUMIF(63:63,G9,64:64)-SUMIF(63:63,C9,64:64)+100</f>
        <v>100</v>
      </c>
      <c r="I9" s="1686"/>
      <c r="J9" s="1685">
        <f>SUMIF(63:63,I9,64:64)-SUMIF(63:63,C9,64:64)+100</f>
        <v>100</v>
      </c>
      <c r="K9" s="1963"/>
      <c r="L9" s="2991"/>
      <c r="M9" s="2964"/>
      <c r="N9" s="2964"/>
      <c r="O9" s="2964"/>
      <c r="P9" s="3444" t="s">
        <v>2263</v>
      </c>
      <c r="Q9" s="2061" t="str">
        <f t="shared" ref="Q9:Q15" si="6">B9</f>
        <v>用途</v>
      </c>
      <c r="R9" s="1677" t="s">
        <v>25</v>
      </c>
      <c r="S9" s="1678">
        <f t="shared" si="0"/>
        <v>100</v>
      </c>
      <c r="T9" s="1677" t="s">
        <v>25</v>
      </c>
      <c r="U9" s="1678">
        <f t="shared" si="1"/>
        <v>100</v>
      </c>
      <c r="V9" s="1677" t="s">
        <v>25</v>
      </c>
      <c r="W9" s="1678">
        <f t="shared" si="2"/>
        <v>100</v>
      </c>
      <c r="X9" s="1679"/>
      <c r="Y9" s="3338" t="s">
        <v>2264</v>
      </c>
      <c r="Z9" s="1689" t="str">
        <f t="shared" ref="Z9:Z15" si="7">Q9</f>
        <v>用途</v>
      </c>
      <c r="AA9" s="1680">
        <f t="shared" si="3"/>
        <v>1</v>
      </c>
      <c r="AB9" s="1680">
        <f t="shared" si="4"/>
        <v>1</v>
      </c>
      <c r="AC9" s="1680">
        <f t="shared" si="5"/>
        <v>1</v>
      </c>
    </row>
    <row r="10" spans="1:29" s="1697" customFormat="1" ht="27">
      <c r="A10" s="1690"/>
      <c r="B10" s="1691" t="s">
        <v>2265</v>
      </c>
      <c r="C10" s="1692"/>
      <c r="D10" s="1693">
        <v>100</v>
      </c>
      <c r="E10" s="1694"/>
      <c r="F10" s="1695">
        <f>SUMIF(65:65,E10,66:66)-SUMIF(65:65,C10,66:66)+100</f>
        <v>100</v>
      </c>
      <c r="G10" s="1692"/>
      <c r="H10" s="1693">
        <f>SUMIF(65:65,G10,66:66)-SUMIF(65:65,C10,66:66)+100</f>
        <v>100</v>
      </c>
      <c r="I10" s="1692"/>
      <c r="J10" s="1693">
        <f>SUMIF(65:65,I10,66:66)-SUMIF(65:65,C10,66:66)+100</f>
        <v>100</v>
      </c>
      <c r="K10" s="1988"/>
      <c r="L10" s="2993"/>
      <c r="M10" s="2994"/>
      <c r="N10" s="2994"/>
      <c r="O10" s="2994"/>
      <c r="P10" s="3444"/>
      <c r="Q10" s="2061" t="str">
        <f t="shared" si="6"/>
        <v>土地使用年限（年）</v>
      </c>
      <c r="R10" s="1677" t="s">
        <v>25</v>
      </c>
      <c r="S10" s="1678">
        <f t="shared" si="0"/>
        <v>100</v>
      </c>
      <c r="T10" s="1677" t="s">
        <v>25</v>
      </c>
      <c r="U10" s="1678">
        <f t="shared" si="1"/>
        <v>100</v>
      </c>
      <c r="V10" s="1677" t="s">
        <v>25</v>
      </c>
      <c r="W10" s="1678">
        <f t="shared" si="2"/>
        <v>100</v>
      </c>
      <c r="X10" s="1679"/>
      <c r="Y10" s="3338"/>
      <c r="Z10" s="1689" t="str">
        <f t="shared" si="7"/>
        <v>土地使用年限（年）</v>
      </c>
      <c r="AA10" s="1680">
        <f t="shared" si="3"/>
        <v>1</v>
      </c>
      <c r="AB10" s="1680">
        <f t="shared" si="4"/>
        <v>1</v>
      </c>
      <c r="AC10" s="1680">
        <f t="shared" si="5"/>
        <v>1</v>
      </c>
    </row>
    <row r="11" spans="1:29" ht="15">
      <c r="A11" s="1698"/>
      <c r="B11" s="1691" t="s">
        <v>2266</v>
      </c>
      <c r="C11" s="1699"/>
      <c r="D11" s="1693">
        <v>100</v>
      </c>
      <c r="E11" s="1700"/>
      <c r="F11" s="1695" t="e">
        <f>LOOKUP(E11,68:68,69:69)-LOOKUP(C11,68:68,69:69)+100</f>
        <v>#N/A</v>
      </c>
      <c r="G11" s="1699"/>
      <c r="H11" s="1693" t="e">
        <f>LOOKUP(G11,68:68,69:69)-LOOKUP(C11,68:68,69:69)+100</f>
        <v>#N/A</v>
      </c>
      <c r="I11" s="1699"/>
      <c r="J11" s="1693" t="e">
        <f>LOOKUP(I11,68:68,69:69)-LOOKUP(C11,68:68,69:69)+100</f>
        <v>#N/A</v>
      </c>
      <c r="K11" s="1988"/>
      <c r="L11" s="2995"/>
      <c r="M11" s="2992"/>
      <c r="N11" s="2992"/>
      <c r="O11" s="2992"/>
      <c r="P11" s="3444"/>
      <c r="Q11" s="2061" t="str">
        <f t="shared" si="6"/>
        <v>容积率</v>
      </c>
      <c r="R11" s="1677" t="s">
        <v>25</v>
      </c>
      <c r="S11" s="1678" t="e">
        <f t="shared" si="0"/>
        <v>#N/A</v>
      </c>
      <c r="T11" s="1677" t="s">
        <v>25</v>
      </c>
      <c r="U11" s="1678" t="e">
        <f t="shared" si="1"/>
        <v>#N/A</v>
      </c>
      <c r="V11" s="1677" t="s">
        <v>25</v>
      </c>
      <c r="W11" s="1678" t="e">
        <f t="shared" si="2"/>
        <v>#N/A</v>
      </c>
      <c r="X11" s="1679"/>
      <c r="Y11" s="3338"/>
      <c r="Z11" s="1689" t="str">
        <f t="shared" si="7"/>
        <v>容积率</v>
      </c>
      <c r="AA11" s="1680" t="e">
        <f t="shared" si="3"/>
        <v>#N/A</v>
      </c>
      <c r="AB11" s="1680" t="e">
        <f t="shared" si="4"/>
        <v>#N/A</v>
      </c>
      <c r="AC11" s="1680" t="e">
        <f t="shared" si="5"/>
        <v>#N/A</v>
      </c>
    </row>
    <row r="12" spans="1:29" s="1681" customFormat="1" ht="15">
      <c r="A12" s="1701"/>
      <c r="B12" s="1702">
        <v>111</v>
      </c>
      <c r="C12" s="1703"/>
      <c r="D12" s="1704">
        <v>100</v>
      </c>
      <c r="E12" s="1706"/>
      <c r="F12" s="1695">
        <f>SUMIF(70:70,E12,71:71)-SUMIF(70:70,C12,71:71)+100</f>
        <v>100</v>
      </c>
      <c r="G12" s="1706"/>
      <c r="H12" s="1693">
        <f>SUMIF(70:70,G12,71:71)-SUMIF(70:70,C12,71:71)+100</f>
        <v>100</v>
      </c>
      <c r="I12" s="1706"/>
      <c r="J12" s="1693">
        <f>SUMIF(70:70,I12,71:71)-SUMIF(70:70,C12,71:71)+100</f>
        <v>100</v>
      </c>
      <c r="K12" s="1985"/>
      <c r="L12" s="2991"/>
      <c r="M12" s="2964"/>
      <c r="N12" s="2964"/>
      <c r="O12" s="2964"/>
      <c r="P12" s="3444"/>
      <c r="Q12" s="2061">
        <f t="shared" si="6"/>
        <v>111</v>
      </c>
      <c r="R12" s="1677" t="s">
        <v>25</v>
      </c>
      <c r="S12" s="1678">
        <f t="shared" si="0"/>
        <v>100</v>
      </c>
      <c r="T12" s="1677" t="s">
        <v>25</v>
      </c>
      <c r="U12" s="1678">
        <f t="shared" si="1"/>
        <v>100</v>
      </c>
      <c r="V12" s="1677" t="s">
        <v>25</v>
      </c>
      <c r="W12" s="1678">
        <f t="shared" si="2"/>
        <v>100</v>
      </c>
      <c r="X12" s="1679"/>
      <c r="Y12" s="3338"/>
      <c r="Z12" s="1689">
        <f t="shared" si="7"/>
        <v>111</v>
      </c>
      <c r="AA12" s="1680">
        <f>D12/F12</f>
        <v>1</v>
      </c>
      <c r="AB12" s="1680">
        <f>D12/H12</f>
        <v>1</v>
      </c>
      <c r="AC12" s="1680">
        <f>D12/J12</f>
        <v>1</v>
      </c>
    </row>
    <row r="13" spans="1:29" ht="15">
      <c r="A13" s="1698"/>
      <c r="B13" s="1702">
        <v>111</v>
      </c>
      <c r="C13" s="1706"/>
      <c r="D13" s="1707">
        <v>100</v>
      </c>
      <c r="E13" s="1706"/>
      <c r="F13" s="1695">
        <f>SUMIF(72:72,E13,73:73)-SUMIF(72:72,C13,73:73)+100</f>
        <v>100</v>
      </c>
      <c r="G13" s="1706"/>
      <c r="H13" s="1707">
        <f>SUMIF(72:72,G13,73:73)-SUMIF(72:72,C13,73:73)+100</f>
        <v>100</v>
      </c>
      <c r="I13" s="1706"/>
      <c r="J13" s="1707">
        <f>SUMIF(72:72,I13,73:73)-SUMIF(72:72,C13,73:73)+100</f>
        <v>100</v>
      </c>
      <c r="K13" s="1985"/>
      <c r="L13" s="2996"/>
      <c r="M13" s="2992"/>
      <c r="N13" s="2992"/>
      <c r="O13" s="2992"/>
      <c r="P13" s="3444"/>
      <c r="Q13" s="2061">
        <f t="shared" si="6"/>
        <v>111</v>
      </c>
      <c r="R13" s="1677" t="s">
        <v>25</v>
      </c>
      <c r="S13" s="1678">
        <f t="shared" si="0"/>
        <v>100</v>
      </c>
      <c r="T13" s="1677" t="s">
        <v>25</v>
      </c>
      <c r="U13" s="1678">
        <f t="shared" si="1"/>
        <v>100</v>
      </c>
      <c r="V13" s="1677" t="s">
        <v>25</v>
      </c>
      <c r="W13" s="1678">
        <f t="shared" si="2"/>
        <v>100</v>
      </c>
      <c r="X13" s="1679"/>
      <c r="Y13" s="3338"/>
      <c r="Z13" s="1689">
        <f t="shared" si="7"/>
        <v>111</v>
      </c>
      <c r="AA13" s="1680">
        <f t="shared" si="3"/>
        <v>1</v>
      </c>
      <c r="AB13" s="1680">
        <f t="shared" si="4"/>
        <v>1</v>
      </c>
      <c r="AC13" s="1680">
        <f t="shared" si="5"/>
        <v>1</v>
      </c>
    </row>
    <row r="14" spans="1:29" ht="15.75" thickBot="1">
      <c r="A14" s="1708"/>
      <c r="B14" s="1709">
        <v>111</v>
      </c>
      <c r="C14" s="1710"/>
      <c r="D14" s="1711">
        <v>100</v>
      </c>
      <c r="E14" s="1706"/>
      <c r="F14" s="1712">
        <f>SUMIF(74:74,E14,75:75)-SUMIF(74:74,C14,75:75)+100</f>
        <v>100</v>
      </c>
      <c r="G14" s="1706"/>
      <c r="H14" s="1711">
        <f>SUMIF(74:74,G14,75:75)-SUMIF(74:74,C14,75:75)+100</f>
        <v>100</v>
      </c>
      <c r="I14" s="1706"/>
      <c r="J14" s="1711">
        <f>SUMIF(74:74,I14,75:75)-SUMIF(74:74,C14,75:75)+100</f>
        <v>100</v>
      </c>
      <c r="K14" s="1985"/>
      <c r="L14" s="2996"/>
      <c r="M14" s="2992"/>
      <c r="N14" s="2992"/>
      <c r="O14" s="2992"/>
      <c r="P14" s="3444"/>
      <c r="Q14" s="2061">
        <f t="shared" si="6"/>
        <v>111</v>
      </c>
      <c r="R14" s="1677" t="s">
        <v>25</v>
      </c>
      <c r="S14" s="1678">
        <f t="shared" si="0"/>
        <v>100</v>
      </c>
      <c r="T14" s="1677" t="s">
        <v>25</v>
      </c>
      <c r="U14" s="1678">
        <f t="shared" si="1"/>
        <v>100</v>
      </c>
      <c r="V14" s="1677" t="s">
        <v>25</v>
      </c>
      <c r="W14" s="1678">
        <f t="shared" si="2"/>
        <v>100</v>
      </c>
      <c r="X14" s="1679"/>
      <c r="Y14" s="3338"/>
      <c r="Z14" s="1689">
        <f t="shared" si="7"/>
        <v>111</v>
      </c>
      <c r="AA14" s="1680">
        <f t="shared" si="3"/>
        <v>1</v>
      </c>
      <c r="AB14" s="1680">
        <f t="shared" si="4"/>
        <v>1</v>
      </c>
      <c r="AC14" s="1680">
        <f t="shared" si="5"/>
        <v>1</v>
      </c>
    </row>
    <row r="15" spans="1:29" ht="71.25">
      <c r="A15" s="1713" t="s">
        <v>2267</v>
      </c>
      <c r="B15" s="1714" t="s">
        <v>2353</v>
      </c>
      <c r="C15" s="1715" t="str">
        <f>估价对象房地状况!C4</f>
        <v>估价对象位于XX商圈，周边商业氛围成熟，人流量大，商业繁华度好</v>
      </c>
      <c r="D15" s="1716">
        <v>100</v>
      </c>
      <c r="E15" s="1717"/>
      <c r="F15" s="1718">
        <f>SUMIF(76:76,E16,77:77)-SUMIF(76:76,C16,77:77)+100</f>
        <v>100</v>
      </c>
      <c r="G15" s="1719"/>
      <c r="H15" s="1716">
        <f>SUMIF(76:76,G16,77:77)-SUMIF(76:76,C16,77:77)+100</f>
        <v>100</v>
      </c>
      <c r="I15" s="1717"/>
      <c r="J15" s="1716">
        <f>SUMIF(76:76,I16,77:77)-SUMIF(76:76,C16,77:77)+100</f>
        <v>100</v>
      </c>
      <c r="K15" s="2468"/>
      <c r="L15" s="2996"/>
      <c r="M15" s="2992"/>
      <c r="N15" s="2992"/>
      <c r="O15" s="2992"/>
      <c r="P15" s="3447" t="s">
        <v>2268</v>
      </c>
      <c r="Q15" s="2067" t="str">
        <f t="shared" si="6"/>
        <v>商业繁华度</v>
      </c>
      <c r="R15" s="1721" t="s">
        <v>25</v>
      </c>
      <c r="S15" s="1722">
        <f t="shared" si="0"/>
        <v>100</v>
      </c>
      <c r="T15" s="1721" t="s">
        <v>25</v>
      </c>
      <c r="U15" s="1722">
        <f t="shared" si="1"/>
        <v>100</v>
      </c>
      <c r="V15" s="1721" t="s">
        <v>25</v>
      </c>
      <c r="W15" s="1722">
        <f t="shared" si="2"/>
        <v>100</v>
      </c>
      <c r="X15" s="2070"/>
      <c r="Y15" s="3434" t="s">
        <v>2268</v>
      </c>
      <c r="Z15" s="2074" t="str">
        <f t="shared" si="7"/>
        <v>商业繁华度</v>
      </c>
      <c r="AA15" s="2065">
        <f t="shared" si="3"/>
        <v>1</v>
      </c>
      <c r="AB15" s="2065">
        <f t="shared" si="4"/>
        <v>1</v>
      </c>
      <c r="AC15" s="2065">
        <f t="shared" si="5"/>
        <v>1</v>
      </c>
    </row>
    <row r="16" spans="1:29" ht="15">
      <c r="A16" s="1698"/>
      <c r="B16" s="1725"/>
      <c r="C16" s="1726"/>
      <c r="D16" s="1727"/>
      <c r="E16" s="1726"/>
      <c r="F16" s="1729"/>
      <c r="G16" s="1726"/>
      <c r="H16" s="1731"/>
      <c r="I16" s="1726"/>
      <c r="J16" s="1727"/>
      <c r="K16" s="2469"/>
      <c r="L16" s="2996"/>
      <c r="M16" s="2992"/>
      <c r="N16" s="2992"/>
      <c r="O16" s="2992"/>
      <c r="P16" s="3448"/>
      <c r="Q16" s="2067"/>
      <c r="R16" s="1721"/>
      <c r="S16" s="1722"/>
      <c r="T16" s="1721"/>
      <c r="U16" s="1722"/>
      <c r="V16" s="1721"/>
      <c r="W16" s="1722"/>
      <c r="X16" s="2070"/>
      <c r="Y16" s="3435"/>
      <c r="Z16" s="2074"/>
      <c r="AA16" s="2065">
        <v>1</v>
      </c>
      <c r="AB16" s="2065">
        <v>1</v>
      </c>
      <c r="AC16" s="2065">
        <v>1</v>
      </c>
    </row>
    <row r="17" spans="1:29" ht="85.5">
      <c r="A17" s="1698"/>
      <c r="B17" s="1733" t="s">
        <v>1706</v>
      </c>
      <c r="C17" s="1734" t="str">
        <f>估价对象房地状况!C6</f>
        <v>估价对象周边道路状况、公共交通通达情况、停车便捷程度，综合评价交通便捷度较好</v>
      </c>
      <c r="D17" s="1731">
        <v>100</v>
      </c>
      <c r="E17" s="1735"/>
      <c r="F17" s="1736">
        <f>SUMIF(78:78,E18,79:79)-SUMIF(78:78,C18,79:79)+100</f>
        <v>100</v>
      </c>
      <c r="G17" s="1737"/>
      <c r="H17" s="1738">
        <f>SUMIF(78:78,G18,79:79)-SUMIF(78:78,C18,79:79)+100</f>
        <v>100</v>
      </c>
      <c r="I17" s="1735"/>
      <c r="J17" s="1738">
        <f>SUMIF(78:78,I18,79:79)-SUMIF(78:78,C18,79:79)+100</f>
        <v>100</v>
      </c>
      <c r="K17" s="2468"/>
      <c r="L17" s="2996"/>
      <c r="M17" s="2992"/>
      <c r="N17" s="2992"/>
      <c r="O17" s="2992"/>
      <c r="P17" s="3448"/>
      <c r="Q17" s="2067" t="str">
        <f>B17</f>
        <v>交通便捷度</v>
      </c>
      <c r="R17" s="1721" t="s">
        <v>25</v>
      </c>
      <c r="S17" s="1722">
        <f>F17</f>
        <v>100</v>
      </c>
      <c r="T17" s="1721" t="s">
        <v>25</v>
      </c>
      <c r="U17" s="1722">
        <f>H17</f>
        <v>100</v>
      </c>
      <c r="V17" s="1721" t="s">
        <v>25</v>
      </c>
      <c r="W17" s="1722">
        <f>J17</f>
        <v>100</v>
      </c>
      <c r="X17" s="2070"/>
      <c r="Y17" s="3435"/>
      <c r="Z17" s="2074" t="str">
        <f>Q17</f>
        <v>交通便捷度</v>
      </c>
      <c r="AA17" s="2065">
        <f t="shared" si="3"/>
        <v>1</v>
      </c>
      <c r="AB17" s="2065">
        <f t="shared" si="4"/>
        <v>1</v>
      </c>
      <c r="AC17" s="2065">
        <f t="shared" si="5"/>
        <v>1</v>
      </c>
    </row>
    <row r="18" spans="1:29" ht="15">
      <c r="A18" s="1698"/>
      <c r="B18" s="1739"/>
      <c r="C18" s="1740"/>
      <c r="D18" s="1731"/>
      <c r="E18" s="1741"/>
      <c r="F18" s="1736"/>
      <c r="G18" s="1742"/>
      <c r="H18" s="1727"/>
      <c r="I18" s="1741"/>
      <c r="J18" s="1727"/>
      <c r="K18" s="2469"/>
      <c r="L18" s="2996"/>
      <c r="M18" s="2992"/>
      <c r="N18" s="2992"/>
      <c r="O18" s="2992"/>
      <c r="P18" s="3448"/>
      <c r="Q18" s="2067"/>
      <c r="R18" s="1721"/>
      <c r="S18" s="1722"/>
      <c r="T18" s="1721"/>
      <c r="U18" s="1722"/>
      <c r="V18" s="1721"/>
      <c r="W18" s="1722"/>
      <c r="X18" s="2070"/>
      <c r="Y18" s="3435"/>
      <c r="Z18" s="2074"/>
      <c r="AA18" s="2065">
        <v>1</v>
      </c>
      <c r="AB18" s="2065">
        <v>1</v>
      </c>
      <c r="AC18" s="2065">
        <v>1</v>
      </c>
    </row>
    <row r="19" spans="1:29" ht="42.75">
      <c r="A19" s="1698"/>
      <c r="B19" s="1733" t="s">
        <v>2354</v>
      </c>
      <c r="C19" s="1734" t="str">
        <f>估价对象房地状况!C7</f>
        <v>估价对象所在区域公共配套设施齐备情况</v>
      </c>
      <c r="D19" s="1738">
        <v>100</v>
      </c>
      <c r="E19" s="1743"/>
      <c r="F19" s="1744">
        <f>SUMIF(80:80,E20,81:81)-SUMIF(80:80,C20,81:81)+100</f>
        <v>100</v>
      </c>
      <c r="G19" s="1745"/>
      <c r="H19" s="1731">
        <f>SUMIF(80:80,G20,81:81)-SUMIF(80:80,C20,81:81)+100</f>
        <v>100</v>
      </c>
      <c r="I19" s="1743"/>
      <c r="J19" s="1731">
        <f>SUMIF(80:80,I20,81:81)-SUMIF(80:80,C20,81:81)+100</f>
        <v>100</v>
      </c>
      <c r="K19" s="2468"/>
      <c r="L19" s="2996"/>
      <c r="M19" s="2992"/>
      <c r="N19" s="2992"/>
      <c r="O19" s="2992"/>
      <c r="P19" s="3448"/>
      <c r="Q19" s="2067" t="str">
        <f>B19</f>
        <v>公共配套设施</v>
      </c>
      <c r="R19" s="1721" t="s">
        <v>25</v>
      </c>
      <c r="S19" s="1722">
        <f>F19</f>
        <v>100</v>
      </c>
      <c r="T19" s="1721" t="s">
        <v>25</v>
      </c>
      <c r="U19" s="1722">
        <f>H19</f>
        <v>100</v>
      </c>
      <c r="V19" s="1721" t="s">
        <v>25</v>
      </c>
      <c r="W19" s="1722">
        <f>J19</f>
        <v>100</v>
      </c>
      <c r="X19" s="2070"/>
      <c r="Y19" s="3435"/>
      <c r="Z19" s="2074" t="str">
        <f>Q19</f>
        <v>公共配套设施</v>
      </c>
      <c r="AA19" s="2065">
        <f t="shared" si="3"/>
        <v>1</v>
      </c>
      <c r="AB19" s="2065">
        <f t="shared" si="4"/>
        <v>1</v>
      </c>
      <c r="AC19" s="2065">
        <f t="shared" si="5"/>
        <v>1</v>
      </c>
    </row>
    <row r="20" spans="1:29" ht="15">
      <c r="A20" s="1698"/>
      <c r="B20" s="1739"/>
      <c r="C20" s="1726"/>
      <c r="D20" s="1727"/>
      <c r="E20" s="1728"/>
      <c r="F20" s="1729"/>
      <c r="G20" s="1730"/>
      <c r="H20" s="1727"/>
      <c r="I20" s="1728"/>
      <c r="J20" s="1727"/>
      <c r="K20" s="2469"/>
      <c r="L20" s="2996"/>
      <c r="M20" s="2992"/>
      <c r="N20" s="2992"/>
      <c r="O20" s="2992"/>
      <c r="P20" s="3448"/>
      <c r="Q20" s="2067"/>
      <c r="R20" s="1721"/>
      <c r="S20" s="1722"/>
      <c r="T20" s="1721"/>
      <c r="U20" s="1722"/>
      <c r="V20" s="1721"/>
      <c r="W20" s="1722"/>
      <c r="X20" s="2070"/>
      <c r="Y20" s="3435"/>
      <c r="Z20" s="2074"/>
      <c r="AA20" s="2065">
        <v>1</v>
      </c>
      <c r="AB20" s="2065">
        <v>1</v>
      </c>
      <c r="AC20" s="2065">
        <v>1</v>
      </c>
    </row>
    <row r="21" spans="1:29" ht="28.5">
      <c r="A21" s="1698"/>
      <c r="B21" s="1746" t="s">
        <v>2355</v>
      </c>
      <c r="C21" s="1734" t="str">
        <f>估价对象房地状况!C8</f>
        <v>估价对象所在区域基础设施水平</v>
      </c>
      <c r="D21" s="1738">
        <v>100</v>
      </c>
      <c r="E21" s="1743"/>
      <c r="F21" s="1744">
        <f>SUMIF(82:82,E22,83:83)-SUMIF(82:82,C22,83:83)+100</f>
        <v>100</v>
      </c>
      <c r="G21" s="1745"/>
      <c r="H21" s="1731">
        <f>SUMIF(82:82,G22,83:83)-SUMIF(82:82,C22,83:83)+100</f>
        <v>100</v>
      </c>
      <c r="I21" s="1743"/>
      <c r="J21" s="1731">
        <f>SUMIF(82:82,I22,83:83)-SUMIF(82:82,C22,83:83)+100</f>
        <v>100</v>
      </c>
      <c r="K21" s="2468"/>
      <c r="L21" s="2996"/>
      <c r="M21" s="2992"/>
      <c r="N21" s="2992"/>
      <c r="O21" s="2992"/>
      <c r="P21" s="3448"/>
      <c r="Q21" s="2067" t="str">
        <f>B21</f>
        <v>基础设施水平</v>
      </c>
      <c r="R21" s="1721" t="s">
        <v>25</v>
      </c>
      <c r="S21" s="1722">
        <f>F21</f>
        <v>100</v>
      </c>
      <c r="T21" s="1721" t="s">
        <v>25</v>
      </c>
      <c r="U21" s="1722">
        <f>H21</f>
        <v>100</v>
      </c>
      <c r="V21" s="1721" t="s">
        <v>25</v>
      </c>
      <c r="W21" s="1722">
        <f>J21</f>
        <v>100</v>
      </c>
      <c r="X21" s="2070"/>
      <c r="Y21" s="3435"/>
      <c r="Z21" s="2074" t="str">
        <f>Q21</f>
        <v>基础设施水平</v>
      </c>
      <c r="AA21" s="2065">
        <f t="shared" ref="AA21" si="8">D21/F21</f>
        <v>1</v>
      </c>
      <c r="AB21" s="2065">
        <f t="shared" ref="AB21" si="9">D21/H21</f>
        <v>1</v>
      </c>
      <c r="AC21" s="2065">
        <f t="shared" ref="AC21" si="10">D21/J21</f>
        <v>1</v>
      </c>
    </row>
    <row r="22" spans="1:29" ht="15">
      <c r="A22" s="1698"/>
      <c r="B22" s="1746"/>
      <c r="C22" s="1740"/>
      <c r="D22" s="1727"/>
      <c r="E22" s="1726"/>
      <c r="F22" s="1729"/>
      <c r="G22" s="1726"/>
      <c r="H22" s="1727"/>
      <c r="I22" s="1726"/>
      <c r="J22" s="1727"/>
      <c r="K22" s="2470"/>
      <c r="L22" s="2996"/>
      <c r="M22" s="2992"/>
      <c r="N22" s="2992"/>
      <c r="O22" s="2992"/>
      <c r="P22" s="3448"/>
      <c r="Q22" s="2067"/>
      <c r="R22" s="1721"/>
      <c r="S22" s="1722"/>
      <c r="T22" s="1721"/>
      <c r="U22" s="1722"/>
      <c r="V22" s="1721"/>
      <c r="W22" s="1722"/>
      <c r="X22" s="2070"/>
      <c r="Y22" s="3435"/>
      <c r="Z22" s="2074"/>
      <c r="AA22" s="2065">
        <v>1</v>
      </c>
      <c r="AB22" s="2065">
        <v>1</v>
      </c>
      <c r="AC22" s="2065">
        <v>1</v>
      </c>
    </row>
    <row r="23" spans="1:29" ht="57">
      <c r="A23" s="1698"/>
      <c r="B23" s="1733" t="s">
        <v>1708</v>
      </c>
      <c r="C23" s="2471" t="str">
        <f>估价对象房地状况!C9</f>
        <v>区域自然环境：；人文环境；综合评价环境状况一般</v>
      </c>
      <c r="D23" s="1731">
        <v>100</v>
      </c>
      <c r="E23" s="1735"/>
      <c r="F23" s="1736">
        <f>SUMIF(84:84,E24,85:85)-SUMIF(84:84,C24,85:85)+100</f>
        <v>100</v>
      </c>
      <c r="G23" s="1737"/>
      <c r="H23" s="1731">
        <f>SUMIF(84:84,G24,85:85)-SUMIF(84:84,C24,85:85)+100</f>
        <v>100</v>
      </c>
      <c r="I23" s="1735"/>
      <c r="J23" s="1731">
        <f>SUMIF(84:84,I24,85:85)-SUMIF(84:84,C24,85:85)+100</f>
        <v>100</v>
      </c>
      <c r="K23" s="2468"/>
      <c r="L23" s="2996"/>
      <c r="M23" s="2992"/>
      <c r="N23" s="2992"/>
      <c r="O23" s="2992"/>
      <c r="P23" s="3448"/>
      <c r="Q23" s="2067" t="str">
        <f>B23</f>
        <v>自然及人文环境</v>
      </c>
      <c r="R23" s="1721" t="s">
        <v>25</v>
      </c>
      <c r="S23" s="1722">
        <f>F23</f>
        <v>100</v>
      </c>
      <c r="T23" s="1721" t="s">
        <v>25</v>
      </c>
      <c r="U23" s="1722">
        <f>H23</f>
        <v>100</v>
      </c>
      <c r="V23" s="1721" t="s">
        <v>25</v>
      </c>
      <c r="W23" s="1722">
        <f>J23</f>
        <v>100</v>
      </c>
      <c r="X23" s="2070"/>
      <c r="Y23" s="3435"/>
      <c r="Z23" s="2074" t="str">
        <f>Q23</f>
        <v>自然及人文环境</v>
      </c>
      <c r="AA23" s="2065">
        <f t="shared" si="3"/>
        <v>1</v>
      </c>
      <c r="AB23" s="2065">
        <f t="shared" si="4"/>
        <v>1</v>
      </c>
      <c r="AC23" s="2065">
        <f t="shared" si="5"/>
        <v>1</v>
      </c>
    </row>
    <row r="24" spans="1:29" ht="15">
      <c r="A24" s="1698"/>
      <c r="B24" s="1739"/>
      <c r="C24" s="1726"/>
      <c r="D24" s="1727"/>
      <c r="E24" s="1728"/>
      <c r="F24" s="1729"/>
      <c r="G24" s="1730"/>
      <c r="H24" s="1727"/>
      <c r="I24" s="1728"/>
      <c r="J24" s="1727"/>
      <c r="K24" s="2469"/>
      <c r="L24" s="2996"/>
      <c r="M24" s="2992"/>
      <c r="N24" s="2992"/>
      <c r="O24" s="2992"/>
      <c r="P24" s="3448"/>
      <c r="Q24" s="2067"/>
      <c r="R24" s="1721"/>
      <c r="S24" s="1722"/>
      <c r="T24" s="1721"/>
      <c r="U24" s="1722"/>
      <c r="V24" s="1721"/>
      <c r="W24" s="1722"/>
      <c r="X24" s="2070"/>
      <c r="Y24" s="3435"/>
      <c r="Z24" s="2074"/>
      <c r="AA24" s="2065">
        <v>1</v>
      </c>
      <c r="AB24" s="2065">
        <v>1</v>
      </c>
      <c r="AC24" s="2065">
        <v>1</v>
      </c>
    </row>
    <row r="25" spans="1:29" ht="15">
      <c r="A25" s="1698"/>
      <c r="B25" s="1691" t="s">
        <v>2356</v>
      </c>
      <c r="C25" s="1987"/>
      <c r="D25" s="1707">
        <v>100</v>
      </c>
      <c r="E25" s="1987"/>
      <c r="F25" s="1750">
        <f>SUMIF(86:86,E25,87:87)-SUMIF(86:86,C25,87:87)+100</f>
        <v>100</v>
      </c>
      <c r="G25" s="1987"/>
      <c r="H25" s="1707">
        <f>SUMIF(86:86,G25,87:87)-SUMIF(86:86,C25,87:87)+100</f>
        <v>100</v>
      </c>
      <c r="I25" s="1987"/>
      <c r="J25" s="1707">
        <f>SUMIF(86:86,I25,87:87)-SUMIF(86:86,C25,87:87)+100</f>
        <v>100</v>
      </c>
      <c r="K25" s="1988"/>
      <c r="L25" s="2996"/>
      <c r="M25" s="2992"/>
      <c r="N25" s="2992"/>
      <c r="O25" s="2992"/>
      <c r="P25" s="3448"/>
      <c r="Q25" s="2067" t="str">
        <f t="shared" ref="Q25:Q46" si="11">B25</f>
        <v>临街状况</v>
      </c>
      <c r="R25" s="1721" t="s">
        <v>25</v>
      </c>
      <c r="S25" s="1722">
        <f>F25</f>
        <v>100</v>
      </c>
      <c r="T25" s="1721" t="s">
        <v>25</v>
      </c>
      <c r="U25" s="1722">
        <f>H25</f>
        <v>100</v>
      </c>
      <c r="V25" s="1721" t="s">
        <v>25</v>
      </c>
      <c r="W25" s="1722">
        <f>J25</f>
        <v>100</v>
      </c>
      <c r="X25" s="2070"/>
      <c r="Y25" s="3435"/>
      <c r="Z25" s="2074" t="str">
        <f>Q25</f>
        <v>临街状况</v>
      </c>
      <c r="AA25" s="2065">
        <f t="shared" si="3"/>
        <v>1</v>
      </c>
      <c r="AB25" s="2065">
        <f t="shared" si="4"/>
        <v>1</v>
      </c>
      <c r="AC25" s="2065">
        <f t="shared" si="5"/>
        <v>1</v>
      </c>
    </row>
    <row r="26" spans="1:29" ht="15">
      <c r="A26" s="1698"/>
      <c r="B26" s="1756" t="s">
        <v>2357</v>
      </c>
      <c r="C26" s="1706"/>
      <c r="D26" s="1707">
        <v>100</v>
      </c>
      <c r="E26" s="1706"/>
      <c r="F26" s="1750">
        <f>SUMIF(88:88,E26,89:89)-SUMIF(88:88,C26,89:89)+100</f>
        <v>100</v>
      </c>
      <c r="G26" s="1706"/>
      <c r="H26" s="1707">
        <f>SUMIF(88:88,G26,89:89)-SUMIF(88:88,C26,89:89)+100</f>
        <v>100</v>
      </c>
      <c r="I26" s="1706"/>
      <c r="J26" s="1707">
        <f>SUMIF(88:88,I26,89:89)-SUMIF(88:88,C26,89:89)+100</f>
        <v>100</v>
      </c>
      <c r="K26" s="1985"/>
      <c r="L26" s="2996"/>
      <c r="M26" s="2992"/>
      <c r="N26" s="2992"/>
      <c r="O26" s="2992"/>
      <c r="P26" s="3448"/>
      <c r="Q26" s="2067" t="str">
        <f t="shared" si="11"/>
        <v>平面位置/可视性</v>
      </c>
      <c r="R26" s="1721" t="s">
        <v>25</v>
      </c>
      <c r="S26" s="1722">
        <f>F26</f>
        <v>100</v>
      </c>
      <c r="T26" s="1721" t="s">
        <v>25</v>
      </c>
      <c r="U26" s="1722">
        <f>H26</f>
        <v>100</v>
      </c>
      <c r="V26" s="1721" t="s">
        <v>25</v>
      </c>
      <c r="W26" s="1722">
        <f>J26</f>
        <v>100</v>
      </c>
      <c r="X26" s="2070"/>
      <c r="Y26" s="3435"/>
      <c r="Z26" s="2074" t="str">
        <f>Q26</f>
        <v>平面位置/可视性</v>
      </c>
      <c r="AA26" s="2065">
        <f t="shared" si="3"/>
        <v>1</v>
      </c>
      <c r="AB26" s="2065">
        <f t="shared" si="4"/>
        <v>1</v>
      </c>
      <c r="AC26" s="2065">
        <f t="shared" si="5"/>
        <v>1</v>
      </c>
    </row>
    <row r="27" spans="1:29" s="1681" customFormat="1" ht="15">
      <c r="A27" s="1701"/>
      <c r="B27" s="1733" t="s">
        <v>2358</v>
      </c>
      <c r="C27" s="2472"/>
      <c r="D27" s="1752">
        <v>100</v>
      </c>
      <c r="E27" s="2472"/>
      <c r="F27" s="1754">
        <f>SUMIF(90:90,E27,91:91)-SUMIF(90:90,C27,91:91)+100</f>
        <v>100</v>
      </c>
      <c r="G27" s="2472"/>
      <c r="H27" s="1752">
        <f>SUMIF(90:90,G27,91:91)-SUMIF(90:90,C27,91:91)+100</f>
        <v>100</v>
      </c>
      <c r="I27" s="2472"/>
      <c r="J27" s="1752">
        <f>SUMIF(90:90,I27,91:91)-SUMIF(90:90,C27,91:91)+100</f>
        <v>100</v>
      </c>
      <c r="K27" s="1988"/>
      <c r="L27" s="2991"/>
      <c r="M27" s="2964"/>
      <c r="N27" s="2964"/>
      <c r="O27" s="2964"/>
      <c r="P27" s="3448"/>
      <c r="Q27" s="2061" t="str">
        <f t="shared" si="11"/>
        <v>人流量</v>
      </c>
      <c r="R27" s="1677" t="s">
        <v>25</v>
      </c>
      <c r="S27" s="1678">
        <f>F27</f>
        <v>100</v>
      </c>
      <c r="T27" s="1677" t="s">
        <v>25</v>
      </c>
      <c r="U27" s="1678">
        <f>H27</f>
        <v>100</v>
      </c>
      <c r="V27" s="1677" t="s">
        <v>25</v>
      </c>
      <c r="W27" s="1678">
        <f>J27</f>
        <v>100</v>
      </c>
      <c r="X27" s="1679"/>
      <c r="Y27" s="3435"/>
      <c r="Z27" s="1689" t="str">
        <f>Q27</f>
        <v>人流量</v>
      </c>
      <c r="AA27" s="2065">
        <f>D27/F27</f>
        <v>1</v>
      </c>
      <c r="AB27" s="2065">
        <f>D27/H27</f>
        <v>1</v>
      </c>
      <c r="AC27" s="2065">
        <f>D27/J27</f>
        <v>1</v>
      </c>
    </row>
    <row r="28" spans="1:29" ht="15">
      <c r="A28" s="1698"/>
      <c r="B28" s="1691" t="s">
        <v>2359</v>
      </c>
      <c r="C28" s="1987"/>
      <c r="D28" s="1707">
        <v>100</v>
      </c>
      <c r="E28" s="1987"/>
      <c r="F28" s="1750">
        <f>SUMIF(92:92,E28,93:93)-SUMIF(92:92,C28,93:93)+100</f>
        <v>100</v>
      </c>
      <c r="G28" s="1987"/>
      <c r="H28" s="1707">
        <f>SUMIF(92:92,G28,93:93)-SUMIF(92:92,C28,93:93)+100</f>
        <v>100</v>
      </c>
      <c r="I28" s="1987"/>
      <c r="J28" s="1707">
        <f>SUMIF(92:92,I28,93:93)-SUMIF(92:92,C28,93:93)+100</f>
        <v>100</v>
      </c>
      <c r="K28" s="1985"/>
      <c r="L28" s="2996"/>
      <c r="M28" s="2992"/>
      <c r="N28" s="2992"/>
      <c r="O28" s="2992"/>
      <c r="P28" s="3448"/>
      <c r="Q28" s="2067" t="str">
        <f t="shared" si="11"/>
        <v>楼层</v>
      </c>
      <c r="R28" s="1721" t="s">
        <v>25</v>
      </c>
      <c r="S28" s="1722">
        <f t="shared" ref="S28:S46" si="12">F28</f>
        <v>100</v>
      </c>
      <c r="T28" s="1721" t="s">
        <v>25</v>
      </c>
      <c r="U28" s="1722">
        <f t="shared" ref="U28:U46" si="13">H28</f>
        <v>100</v>
      </c>
      <c r="V28" s="1721" t="s">
        <v>25</v>
      </c>
      <c r="W28" s="1722">
        <f t="shared" ref="W28:W46" si="14">J28</f>
        <v>100</v>
      </c>
      <c r="X28" s="2070"/>
      <c r="Y28" s="3435"/>
      <c r="Z28" s="2074" t="str">
        <f t="shared" ref="Z28:Z46" si="15">Q28</f>
        <v>楼层</v>
      </c>
      <c r="AA28" s="2065">
        <f t="shared" si="3"/>
        <v>1</v>
      </c>
      <c r="AB28" s="2065">
        <f t="shared" si="4"/>
        <v>1</v>
      </c>
      <c r="AC28" s="2065">
        <f t="shared" si="5"/>
        <v>1</v>
      </c>
    </row>
    <row r="29" spans="1:29" ht="15">
      <c r="A29" s="1698"/>
      <c r="B29" s="1756">
        <v>111</v>
      </c>
      <c r="C29" s="1706"/>
      <c r="D29" s="1707">
        <v>100</v>
      </c>
      <c r="E29" s="1706"/>
      <c r="F29" s="1750">
        <f>SUMIF(94:94,E29,95:95)-SUMIF(94:94,C29,95:95)+100</f>
        <v>100</v>
      </c>
      <c r="G29" s="1706"/>
      <c r="H29" s="1707">
        <f>SUMIF(94:94,G29,95:95)-SUMIF(94:94,C29,95:95)+100</f>
        <v>100</v>
      </c>
      <c r="I29" s="1706"/>
      <c r="J29" s="1707">
        <f>SUMIF(94:94,I29,95:95)-SUMIF(94:94,C29,95:95)+100</f>
        <v>100</v>
      </c>
      <c r="K29" s="1985"/>
      <c r="L29" s="2996"/>
      <c r="M29" s="2992"/>
      <c r="N29" s="2992"/>
      <c r="O29" s="2992"/>
      <c r="P29" s="3448"/>
      <c r="Q29" s="2067">
        <f t="shared" si="11"/>
        <v>111</v>
      </c>
      <c r="R29" s="1721" t="s">
        <v>25</v>
      </c>
      <c r="S29" s="1722">
        <f t="shared" si="12"/>
        <v>100</v>
      </c>
      <c r="T29" s="1721" t="s">
        <v>25</v>
      </c>
      <c r="U29" s="1722">
        <f t="shared" si="13"/>
        <v>100</v>
      </c>
      <c r="V29" s="1721" t="s">
        <v>25</v>
      </c>
      <c r="W29" s="1722">
        <f t="shared" si="14"/>
        <v>100</v>
      </c>
      <c r="X29" s="2070"/>
      <c r="Y29" s="3435"/>
      <c r="Z29" s="2074">
        <f t="shared" si="15"/>
        <v>111</v>
      </c>
      <c r="AA29" s="2065">
        <f t="shared" si="3"/>
        <v>1</v>
      </c>
      <c r="AB29" s="2065">
        <f t="shared" si="4"/>
        <v>1</v>
      </c>
      <c r="AC29" s="2065">
        <f t="shared" si="5"/>
        <v>1</v>
      </c>
    </row>
    <row r="30" spans="1:29" ht="15">
      <c r="A30" s="1698"/>
      <c r="B30" s="1756">
        <v>111</v>
      </c>
      <c r="C30" s="1706"/>
      <c r="D30" s="1707">
        <v>100</v>
      </c>
      <c r="E30" s="1706"/>
      <c r="F30" s="1750">
        <f>SUMIF(96:96,E30,97:97)-SUMIF(96:96,C30,97:97)+100</f>
        <v>100</v>
      </c>
      <c r="G30" s="1706"/>
      <c r="H30" s="1707">
        <f>SUMIF(96:96,G30,97:97)-SUMIF(96:96,C30,97:97)+100</f>
        <v>100</v>
      </c>
      <c r="I30" s="1706"/>
      <c r="J30" s="1707">
        <f>SUMIF(96:96,I30,97:97)-SUMIF(96:96,C30,97:97)+100</f>
        <v>100</v>
      </c>
      <c r="K30" s="1985"/>
      <c r="L30" s="2996"/>
      <c r="M30" s="2992"/>
      <c r="N30" s="2992"/>
      <c r="O30" s="2992"/>
      <c r="P30" s="3448"/>
      <c r="Q30" s="2067">
        <f t="shared" si="11"/>
        <v>111</v>
      </c>
      <c r="R30" s="1721" t="s">
        <v>25</v>
      </c>
      <c r="S30" s="1722">
        <f t="shared" si="12"/>
        <v>100</v>
      </c>
      <c r="T30" s="1721" t="s">
        <v>25</v>
      </c>
      <c r="U30" s="1722">
        <f t="shared" si="13"/>
        <v>100</v>
      </c>
      <c r="V30" s="1721" t="s">
        <v>25</v>
      </c>
      <c r="W30" s="1722">
        <f t="shared" si="14"/>
        <v>100</v>
      </c>
      <c r="X30" s="2070"/>
      <c r="Y30" s="3435"/>
      <c r="Z30" s="2074">
        <f t="shared" si="15"/>
        <v>111</v>
      </c>
      <c r="AA30" s="2065">
        <f t="shared" si="3"/>
        <v>1</v>
      </c>
      <c r="AB30" s="2065">
        <f t="shared" si="4"/>
        <v>1</v>
      </c>
      <c r="AC30" s="2065">
        <f t="shared" si="5"/>
        <v>1</v>
      </c>
    </row>
    <row r="31" spans="1:29" ht="15.75" thickBot="1">
      <c r="A31" s="1708"/>
      <c r="B31" s="1756">
        <v>111</v>
      </c>
      <c r="C31" s="1710"/>
      <c r="D31" s="1711">
        <v>100</v>
      </c>
      <c r="E31" s="1706"/>
      <c r="F31" s="1712">
        <f>SUMIF(98:98,E31,99:99)-SUMIF(98:98,C31,99:99)+100</f>
        <v>100</v>
      </c>
      <c r="G31" s="1706"/>
      <c r="H31" s="1711">
        <f>SUMIF(98:98,G31,99:99)-SUMIF(98:98,C31,99:99)+100</f>
        <v>100</v>
      </c>
      <c r="I31" s="1706"/>
      <c r="J31" s="1711">
        <f>SUMIF(98:98,I31,99:99)-SUMIF(98:98,C31,99:99)+100</f>
        <v>100</v>
      </c>
      <c r="K31" s="1985"/>
      <c r="L31" s="2996"/>
      <c r="M31" s="2992"/>
      <c r="N31" s="2992"/>
      <c r="O31" s="2992"/>
      <c r="P31" s="3448"/>
      <c r="Q31" s="2067">
        <f t="shared" si="11"/>
        <v>111</v>
      </c>
      <c r="R31" s="1721" t="s">
        <v>25</v>
      </c>
      <c r="S31" s="1722">
        <f t="shared" si="12"/>
        <v>100</v>
      </c>
      <c r="T31" s="1721" t="s">
        <v>25</v>
      </c>
      <c r="U31" s="1722">
        <f t="shared" si="13"/>
        <v>100</v>
      </c>
      <c r="V31" s="1721" t="s">
        <v>25</v>
      </c>
      <c r="W31" s="1722">
        <f t="shared" si="14"/>
        <v>100</v>
      </c>
      <c r="X31" s="2070"/>
      <c r="Y31" s="3435"/>
      <c r="Z31" s="2074">
        <f t="shared" si="15"/>
        <v>111</v>
      </c>
      <c r="AA31" s="2065">
        <f t="shared" si="3"/>
        <v>1</v>
      </c>
      <c r="AB31" s="2065">
        <f t="shared" si="4"/>
        <v>1</v>
      </c>
      <c r="AC31" s="2065">
        <f t="shared" si="5"/>
        <v>1</v>
      </c>
    </row>
    <row r="32" spans="1:29" ht="15">
      <c r="A32" s="1713" t="s">
        <v>2272</v>
      </c>
      <c r="B32" s="1683" t="s">
        <v>2360</v>
      </c>
      <c r="C32" s="1757"/>
      <c r="D32" s="1758">
        <v>100</v>
      </c>
      <c r="E32" s="1757"/>
      <c r="F32" s="1750">
        <f>SUMIF(100:100,E32,101:101)-SUMIF(100:100,C32,101:101)+100</f>
        <v>100</v>
      </c>
      <c r="G32" s="1757"/>
      <c r="H32" s="1707">
        <f>SUMIF(100:100,G32,101:101)-SUMIF(100:100,C32,101:101)+100</f>
        <v>100</v>
      </c>
      <c r="I32" s="1757"/>
      <c r="J32" s="1758">
        <f>SUMIF(100:100,I32,101:101)-SUMIF(100:100,C32,101:101)+100</f>
        <v>100</v>
      </c>
      <c r="K32" s="1988"/>
      <c r="L32" s="2996"/>
      <c r="M32" s="2992"/>
      <c r="N32" s="2992"/>
      <c r="O32" s="2992"/>
      <c r="P32" s="3436" t="s">
        <v>2274</v>
      </c>
      <c r="Q32" s="2067" t="str">
        <f t="shared" si="11"/>
        <v>商业类型</v>
      </c>
      <c r="R32" s="1721" t="s">
        <v>25</v>
      </c>
      <c r="S32" s="1722">
        <f t="shared" si="12"/>
        <v>100</v>
      </c>
      <c r="T32" s="1721" t="s">
        <v>25</v>
      </c>
      <c r="U32" s="1722">
        <f t="shared" si="13"/>
        <v>100</v>
      </c>
      <c r="V32" s="1721" t="s">
        <v>25</v>
      </c>
      <c r="W32" s="1722">
        <f t="shared" si="14"/>
        <v>100</v>
      </c>
      <c r="X32" s="2070"/>
      <c r="Y32" s="3439" t="s">
        <v>2274</v>
      </c>
      <c r="Z32" s="2074" t="str">
        <f t="shared" si="15"/>
        <v>商业类型</v>
      </c>
      <c r="AA32" s="2065">
        <f t="shared" si="3"/>
        <v>1</v>
      </c>
      <c r="AB32" s="2065">
        <f t="shared" si="4"/>
        <v>1</v>
      </c>
      <c r="AC32" s="2065">
        <f t="shared" si="5"/>
        <v>1</v>
      </c>
    </row>
    <row r="33" spans="1:29" s="1767" customFormat="1" ht="15">
      <c r="A33" s="1760"/>
      <c r="B33" s="1691" t="s">
        <v>2275</v>
      </c>
      <c r="C33" s="1761"/>
      <c r="D33" s="1693">
        <v>100</v>
      </c>
      <c r="E33" s="1700"/>
      <c r="F33" s="1695" t="e">
        <f>LOOKUP(E33,103:103,104:104)-LOOKUP(C33,103:103,104:104)+100</f>
        <v>#N/A</v>
      </c>
      <c r="G33" s="1699"/>
      <c r="H33" s="1693" t="e">
        <f>LOOKUP(G33,103:103,104:104)-LOOKUP(C33,103:103,104:104)+100</f>
        <v>#N/A</v>
      </c>
      <c r="I33" s="1699"/>
      <c r="J33" s="1693" t="e">
        <f>LOOKUP(I33,103:103,104:104)-LOOKUP(C33,103:103,104:104)+100</f>
        <v>#N/A</v>
      </c>
      <c r="K33" s="1985"/>
      <c r="L33" s="2995"/>
      <c r="M33" s="2055"/>
      <c r="N33" s="2055"/>
      <c r="O33" s="2055"/>
      <c r="P33" s="3437"/>
      <c r="Q33" s="1762" t="str">
        <f t="shared" si="11"/>
        <v>项目建筑规模</v>
      </c>
      <c r="R33" s="1763" t="s">
        <v>25</v>
      </c>
      <c r="S33" s="1764" t="e">
        <f t="shared" si="12"/>
        <v>#N/A</v>
      </c>
      <c r="T33" s="1763" t="s">
        <v>25</v>
      </c>
      <c r="U33" s="1764" t="e">
        <f t="shared" si="13"/>
        <v>#N/A</v>
      </c>
      <c r="V33" s="1763" t="s">
        <v>25</v>
      </c>
      <c r="W33" s="1764" t="e">
        <f t="shared" si="14"/>
        <v>#N/A</v>
      </c>
      <c r="X33" s="1765"/>
      <c r="Y33" s="3439"/>
      <c r="Z33" s="1766" t="str">
        <f t="shared" si="15"/>
        <v>项目建筑规模</v>
      </c>
      <c r="AA33" s="2065" t="e">
        <f t="shared" si="3"/>
        <v>#N/A</v>
      </c>
      <c r="AB33" s="2065" t="e">
        <f t="shared" si="4"/>
        <v>#N/A</v>
      </c>
      <c r="AC33" s="2065" t="e">
        <f t="shared" si="5"/>
        <v>#N/A</v>
      </c>
    </row>
    <row r="34" spans="1:29" ht="15">
      <c r="A34" s="1768"/>
      <c r="B34" s="1691" t="s">
        <v>2276</v>
      </c>
      <c r="C34" s="1769"/>
      <c r="D34" s="1707">
        <v>100</v>
      </c>
      <c r="E34" s="1770"/>
      <c r="F34" s="1750">
        <f>SUMIF(105:105,E34,106:106)-SUMIF(105:105,C34,106:106)+100</f>
        <v>100</v>
      </c>
      <c r="G34" s="1769"/>
      <c r="H34" s="1707">
        <f>SUMIF(105:105,G34,106:106)-SUMIF(105:105,C34,106:106)+100</f>
        <v>100</v>
      </c>
      <c r="I34" s="1769"/>
      <c r="J34" s="1707">
        <f>SUMIF(105:105,I34,106:106)-SUMIF(105:105,C34,106:106)+100</f>
        <v>100</v>
      </c>
      <c r="K34" s="1988"/>
      <c r="L34" s="2996"/>
      <c r="M34" s="2992"/>
      <c r="N34" s="2992"/>
      <c r="O34" s="2992"/>
      <c r="P34" s="3437"/>
      <c r="Q34" s="2067" t="str">
        <f t="shared" si="11"/>
        <v>建筑结构</v>
      </c>
      <c r="R34" s="1721" t="s">
        <v>25</v>
      </c>
      <c r="S34" s="1722">
        <f t="shared" si="12"/>
        <v>100</v>
      </c>
      <c r="T34" s="1721" t="s">
        <v>25</v>
      </c>
      <c r="U34" s="1722">
        <f t="shared" si="13"/>
        <v>100</v>
      </c>
      <c r="V34" s="1721" t="s">
        <v>25</v>
      </c>
      <c r="W34" s="1722">
        <f t="shared" si="14"/>
        <v>100</v>
      </c>
      <c r="X34" s="2070"/>
      <c r="Y34" s="3439"/>
      <c r="Z34" s="2074" t="str">
        <f t="shared" si="15"/>
        <v>建筑结构</v>
      </c>
      <c r="AA34" s="2065">
        <f t="shared" si="3"/>
        <v>1</v>
      </c>
      <c r="AB34" s="2065">
        <f t="shared" si="4"/>
        <v>1</v>
      </c>
      <c r="AC34" s="2065">
        <f t="shared" si="5"/>
        <v>1</v>
      </c>
    </row>
    <row r="35" spans="1:29" ht="15">
      <c r="A35" s="1768"/>
      <c r="B35" s="1691" t="s">
        <v>2361</v>
      </c>
      <c r="C35" s="1751"/>
      <c r="D35" s="1707">
        <v>100</v>
      </c>
      <c r="E35" s="1751"/>
      <c r="F35" s="1750">
        <f>SUMIF(107:107,E35,108:108)-SUMIF(107:107,C35,108:108)+100</f>
        <v>100</v>
      </c>
      <c r="G35" s="1751"/>
      <c r="H35" s="1707">
        <f>SUMIF(107:107,G35,108:108)-SUMIF(107:107,C35,108:108)+100</f>
        <v>100</v>
      </c>
      <c r="I35" s="1751"/>
      <c r="J35" s="1707">
        <f>SUMIF(107:107,I35,108:108)-SUMIF(107:107,C35,108:108)+100</f>
        <v>100</v>
      </c>
      <c r="K35" s="1988"/>
      <c r="L35" s="2996"/>
      <c r="M35" s="2992"/>
      <c r="N35" s="2992"/>
      <c r="O35" s="2992"/>
      <c r="P35" s="3437"/>
      <c r="Q35" s="2067" t="str">
        <f t="shared" si="11"/>
        <v>公共部分装修</v>
      </c>
      <c r="R35" s="1721" t="s">
        <v>25</v>
      </c>
      <c r="S35" s="1722">
        <f t="shared" si="12"/>
        <v>100</v>
      </c>
      <c r="T35" s="1721" t="s">
        <v>25</v>
      </c>
      <c r="U35" s="1722">
        <f t="shared" si="13"/>
        <v>100</v>
      </c>
      <c r="V35" s="1721" t="s">
        <v>25</v>
      </c>
      <c r="W35" s="1722">
        <f t="shared" si="14"/>
        <v>100</v>
      </c>
      <c r="X35" s="2070"/>
      <c r="Y35" s="3439"/>
      <c r="Z35" s="2074" t="str">
        <f t="shared" si="15"/>
        <v>公共部分装修</v>
      </c>
      <c r="AA35" s="2065">
        <f t="shared" si="3"/>
        <v>1</v>
      </c>
      <c r="AB35" s="2065">
        <f t="shared" si="4"/>
        <v>1</v>
      </c>
      <c r="AC35" s="2065">
        <f t="shared" si="5"/>
        <v>1</v>
      </c>
    </row>
    <row r="36" spans="1:29" ht="15">
      <c r="A36" s="1768"/>
      <c r="B36" s="1691" t="s">
        <v>2362</v>
      </c>
      <c r="C36" s="1772"/>
      <c r="D36" s="1707">
        <v>100</v>
      </c>
      <c r="E36" s="1772"/>
      <c r="F36" s="1750" t="e">
        <f>LOOKUP(E36,110:110,111:111)-LOOKUP(C36,110:110,111:111)+100</f>
        <v>#N/A</v>
      </c>
      <c r="G36" s="1772"/>
      <c r="H36" s="1750" t="e">
        <f>LOOKUP(G36,110:110,111:111)-LOOKUP(C36,110:110,111:111)+100</f>
        <v>#N/A</v>
      </c>
      <c r="I36" s="1772"/>
      <c r="J36" s="1707" t="e">
        <f>LOOKUP(I36,110:110,111:111)-LOOKUP(C36,110:110,111:111)+100</f>
        <v>#N/A</v>
      </c>
      <c r="K36" s="1988"/>
      <c r="L36" s="2996"/>
      <c r="M36" s="2992"/>
      <c r="N36" s="2992"/>
      <c r="O36" s="2992"/>
      <c r="P36" s="3437"/>
      <c r="Q36" s="2067" t="str">
        <f t="shared" si="11"/>
        <v>成新度</v>
      </c>
      <c r="R36" s="1721" t="s">
        <v>25</v>
      </c>
      <c r="S36" s="1722" t="e">
        <f t="shared" si="12"/>
        <v>#N/A</v>
      </c>
      <c r="T36" s="1721" t="s">
        <v>25</v>
      </c>
      <c r="U36" s="1722" t="e">
        <f t="shared" si="13"/>
        <v>#N/A</v>
      </c>
      <c r="V36" s="1721" t="s">
        <v>25</v>
      </c>
      <c r="W36" s="1722" t="e">
        <f t="shared" si="14"/>
        <v>#N/A</v>
      </c>
      <c r="X36" s="2070"/>
      <c r="Y36" s="3439"/>
      <c r="Z36" s="2074" t="str">
        <f t="shared" si="15"/>
        <v>成新度</v>
      </c>
      <c r="AA36" s="2065" t="e">
        <f t="shared" si="3"/>
        <v>#N/A</v>
      </c>
      <c r="AB36" s="2065" t="e">
        <f t="shared" si="4"/>
        <v>#N/A</v>
      </c>
      <c r="AC36" s="2065" t="e">
        <f t="shared" si="5"/>
        <v>#N/A</v>
      </c>
    </row>
    <row r="37" spans="1:29" s="1681" customFormat="1" ht="15">
      <c r="A37" s="1771"/>
      <c r="B37" s="1691" t="s">
        <v>2363</v>
      </c>
      <c r="C37" s="1751"/>
      <c r="D37" s="1693">
        <v>100</v>
      </c>
      <c r="E37" s="1751"/>
      <c r="F37" s="1750">
        <f>SUMIF(112:112,E37,113:113)-SUMIF(112:112,C37,113:113)+100</f>
        <v>100</v>
      </c>
      <c r="G37" s="1751"/>
      <c r="H37" s="1707">
        <f>SUMIF(112:112,G37,113:113)-SUMIF(112:112,C37,113:113)+100</f>
        <v>100</v>
      </c>
      <c r="I37" s="1751"/>
      <c r="J37" s="1707">
        <f>SUMIF(112:112,I37,113:113)-SUMIF(112:112,C37,113:113)+100</f>
        <v>100</v>
      </c>
      <c r="K37" s="1988"/>
      <c r="L37" s="2991"/>
      <c r="M37" s="2964"/>
      <c r="N37" s="2964"/>
      <c r="O37" s="2964"/>
      <c r="P37" s="3437"/>
      <c r="Q37" s="2061" t="str">
        <f t="shared" si="11"/>
        <v>市政基础设施</v>
      </c>
      <c r="R37" s="1677" t="s">
        <v>25</v>
      </c>
      <c r="S37" s="1678">
        <f t="shared" si="12"/>
        <v>100</v>
      </c>
      <c r="T37" s="1677" t="s">
        <v>25</v>
      </c>
      <c r="U37" s="1678">
        <f t="shared" si="13"/>
        <v>100</v>
      </c>
      <c r="V37" s="1677" t="s">
        <v>25</v>
      </c>
      <c r="W37" s="1678">
        <f t="shared" si="14"/>
        <v>100</v>
      </c>
      <c r="X37" s="1679"/>
      <c r="Y37" s="3439"/>
      <c r="Z37" s="1689" t="str">
        <f t="shared" si="15"/>
        <v>市政基础设施</v>
      </c>
      <c r="AA37" s="1680">
        <f t="shared" si="3"/>
        <v>1</v>
      </c>
      <c r="AB37" s="1680">
        <f t="shared" si="4"/>
        <v>1</v>
      </c>
      <c r="AC37" s="1680">
        <f t="shared" si="5"/>
        <v>1</v>
      </c>
    </row>
    <row r="38" spans="1:29" ht="15">
      <c r="A38" s="1768"/>
      <c r="B38" s="1691" t="s">
        <v>2364</v>
      </c>
      <c r="C38" s="1751"/>
      <c r="D38" s="1707">
        <v>100</v>
      </c>
      <c r="E38" s="1751"/>
      <c r="F38" s="1750">
        <f>SUMIF(114:114,E38,115:115)-SUMIF(114:114,C38,115:115)+100</f>
        <v>100</v>
      </c>
      <c r="G38" s="1751"/>
      <c r="H38" s="1707">
        <f>SUMIF(114:114,G38,115:115)-SUMIF(114:114,C38,115:115)+100</f>
        <v>100</v>
      </c>
      <c r="I38" s="1751"/>
      <c r="J38" s="1707">
        <f>SUMIF(114:114,I38,115:115)-SUMIF(114:114,C38,115:115)+100</f>
        <v>100</v>
      </c>
      <c r="K38" s="1988"/>
      <c r="L38" s="2996"/>
      <c r="M38" s="2992"/>
      <c r="N38" s="2992"/>
      <c r="O38" s="2992"/>
      <c r="P38" s="3437" t="s">
        <v>2274</v>
      </c>
      <c r="Q38" s="2067" t="str">
        <f t="shared" si="11"/>
        <v>业态</v>
      </c>
      <c r="R38" s="1721" t="s">
        <v>25</v>
      </c>
      <c r="S38" s="1722">
        <f t="shared" si="12"/>
        <v>100</v>
      </c>
      <c r="T38" s="1721" t="s">
        <v>25</v>
      </c>
      <c r="U38" s="1722">
        <f t="shared" si="13"/>
        <v>100</v>
      </c>
      <c r="V38" s="1721" t="s">
        <v>25</v>
      </c>
      <c r="W38" s="1722">
        <f t="shared" si="14"/>
        <v>100</v>
      </c>
      <c r="X38" s="2070"/>
      <c r="Y38" s="3439" t="s">
        <v>2274</v>
      </c>
      <c r="Z38" s="2074" t="str">
        <f t="shared" si="15"/>
        <v>业态</v>
      </c>
      <c r="AA38" s="2065">
        <f t="shared" si="3"/>
        <v>1</v>
      </c>
      <c r="AB38" s="2065">
        <f t="shared" si="4"/>
        <v>1</v>
      </c>
      <c r="AC38" s="2065">
        <f t="shared" si="5"/>
        <v>1</v>
      </c>
    </row>
    <row r="39" spans="1:29" ht="15">
      <c r="A39" s="1768"/>
      <c r="B39" s="1691" t="s">
        <v>2365</v>
      </c>
      <c r="C39" s="1751"/>
      <c r="D39" s="1707">
        <v>100</v>
      </c>
      <c r="E39" s="1751"/>
      <c r="F39" s="1750">
        <f>SUMIF(116:116,E39,117:117)-SUMIF(116:116,C39,117:117)+100</f>
        <v>100</v>
      </c>
      <c r="G39" s="1751"/>
      <c r="H39" s="1707">
        <f>SUMIF(116:116,G39,117:117)-SUMIF(116:116,C39,117:117)+100</f>
        <v>100</v>
      </c>
      <c r="I39" s="1751"/>
      <c r="J39" s="1707">
        <f>SUMIF(116:116,I39,117:117)-SUMIF(116:116,C39,117:117)+100</f>
        <v>100</v>
      </c>
      <c r="K39" s="1988"/>
      <c r="L39" s="2996"/>
      <c r="M39" s="2992"/>
      <c r="N39" s="2992"/>
      <c r="O39" s="2992"/>
      <c r="P39" s="3437"/>
      <c r="Q39" s="2067" t="str">
        <f t="shared" si="11"/>
        <v>层高</v>
      </c>
      <c r="R39" s="1721" t="s">
        <v>25</v>
      </c>
      <c r="S39" s="1722">
        <f t="shared" si="12"/>
        <v>100</v>
      </c>
      <c r="T39" s="1721" t="s">
        <v>25</v>
      </c>
      <c r="U39" s="1722">
        <f t="shared" si="13"/>
        <v>100</v>
      </c>
      <c r="V39" s="1721" t="s">
        <v>25</v>
      </c>
      <c r="W39" s="1722">
        <f t="shared" si="14"/>
        <v>100</v>
      </c>
      <c r="X39" s="2070"/>
      <c r="Y39" s="3439"/>
      <c r="Z39" s="2074" t="str">
        <f t="shared" si="15"/>
        <v>层高</v>
      </c>
      <c r="AA39" s="2065">
        <f t="shared" si="3"/>
        <v>1</v>
      </c>
      <c r="AB39" s="2065">
        <f t="shared" si="4"/>
        <v>1</v>
      </c>
      <c r="AC39" s="2065">
        <f t="shared" si="5"/>
        <v>1</v>
      </c>
    </row>
    <row r="40" spans="1:29" ht="15">
      <c r="A40" s="1768"/>
      <c r="B40" s="1691" t="s">
        <v>2366</v>
      </c>
      <c r="C40" s="2473"/>
      <c r="D40" s="1707">
        <v>100</v>
      </c>
      <c r="E40" s="2474"/>
      <c r="F40" s="1750">
        <f>SUMIF(118:118,E40,119:119)-SUMIF(118:118,C40,119:119)+100</f>
        <v>100</v>
      </c>
      <c r="G40" s="2474"/>
      <c r="H40" s="1707">
        <f>SUMIF(118:118,G40,119:119)-SUMIF(118:118,C40,119:119)+100</f>
        <v>100</v>
      </c>
      <c r="I40" s="2474"/>
      <c r="J40" s="1707">
        <f>SUMIF(118:118,I40,119:119)-SUMIF(118:118,C40,119:119)+100</f>
        <v>100</v>
      </c>
      <c r="K40" s="1985"/>
      <c r="L40" s="2996"/>
      <c r="M40" s="2992"/>
      <c r="N40" s="2992"/>
      <c r="O40" s="2992"/>
      <c r="P40" s="3437"/>
      <c r="Q40" s="2067" t="str">
        <f t="shared" si="11"/>
        <v>单套建筑面积</v>
      </c>
      <c r="R40" s="1721" t="s">
        <v>25</v>
      </c>
      <c r="S40" s="1722">
        <f t="shared" si="12"/>
        <v>100</v>
      </c>
      <c r="T40" s="1721" t="s">
        <v>25</v>
      </c>
      <c r="U40" s="1722">
        <f t="shared" si="13"/>
        <v>100</v>
      </c>
      <c r="V40" s="1721" t="s">
        <v>25</v>
      </c>
      <c r="W40" s="1722">
        <f t="shared" si="14"/>
        <v>100</v>
      </c>
      <c r="X40" s="2070"/>
      <c r="Y40" s="3439"/>
      <c r="Z40" s="2074" t="str">
        <f t="shared" si="15"/>
        <v>单套建筑面积</v>
      </c>
      <c r="AA40" s="2065">
        <f t="shared" si="3"/>
        <v>1</v>
      </c>
      <c r="AB40" s="2065">
        <f t="shared" si="4"/>
        <v>1</v>
      </c>
      <c r="AC40" s="2065">
        <f t="shared" si="5"/>
        <v>1</v>
      </c>
    </row>
    <row r="41" spans="1:29" s="1767" customFormat="1" ht="15">
      <c r="A41" s="1760"/>
      <c r="B41" s="2066" t="s">
        <v>2367</v>
      </c>
      <c r="C41" s="1987"/>
      <c r="D41" s="1707">
        <v>100</v>
      </c>
      <c r="E41" s="1987"/>
      <c r="F41" s="1750">
        <f>SUMIF(120:120,E41,121:121)-SUMIF(120:120,C41,121:121)+100</f>
        <v>100</v>
      </c>
      <c r="G41" s="1987"/>
      <c r="H41" s="1707">
        <f>SUMIF(120:120,G41,121:121)-SUMIF(120:120,C41,121:121)+100</f>
        <v>100</v>
      </c>
      <c r="I41" s="1987"/>
      <c r="J41" s="1707">
        <f>SUMIF(120:120,I41,121:121)-SUMIF(120:120,C41,121:121)+100</f>
        <v>100</v>
      </c>
      <c r="K41" s="1988"/>
      <c r="L41" s="2995"/>
      <c r="M41" s="2055"/>
      <c r="N41" s="2055"/>
      <c r="O41" s="2055"/>
      <c r="P41" s="3437"/>
      <c r="Q41" s="1762" t="str">
        <f t="shared" si="11"/>
        <v>进深比</v>
      </c>
      <c r="R41" s="1763" t="s">
        <v>25</v>
      </c>
      <c r="S41" s="1764">
        <f t="shared" si="12"/>
        <v>100</v>
      </c>
      <c r="T41" s="1763" t="s">
        <v>25</v>
      </c>
      <c r="U41" s="1764">
        <f t="shared" si="13"/>
        <v>100</v>
      </c>
      <c r="V41" s="1763" t="s">
        <v>25</v>
      </c>
      <c r="W41" s="1764">
        <f t="shared" si="14"/>
        <v>100</v>
      </c>
      <c r="X41" s="1765"/>
      <c r="Y41" s="3439"/>
      <c r="Z41" s="1766" t="str">
        <f t="shared" si="15"/>
        <v>进深比</v>
      </c>
      <c r="AA41" s="2065">
        <f t="shared" si="3"/>
        <v>1</v>
      </c>
      <c r="AB41" s="2065">
        <f t="shared" si="4"/>
        <v>1</v>
      </c>
      <c r="AC41" s="2065">
        <f t="shared" si="5"/>
        <v>1</v>
      </c>
    </row>
    <row r="42" spans="1:29" ht="15">
      <c r="A42" s="1768"/>
      <c r="B42" s="1691" t="s">
        <v>2368</v>
      </c>
      <c r="C42" s="1751"/>
      <c r="D42" s="1707">
        <v>100</v>
      </c>
      <c r="E42" s="1751"/>
      <c r="F42" s="1750">
        <f>SUMIF(122:122,E42,123:123)-SUMIF(122:122,C42,123:123)+100</f>
        <v>100</v>
      </c>
      <c r="G42" s="1751"/>
      <c r="H42" s="1707">
        <f>SUMIF(122:122,G42,123:123)-SUMIF(122:122,C42,123:123)+100</f>
        <v>100</v>
      </c>
      <c r="I42" s="1751"/>
      <c r="J42" s="1707">
        <f>SUMIF(122:122,I42,123:123)-SUMIF(122:122,C42,123:123)+100</f>
        <v>100</v>
      </c>
      <c r="K42" s="1988"/>
      <c r="L42" s="2996"/>
      <c r="M42" s="2992"/>
      <c r="N42" s="2992"/>
      <c r="O42" s="2992"/>
      <c r="P42" s="3437"/>
      <c r="Q42" s="2067" t="str">
        <f t="shared" si="11"/>
        <v>内部装修</v>
      </c>
      <c r="R42" s="1721" t="s">
        <v>25</v>
      </c>
      <c r="S42" s="1722">
        <f t="shared" si="12"/>
        <v>100</v>
      </c>
      <c r="T42" s="1721" t="s">
        <v>25</v>
      </c>
      <c r="U42" s="1722">
        <f t="shared" si="13"/>
        <v>100</v>
      </c>
      <c r="V42" s="1721" t="s">
        <v>25</v>
      </c>
      <c r="W42" s="1722">
        <f t="shared" si="14"/>
        <v>100</v>
      </c>
      <c r="X42" s="2070"/>
      <c r="Y42" s="3439"/>
      <c r="Z42" s="2074" t="str">
        <f t="shared" si="15"/>
        <v>内部装修</v>
      </c>
      <c r="AA42" s="2065">
        <f t="shared" si="3"/>
        <v>1</v>
      </c>
      <c r="AB42" s="2065">
        <f t="shared" si="4"/>
        <v>1</v>
      </c>
      <c r="AC42" s="2065">
        <f t="shared" si="5"/>
        <v>1</v>
      </c>
    </row>
    <row r="43" spans="1:29" ht="15">
      <c r="A43" s="1768"/>
      <c r="B43" s="1691" t="s">
        <v>2285</v>
      </c>
      <c r="C43" s="1751"/>
      <c r="D43" s="1707">
        <v>100</v>
      </c>
      <c r="E43" s="1751"/>
      <c r="F43" s="1750">
        <f>SUMIF(124:124,E43,125:125)-SUMIF(124:124,C43,125:125)+100</f>
        <v>100</v>
      </c>
      <c r="G43" s="1751"/>
      <c r="H43" s="1707">
        <f>SUMIF(124:124,G43,125:125)-SUMIF(124:124,C43,125:125)+100</f>
        <v>100</v>
      </c>
      <c r="I43" s="1751"/>
      <c r="J43" s="1707">
        <f>SUMIF(124:124,I43,125:125)-SUMIF(124:124,C43,125:125)+100</f>
        <v>100</v>
      </c>
      <c r="K43" s="1988"/>
      <c r="L43" s="2996"/>
      <c r="M43" s="2992"/>
      <c r="N43" s="2992"/>
      <c r="O43" s="2992"/>
      <c r="P43" s="3437"/>
      <c r="Q43" s="2067" t="str">
        <f t="shared" si="11"/>
        <v>内部装修维护情况</v>
      </c>
      <c r="R43" s="1721" t="s">
        <v>25</v>
      </c>
      <c r="S43" s="1722">
        <f t="shared" si="12"/>
        <v>100</v>
      </c>
      <c r="T43" s="1721" t="s">
        <v>25</v>
      </c>
      <c r="U43" s="1722">
        <f t="shared" si="13"/>
        <v>100</v>
      </c>
      <c r="V43" s="1721" t="s">
        <v>25</v>
      </c>
      <c r="W43" s="1722">
        <f t="shared" si="14"/>
        <v>100</v>
      </c>
      <c r="X43" s="2070"/>
      <c r="Y43" s="3439"/>
      <c r="Z43" s="2074" t="str">
        <f t="shared" si="15"/>
        <v>内部装修维护情况</v>
      </c>
      <c r="AA43" s="2065">
        <f t="shared" si="3"/>
        <v>1</v>
      </c>
      <c r="AB43" s="2065">
        <f t="shared" si="4"/>
        <v>1</v>
      </c>
      <c r="AC43" s="2065">
        <f t="shared" si="5"/>
        <v>1</v>
      </c>
    </row>
    <row r="44" spans="1:29" s="1681" customFormat="1" ht="15">
      <c r="A44" s="1771"/>
      <c r="B44" s="1756">
        <v>111</v>
      </c>
      <c r="C44" s="1761"/>
      <c r="D44" s="1693">
        <v>100</v>
      </c>
      <c r="E44" s="1706"/>
      <c r="F44" s="1695">
        <f>SUMIF(126:126,E44,127:127)-SUMIF(126:126,C44,127:127)+100</f>
        <v>100</v>
      </c>
      <c r="G44" s="1706"/>
      <c r="H44" s="1693">
        <f>SUMIF(126:126,G44,127:127)-SUMIF(126:126,C44,127:127)+100</f>
        <v>100</v>
      </c>
      <c r="I44" s="1706"/>
      <c r="J44" s="1693">
        <f>SUMIF(126:126,I44,127:127)-SUMIF(126:126,C44,127:127)+100</f>
        <v>100</v>
      </c>
      <c r="K44" s="1985"/>
      <c r="L44" s="2991"/>
      <c r="M44" s="2964"/>
      <c r="N44" s="2964"/>
      <c r="O44" s="2964"/>
      <c r="P44" s="3437"/>
      <c r="Q44" s="2061">
        <f t="shared" si="11"/>
        <v>111</v>
      </c>
      <c r="R44" s="1677" t="s">
        <v>25</v>
      </c>
      <c r="S44" s="1678">
        <f t="shared" si="12"/>
        <v>100</v>
      </c>
      <c r="T44" s="1677" t="s">
        <v>25</v>
      </c>
      <c r="U44" s="1678">
        <f t="shared" si="13"/>
        <v>100</v>
      </c>
      <c r="V44" s="1677" t="s">
        <v>25</v>
      </c>
      <c r="W44" s="1678">
        <f t="shared" si="14"/>
        <v>100</v>
      </c>
      <c r="X44" s="1679"/>
      <c r="Y44" s="3439"/>
      <c r="Z44" s="1689">
        <f t="shared" si="15"/>
        <v>111</v>
      </c>
      <c r="AA44" s="1680">
        <f t="shared" si="3"/>
        <v>1</v>
      </c>
      <c r="AB44" s="1680">
        <f t="shared" si="4"/>
        <v>1</v>
      </c>
      <c r="AC44" s="1680">
        <f t="shared" si="5"/>
        <v>1</v>
      </c>
    </row>
    <row r="45" spans="1:29" ht="15">
      <c r="A45" s="1768"/>
      <c r="B45" s="1756">
        <v>111</v>
      </c>
      <c r="C45" s="1706"/>
      <c r="D45" s="1707">
        <v>100</v>
      </c>
      <c r="E45" s="1706"/>
      <c r="F45" s="1750">
        <f>SUMIF(128:128,E45,129:129)-SUMIF(128:128,C45,129:129)+100</f>
        <v>100</v>
      </c>
      <c r="G45" s="1706"/>
      <c r="H45" s="1707">
        <f>SUMIF(128:128,G45,129:129)-SUMIF(128:128,C45,129:129)+100</f>
        <v>100</v>
      </c>
      <c r="I45" s="1706"/>
      <c r="J45" s="1707">
        <f>SUMIF(128:128,I45,129:129)-SUMIF(128:128,C45,129:129)+100</f>
        <v>100</v>
      </c>
      <c r="K45" s="1985"/>
      <c r="L45" s="2996"/>
      <c r="M45" s="2992"/>
      <c r="N45" s="2992"/>
      <c r="O45" s="2992"/>
      <c r="P45" s="3437"/>
      <c r="Q45" s="2067">
        <f t="shared" si="11"/>
        <v>111</v>
      </c>
      <c r="R45" s="1721" t="s">
        <v>25</v>
      </c>
      <c r="S45" s="1722">
        <f t="shared" si="12"/>
        <v>100</v>
      </c>
      <c r="T45" s="1721" t="s">
        <v>25</v>
      </c>
      <c r="U45" s="1722">
        <f t="shared" si="13"/>
        <v>100</v>
      </c>
      <c r="V45" s="1721" t="s">
        <v>25</v>
      </c>
      <c r="W45" s="1722">
        <f t="shared" si="14"/>
        <v>100</v>
      </c>
      <c r="X45" s="2070"/>
      <c r="Y45" s="3439"/>
      <c r="Z45" s="2074">
        <f t="shared" si="15"/>
        <v>111</v>
      </c>
      <c r="AA45" s="2065">
        <f t="shared" si="3"/>
        <v>1</v>
      </c>
      <c r="AB45" s="2065">
        <f t="shared" si="4"/>
        <v>1</v>
      </c>
      <c r="AC45" s="2065">
        <f t="shared" si="5"/>
        <v>1</v>
      </c>
    </row>
    <row r="46" spans="1:29" ht="15.75" thickBot="1">
      <c r="A46" s="1776"/>
      <c r="B46" s="1709">
        <v>111</v>
      </c>
      <c r="C46" s="1710"/>
      <c r="D46" s="1711">
        <v>100</v>
      </c>
      <c r="E46" s="1706"/>
      <c r="F46" s="1712">
        <f>SUMIF(130:130,E46,131:131)-SUMIF(130:130,C46,131:131)+100</f>
        <v>100</v>
      </c>
      <c r="G46" s="1706"/>
      <c r="H46" s="1711">
        <f>SUMIF(130:130,G46,131:131)-SUMIF(130:130,C46,131:131)+100</f>
        <v>100</v>
      </c>
      <c r="I46" s="1706"/>
      <c r="J46" s="1711">
        <f>SUMIF(130:130,I46,131:131)-SUMIF(130:130,C46,131:131)+100</f>
        <v>100</v>
      </c>
      <c r="K46" s="1985"/>
      <c r="L46" s="2996"/>
      <c r="M46" s="2992"/>
      <c r="N46" s="2992"/>
      <c r="O46" s="2992"/>
      <c r="P46" s="3438"/>
      <c r="Q46" s="2067">
        <f t="shared" si="11"/>
        <v>111</v>
      </c>
      <c r="R46" s="1721" t="s">
        <v>25</v>
      </c>
      <c r="S46" s="1722">
        <f t="shared" si="12"/>
        <v>100</v>
      </c>
      <c r="T46" s="1721" t="s">
        <v>25</v>
      </c>
      <c r="U46" s="1722">
        <f t="shared" si="13"/>
        <v>100</v>
      </c>
      <c r="V46" s="1721" t="s">
        <v>25</v>
      </c>
      <c r="W46" s="1722">
        <f t="shared" si="14"/>
        <v>100</v>
      </c>
      <c r="X46" s="2070"/>
      <c r="Y46" s="3440"/>
      <c r="Z46" s="2074">
        <f t="shared" si="15"/>
        <v>111</v>
      </c>
      <c r="AA46" s="2065">
        <f t="shared" si="3"/>
        <v>1</v>
      </c>
      <c r="AB46" s="2065">
        <f t="shared" si="4"/>
        <v>1</v>
      </c>
      <c r="AC46" s="2065">
        <f t="shared" si="5"/>
        <v>1</v>
      </c>
    </row>
    <row r="47" spans="1:29" ht="15">
      <c r="A47" s="1777" t="s">
        <v>2286</v>
      </c>
      <c r="B47" s="1778"/>
      <c r="C47" s="1779" t="s">
        <v>1</v>
      </c>
      <c r="D47" s="1780"/>
      <c r="E47" s="1781"/>
      <c r="F47" s="1782"/>
      <c r="G47" s="1783"/>
      <c r="H47" s="1784"/>
      <c r="I47" s="1781"/>
      <c r="J47" s="1784"/>
      <c r="K47" s="2009"/>
      <c r="L47" s="2997"/>
      <c r="N47" s="2992"/>
      <c r="P47" s="3445" t="str">
        <f>A47</f>
        <v>成交单价（元/平方米）</v>
      </c>
      <c r="Q47" s="3445"/>
      <c r="R47" s="3446">
        <f>E47</f>
        <v>0</v>
      </c>
      <c r="S47" s="3446"/>
      <c r="T47" s="3446">
        <f>G47</f>
        <v>0</v>
      </c>
      <c r="U47" s="3446"/>
      <c r="V47" s="3446">
        <f>I47</f>
        <v>0</v>
      </c>
      <c r="W47" s="3446"/>
      <c r="X47" s="1787"/>
      <c r="Y47" s="2069"/>
      <c r="Z47" s="1787"/>
      <c r="AA47" s="1787"/>
      <c r="AB47" s="1787"/>
      <c r="AC47" s="1787"/>
    </row>
    <row r="48" spans="1:29" ht="15.75" thickBot="1">
      <c r="A48" s="1789" t="s">
        <v>2369</v>
      </c>
      <c r="B48" s="1790"/>
      <c r="C48" s="1791" t="e">
        <f>R49</f>
        <v>#DIV/0!</v>
      </c>
      <c r="D48" s="1792" t="s">
        <v>2742</v>
      </c>
      <c r="E48" s="1793" t="e">
        <f>R48</f>
        <v>#DIV/0!</v>
      </c>
      <c r="F48" s="1794"/>
      <c r="G48" s="1791" t="e">
        <f>T48</f>
        <v>#DIV/0!</v>
      </c>
      <c r="H48" s="1794"/>
      <c r="I48" s="1793" t="e">
        <f>V48</f>
        <v>#DIV/0!</v>
      </c>
      <c r="J48" s="1794"/>
      <c r="K48" s="2506">
        <f>F48+H48+J48</f>
        <v>0</v>
      </c>
      <c r="L48" s="2997"/>
      <c r="N48" s="2992"/>
      <c r="P48" s="3445" t="str">
        <f>A48</f>
        <v>比较价值（元/平方米）</v>
      </c>
      <c r="Q48" s="3445"/>
      <c r="R48" s="3446" t="e">
        <f>IF(E1="售价",ROUND(PRODUCT(R47,AA7:AA46),0),ROUND(PRODUCT(R47,AA7:AA46),1))</f>
        <v>#DIV/0!</v>
      </c>
      <c r="S48" s="3446"/>
      <c r="T48" s="3446" t="e">
        <f>IF(E1="售价",ROUND(PRODUCT(T47,AB7:AB46),0),ROUND(PRODUCT(T47,AB7:AB46),1))</f>
        <v>#DIV/0!</v>
      </c>
      <c r="U48" s="3446"/>
      <c r="V48" s="3446" t="e">
        <f>IF(E1="售价",ROUND(PRODUCT(V47,AC7:AC46),0),ROUND(PRODUCT(V47,AC7:AC46),1))</f>
        <v>#DIV/0!</v>
      </c>
      <c r="W48" s="3446"/>
      <c r="X48" s="1787"/>
      <c r="Y48" s="1787"/>
      <c r="Z48" s="1787"/>
      <c r="AA48" s="1787"/>
      <c r="AB48" s="1787"/>
      <c r="AC48" s="1787"/>
    </row>
    <row r="49" spans="1:29" ht="15.75" thickBot="1">
      <c r="A49" s="1795" t="s">
        <v>2370</v>
      </c>
      <c r="B49" s="1796"/>
      <c r="C49" s="1798" t="e">
        <f>R49</f>
        <v>#DIV/0!</v>
      </c>
      <c r="D49" s="1798"/>
      <c r="E49" s="1798"/>
      <c r="F49" s="1798"/>
      <c r="G49" s="1798"/>
      <c r="H49" s="1798"/>
      <c r="I49" s="1798"/>
      <c r="J49" s="1798"/>
      <c r="K49" s="2014"/>
      <c r="L49" s="2997"/>
      <c r="N49" s="2992"/>
      <c r="P49" s="3451" t="str">
        <f>A49</f>
        <v>估价对象XX用房的比较价值（楼面单价，元/平方米）</v>
      </c>
      <c r="Q49" s="3452"/>
      <c r="R49" s="3453" t="e">
        <f>IF(E1="售价",ROUND(IF(D48="简单平均",AVERAGE(R48:V48),R48*F48+T48*H48+V48*J48),0),ROUND(IF(D48="简单平均",AVERAGE(R48:V48),R48*F48+T48*H48+V48*J48),1))</f>
        <v>#DIV/0!</v>
      </c>
      <c r="S49" s="3453"/>
      <c r="T49" s="3453"/>
      <c r="U49" s="3453"/>
      <c r="V49" s="3453"/>
      <c r="W49" s="3453"/>
      <c r="X49" s="1787"/>
      <c r="Y49" s="1787"/>
      <c r="Z49" s="1787"/>
      <c r="AA49" s="1787"/>
      <c r="AB49" s="1787"/>
      <c r="AC49" s="1787"/>
    </row>
    <row r="50" spans="1:29">
      <c r="G50" s="3001"/>
      <c r="P50" s="2475"/>
      <c r="Q50" s="1786"/>
      <c r="R50" s="1786"/>
      <c r="S50" s="1786"/>
      <c r="T50" s="1786"/>
      <c r="U50" s="1786"/>
      <c r="V50" s="1786"/>
      <c r="W50" s="1786"/>
      <c r="X50" s="1786"/>
      <c r="Y50" s="1786"/>
      <c r="Z50" s="1786"/>
      <c r="AA50" s="1786"/>
      <c r="AB50" s="1786"/>
      <c r="AC50" s="1786"/>
    </row>
    <row r="51" spans="1:29">
      <c r="P51" s="2475"/>
      <c r="Q51" s="1786"/>
      <c r="R51" s="1786"/>
      <c r="S51" s="1786"/>
      <c r="T51" s="1786"/>
      <c r="U51" s="1786"/>
      <c r="V51" s="1786"/>
      <c r="W51" s="1786"/>
      <c r="X51" s="1786"/>
      <c r="Y51" s="1786"/>
      <c r="Z51" s="1786"/>
      <c r="AA51" s="1786"/>
      <c r="AB51" s="1786"/>
      <c r="AC51" s="1786"/>
    </row>
    <row r="52" spans="1:29" ht="13.5" customHeight="1">
      <c r="C52" s="383" t="s">
        <v>2371</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5"/>
      <c r="Q52" s="1786"/>
      <c r="R52" s="1786"/>
      <c r="S52" s="1786"/>
      <c r="T52" s="1786"/>
      <c r="U52" s="1786"/>
      <c r="V52" s="1786"/>
      <c r="W52" s="1786"/>
      <c r="X52" s="1786"/>
      <c r="Y52" s="1786"/>
      <c r="Z52" s="1786"/>
      <c r="AA52" s="1786"/>
      <c r="AB52" s="1786"/>
      <c r="AC52" s="1786"/>
    </row>
    <row r="53" spans="1:29" ht="13.5" customHeight="1">
      <c r="C53" s="383" t="s">
        <v>2372</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5"/>
      <c r="Q53" s="1786"/>
      <c r="R53" s="1786"/>
      <c r="S53" s="1786"/>
      <c r="T53" s="1786"/>
      <c r="U53" s="1786"/>
      <c r="V53" s="1786"/>
      <c r="W53" s="1786"/>
      <c r="X53" s="1786"/>
      <c r="Y53" s="1786"/>
      <c r="Z53" s="1786"/>
      <c r="AA53" s="1786"/>
      <c r="AB53" s="1786"/>
      <c r="AC53" s="1786"/>
    </row>
    <row r="54" spans="1:29" s="1809" customFormat="1" ht="13.5" customHeight="1">
      <c r="C54" s="383" t="s">
        <v>2373</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3004"/>
      <c r="L54" s="2998"/>
      <c r="P54" s="2476"/>
      <c r="Q54" s="1807"/>
      <c r="R54" s="1807"/>
      <c r="S54" s="1807"/>
      <c r="T54" s="1807"/>
      <c r="U54" s="1807"/>
      <c r="V54" s="1807"/>
      <c r="W54" s="1807"/>
      <c r="X54" s="1807"/>
      <c r="Y54" s="1807"/>
      <c r="Z54" s="1807"/>
      <c r="AA54" s="1807"/>
      <c r="AB54" s="1807"/>
      <c r="AC54" s="1807"/>
    </row>
    <row r="55" spans="1:29" s="1809" customFormat="1">
      <c r="B55" s="3002"/>
      <c r="C55" s="3003"/>
      <c r="K55" s="3004"/>
      <c r="L55" s="2998"/>
      <c r="P55" s="2476"/>
      <c r="Q55" s="1807"/>
      <c r="R55" s="1807"/>
      <c r="S55" s="1807"/>
      <c r="T55" s="1807"/>
      <c r="U55" s="1807"/>
      <c r="V55" s="1807"/>
      <c r="W55" s="1807"/>
      <c r="X55" s="1807"/>
      <c r="Y55" s="1807"/>
      <c r="Z55" s="1807"/>
      <c r="AA55" s="1807"/>
      <c r="AB55" s="1807"/>
      <c r="AC55" s="1807"/>
    </row>
    <row r="56" spans="1:29">
      <c r="B56" s="3002"/>
      <c r="C56" s="3003"/>
      <c r="P56" s="2475"/>
      <c r="Q56" s="1786"/>
      <c r="R56" s="1786"/>
      <c r="S56" s="1786"/>
      <c r="T56" s="1786"/>
      <c r="U56" s="1786"/>
      <c r="V56" s="1786"/>
      <c r="W56" s="1786"/>
      <c r="X56" s="1786"/>
      <c r="Y56" s="1786"/>
      <c r="Z56" s="1786"/>
      <c r="AA56" s="1786"/>
      <c r="AB56" s="1786"/>
      <c r="AC56" s="1786"/>
    </row>
    <row r="57" spans="1:29" ht="21.75" thickBot="1">
      <c r="A57" s="1812" t="s">
        <v>2374</v>
      </c>
      <c r="B57" s="1787"/>
      <c r="C57" s="1813"/>
      <c r="D57" s="1813"/>
      <c r="E57" s="1813"/>
      <c r="F57" s="1813"/>
      <c r="G57" s="1813"/>
      <c r="H57" s="1813"/>
      <c r="I57" s="1813"/>
      <c r="J57" s="1813"/>
      <c r="K57" s="1814"/>
      <c r="L57" s="2040"/>
      <c r="M57" s="2038"/>
      <c r="N57" s="3000"/>
      <c r="O57" s="3000"/>
      <c r="P57" s="2477"/>
      <c r="Q57" s="2478"/>
      <c r="R57" s="1786"/>
      <c r="S57" s="1786"/>
      <c r="T57" s="1786"/>
      <c r="U57" s="1786"/>
      <c r="V57" s="1786"/>
      <c r="W57" s="1786"/>
      <c r="X57" s="1786"/>
      <c r="Y57" s="1786"/>
      <c r="Z57" s="1786"/>
      <c r="AA57" s="1786"/>
      <c r="AB57" s="1786"/>
      <c r="AC57" s="1786"/>
    </row>
    <row r="58" spans="1:29" s="1823" customFormat="1" ht="15">
      <c r="A58" s="1818" t="s">
        <v>2256</v>
      </c>
      <c r="B58" s="1819"/>
      <c r="C58" s="1820" t="str">
        <f>YEAR(C7)&amp;"-"&amp;MONTH(C7)</f>
        <v>2021-5</v>
      </c>
      <c r="D58" s="1821">
        <f>EDATE(C58,-1)</f>
        <v>44287</v>
      </c>
      <c r="E58" s="1821">
        <f t="shared" ref="E58:O58" si="16">EDATE(D58,-1)</f>
        <v>44256</v>
      </c>
      <c r="F58" s="1821">
        <f t="shared" si="16"/>
        <v>44228</v>
      </c>
      <c r="G58" s="1821">
        <f t="shared" si="16"/>
        <v>44197</v>
      </c>
      <c r="H58" s="1821">
        <f t="shared" si="16"/>
        <v>44166</v>
      </c>
      <c r="I58" s="1821">
        <f t="shared" si="16"/>
        <v>44136</v>
      </c>
      <c r="J58" s="1821">
        <f t="shared" si="16"/>
        <v>44105</v>
      </c>
      <c r="K58" s="1821">
        <f t="shared" si="16"/>
        <v>44075</v>
      </c>
      <c r="L58" s="1821">
        <f t="shared" si="16"/>
        <v>44044</v>
      </c>
      <c r="M58" s="1821">
        <f t="shared" si="16"/>
        <v>44013</v>
      </c>
      <c r="N58" s="1821">
        <f t="shared" si="16"/>
        <v>43983</v>
      </c>
      <c r="O58" s="1821">
        <f t="shared" si="16"/>
        <v>43952</v>
      </c>
      <c r="P58" s="1822"/>
    </row>
    <row r="59" spans="1:29" s="1681" customFormat="1" ht="15">
      <c r="A59" s="1824"/>
      <c r="B59" s="1825"/>
      <c r="C59" s="1826">
        <v>100</v>
      </c>
      <c r="D59" s="1827"/>
      <c r="E59" s="1827"/>
      <c r="F59" s="1827"/>
      <c r="G59" s="1827"/>
      <c r="H59" s="1827"/>
      <c r="I59" s="1827"/>
      <c r="J59" s="1827"/>
      <c r="K59" s="1827"/>
      <c r="L59" s="1827"/>
      <c r="M59" s="1828"/>
      <c r="N59" s="1827"/>
      <c r="O59" s="1828"/>
      <c r="P59" s="1829"/>
    </row>
    <row r="60" spans="1:29" s="1681" customFormat="1" ht="15.75" thickBot="1">
      <c r="A60" s="1830" t="s">
        <v>2294</v>
      </c>
      <c r="B60" s="1831"/>
      <c r="C60" s="1832"/>
      <c r="D60" s="1833"/>
      <c r="E60" s="1833"/>
      <c r="F60" s="1833"/>
      <c r="G60" s="1833"/>
      <c r="H60" s="1833"/>
      <c r="I60" s="1833"/>
      <c r="J60" s="1833"/>
      <c r="K60" s="1833"/>
      <c r="L60" s="1833"/>
      <c r="M60" s="1834"/>
      <c r="N60" s="1833"/>
      <c r="O60" s="1834"/>
      <c r="P60" s="1829"/>
      <c r="Q60" s="1817"/>
    </row>
    <row r="61" spans="1:29" s="1681" customFormat="1" ht="15">
      <c r="A61" s="1835" t="s">
        <v>2258</v>
      </c>
      <c r="B61" s="1825"/>
      <c r="C61" s="1836" t="s">
        <v>2259</v>
      </c>
      <c r="D61" s="409"/>
      <c r="E61" s="409"/>
      <c r="F61" s="409"/>
      <c r="G61" s="409"/>
      <c r="H61" s="409"/>
      <c r="I61" s="409"/>
      <c r="J61" s="409"/>
      <c r="K61" s="409"/>
      <c r="L61" s="409"/>
      <c r="M61" s="1837"/>
      <c r="N61" s="3009"/>
      <c r="O61" s="3009"/>
      <c r="P61" s="1839"/>
      <c r="Q61" s="1817"/>
    </row>
    <row r="62" spans="1:29" s="1681" customFormat="1" ht="15.75" thickBot="1">
      <c r="A62" s="1835"/>
      <c r="B62" s="1825"/>
      <c r="C62" s="1840">
        <v>100</v>
      </c>
      <c r="D62" s="1827"/>
      <c r="E62" s="1827"/>
      <c r="F62" s="1827"/>
      <c r="G62" s="1827"/>
      <c r="H62" s="1827"/>
      <c r="I62" s="1827"/>
      <c r="J62" s="1827"/>
      <c r="K62" s="1827"/>
      <c r="L62" s="1827"/>
      <c r="M62" s="1841"/>
      <c r="N62" s="3009"/>
      <c r="O62" s="3009"/>
      <c r="P62" s="1829"/>
      <c r="Q62" s="1817"/>
    </row>
    <row r="63" spans="1:29">
      <c r="A63" s="1842" t="s">
        <v>2297</v>
      </c>
      <c r="B63" s="1843" t="s">
        <v>2262</v>
      </c>
      <c r="C63" s="1844">
        <f>C9</f>
        <v>0</v>
      </c>
      <c r="D63" s="1845"/>
      <c r="E63" s="1845"/>
      <c r="F63" s="1845"/>
      <c r="G63" s="1845"/>
      <c r="H63" s="1845"/>
      <c r="I63" s="1845"/>
      <c r="J63" s="1845"/>
      <c r="K63" s="417"/>
      <c r="L63" s="417"/>
      <c r="M63" s="1846"/>
      <c r="N63" s="3010"/>
      <c r="O63" s="3010"/>
      <c r="P63" s="1848"/>
      <c r="Q63" s="1817"/>
    </row>
    <row r="64" spans="1:29" ht="15.75" thickBot="1">
      <c r="A64" s="1849"/>
      <c r="B64" s="1850"/>
      <c r="C64" s="1851">
        <v>100</v>
      </c>
      <c r="D64" s="1851"/>
      <c r="E64" s="1851"/>
      <c r="F64" s="1851"/>
      <c r="G64" s="1851"/>
      <c r="H64" s="1851"/>
      <c r="I64" s="1851"/>
      <c r="J64" s="1851"/>
      <c r="K64" s="1851"/>
      <c r="L64" s="1851"/>
      <c r="M64" s="1852"/>
      <c r="N64" s="3011"/>
      <c r="O64" s="3011"/>
      <c r="P64" s="1848"/>
      <c r="Q64" s="1817"/>
    </row>
    <row r="65" spans="1:17" ht="27.75" thickTop="1">
      <c r="A65" s="1849"/>
      <c r="B65" s="1854" t="s">
        <v>2265</v>
      </c>
      <c r="C65" s="1855" t="s">
        <v>2298</v>
      </c>
      <c r="D65" s="1855" t="s">
        <v>2299</v>
      </c>
      <c r="E65" s="1855" t="s">
        <v>2300</v>
      </c>
      <c r="F65" s="1855" t="s">
        <v>2301</v>
      </c>
      <c r="G65" s="1855" t="s">
        <v>2302</v>
      </c>
      <c r="H65" s="1855" t="s">
        <v>2303</v>
      </c>
      <c r="I65" s="1855" t="s">
        <v>2304</v>
      </c>
      <c r="J65" s="1855"/>
      <c r="K65" s="428"/>
      <c r="L65" s="428"/>
      <c r="M65" s="1856"/>
      <c r="N65" s="3010"/>
      <c r="O65" s="3010"/>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11"/>
      <c r="O66" s="3011"/>
      <c r="P66" s="1848"/>
      <c r="Q66" s="1817"/>
    </row>
    <row r="67" spans="1:17" ht="15.75" thickTop="1">
      <c r="A67" s="1849"/>
      <c r="B67" s="1860" t="s">
        <v>2266</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27" t="str">
        <f>M68&amp;"（含）"&amp;"-"&amp;P68</f>
        <v>（含）-</v>
      </c>
      <c r="N67" s="3011"/>
      <c r="O67" s="3011"/>
      <c r="P67" s="1848"/>
      <c r="Q67" s="1817"/>
    </row>
    <row r="68" spans="1:17" ht="15">
      <c r="A68" s="1849"/>
      <c r="B68" s="1862"/>
      <c r="C68" s="1863"/>
      <c r="D68" s="1863"/>
      <c r="E68" s="1863"/>
      <c r="F68" s="1863"/>
      <c r="G68" s="1863"/>
      <c r="H68" s="1863"/>
      <c r="I68" s="1863"/>
      <c r="J68" s="1863"/>
      <c r="K68" s="438"/>
      <c r="L68" s="438"/>
      <c r="M68" s="1864"/>
      <c r="N68" s="3010"/>
      <c r="O68" s="3010"/>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11"/>
      <c r="O69" s="3011"/>
      <c r="P69" s="1848"/>
      <c r="Q69" s="1817"/>
    </row>
    <row r="70" spans="1:17" s="1767" customFormat="1" ht="15.75" thickTop="1">
      <c r="A70" s="1865"/>
      <c r="B70" s="1854">
        <f>B12</f>
        <v>111</v>
      </c>
      <c r="C70" s="468"/>
      <c r="D70" s="468"/>
      <c r="E70" s="468"/>
      <c r="F70" s="468"/>
      <c r="G70" s="468"/>
      <c r="H70" s="443"/>
      <c r="I70" s="443"/>
      <c r="J70" s="443"/>
      <c r="K70" s="443"/>
      <c r="L70" s="443"/>
      <c r="M70" s="1866"/>
      <c r="N70" s="3012"/>
      <c r="O70" s="3012"/>
      <c r="P70" s="1868"/>
      <c r="Q70" s="1869"/>
    </row>
    <row r="71" spans="1:17" s="1767" customFormat="1" ht="15.75" thickBot="1">
      <c r="A71" s="1865"/>
      <c r="B71" s="1857"/>
      <c r="C71" s="1870"/>
      <c r="D71" s="1851"/>
      <c r="E71" s="1851"/>
      <c r="F71" s="1851"/>
      <c r="G71" s="1851"/>
      <c r="H71" s="1851"/>
      <c r="I71" s="1851"/>
      <c r="J71" s="1851"/>
      <c r="K71" s="1851"/>
      <c r="L71" s="1851"/>
      <c r="M71" s="1852"/>
      <c r="N71" s="3011"/>
      <c r="O71" s="3011"/>
      <c r="P71" s="1868"/>
      <c r="Q71" s="1869"/>
    </row>
    <row r="72" spans="1:17" s="1767" customFormat="1" ht="15.75" thickTop="1">
      <c r="A72" s="1865"/>
      <c r="B72" s="1854">
        <f>B13</f>
        <v>111</v>
      </c>
      <c r="C72" s="468"/>
      <c r="D72" s="468"/>
      <c r="E72" s="468"/>
      <c r="F72" s="468"/>
      <c r="G72" s="468"/>
      <c r="H72" s="443"/>
      <c r="I72" s="443"/>
      <c r="J72" s="443"/>
      <c r="K72" s="443"/>
      <c r="L72" s="443"/>
      <c r="M72" s="1866"/>
      <c r="N72" s="3012"/>
      <c r="O72" s="3012"/>
      <c r="P72" s="1871"/>
      <c r="Q72" s="1872"/>
    </row>
    <row r="73" spans="1:17" s="1767" customFormat="1" ht="15.75" thickBot="1">
      <c r="A73" s="1865"/>
      <c r="B73" s="1857"/>
      <c r="C73" s="1870"/>
      <c r="D73" s="1851"/>
      <c r="E73" s="1851"/>
      <c r="F73" s="1851"/>
      <c r="G73" s="1870"/>
      <c r="H73" s="1873"/>
      <c r="I73" s="1873"/>
      <c r="J73" s="1873"/>
      <c r="K73" s="1873"/>
      <c r="L73" s="1873"/>
      <c r="M73" s="1874"/>
      <c r="N73" s="3012"/>
      <c r="O73" s="3012"/>
      <c r="P73" s="1868"/>
      <c r="Q73" s="1869"/>
    </row>
    <row r="74" spans="1:17" s="1767" customFormat="1" ht="15.75" thickTop="1">
      <c r="A74" s="1865"/>
      <c r="B74" s="1860">
        <f>B14</f>
        <v>111</v>
      </c>
      <c r="C74" s="468"/>
      <c r="D74" s="468"/>
      <c r="E74" s="468"/>
      <c r="F74" s="468"/>
      <c r="G74" s="409"/>
      <c r="H74" s="453"/>
      <c r="I74" s="453"/>
      <c r="J74" s="453"/>
      <c r="K74" s="453"/>
      <c r="L74" s="453"/>
      <c r="M74" s="1875"/>
      <c r="N74" s="3012"/>
      <c r="O74" s="3012"/>
      <c r="P74" s="1868"/>
      <c r="Q74" s="1869"/>
    </row>
    <row r="75" spans="1:17" s="1767" customFormat="1" ht="15.75" thickBot="1">
      <c r="A75" s="1876"/>
      <c r="B75" s="1877"/>
      <c r="C75" s="1878"/>
      <c r="D75" s="1878"/>
      <c r="E75" s="1878"/>
      <c r="F75" s="1878"/>
      <c r="G75" s="1878"/>
      <c r="H75" s="1879"/>
      <c r="I75" s="1879"/>
      <c r="J75" s="1879"/>
      <c r="K75" s="1879"/>
      <c r="L75" s="1879"/>
      <c r="M75" s="1880"/>
      <c r="N75" s="3012"/>
      <c r="O75" s="3012"/>
      <c r="P75" s="1868"/>
      <c r="Q75" s="1869"/>
    </row>
    <row r="76" spans="1:17">
      <c r="A76" s="1842" t="s">
        <v>2267</v>
      </c>
      <c r="B76" s="1843" t="s">
        <v>2305</v>
      </c>
      <c r="C76" s="1881" t="s">
        <v>2306</v>
      </c>
      <c r="D76" s="1881" t="s">
        <v>2307</v>
      </c>
      <c r="E76" s="1881" t="s">
        <v>2308</v>
      </c>
      <c r="F76" s="1881" t="s">
        <v>2309</v>
      </c>
      <c r="G76" s="1881" t="s">
        <v>2310</v>
      </c>
      <c r="H76" s="1844"/>
      <c r="I76" s="1844"/>
      <c r="J76" s="1844"/>
      <c r="K76" s="463"/>
      <c r="L76" s="463"/>
      <c r="M76" s="1882"/>
      <c r="N76" s="3010"/>
      <c r="O76" s="3010"/>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11"/>
      <c r="O77" s="3011"/>
      <c r="P77" s="1848"/>
      <c r="Q77" s="1817"/>
    </row>
    <row r="78" spans="1:17" ht="15.75" thickTop="1">
      <c r="A78" s="1849"/>
      <c r="B78" s="1854" t="s">
        <v>2311</v>
      </c>
      <c r="C78" s="579" t="s">
        <v>2306</v>
      </c>
      <c r="D78" s="579" t="s">
        <v>2307</v>
      </c>
      <c r="E78" s="579" t="s">
        <v>2308</v>
      </c>
      <c r="F78" s="579" t="s">
        <v>2309</v>
      </c>
      <c r="G78" s="579" t="s">
        <v>2310</v>
      </c>
      <c r="H78" s="1855"/>
      <c r="I78" s="1855"/>
      <c r="J78" s="1855"/>
      <c r="K78" s="428"/>
      <c r="L78" s="428"/>
      <c r="M78" s="1856"/>
      <c r="N78" s="3010"/>
      <c r="O78" s="3010"/>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11"/>
      <c r="O79" s="3011"/>
      <c r="P79" s="1848"/>
      <c r="Q79" s="1817"/>
    </row>
    <row r="80" spans="1:17" ht="15.75" thickTop="1">
      <c r="A80" s="1849"/>
      <c r="B80" s="1854" t="s">
        <v>2312</v>
      </c>
      <c r="C80" s="579" t="s">
        <v>2306</v>
      </c>
      <c r="D80" s="579" t="s">
        <v>2307</v>
      </c>
      <c r="E80" s="579" t="s">
        <v>2308</v>
      </c>
      <c r="F80" s="579" t="s">
        <v>2309</v>
      </c>
      <c r="G80" s="579" t="s">
        <v>2310</v>
      </c>
      <c r="H80" s="1855"/>
      <c r="I80" s="1855"/>
      <c r="J80" s="1855"/>
      <c r="K80" s="428"/>
      <c r="L80" s="428"/>
      <c r="M80" s="1856"/>
      <c r="N80" s="3010"/>
      <c r="O80" s="3010"/>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11"/>
      <c r="O81" s="3011"/>
      <c r="P81" s="1848"/>
      <c r="Q81" s="1817"/>
    </row>
    <row r="82" spans="1:17" ht="15.75" thickTop="1">
      <c r="A82" s="1849"/>
      <c r="B82" s="1860" t="s">
        <v>2355</v>
      </c>
      <c r="C82" s="1855" t="s">
        <v>2313</v>
      </c>
      <c r="D82" s="1855" t="s">
        <v>2314</v>
      </c>
      <c r="E82" s="1855" t="s">
        <v>2315</v>
      </c>
      <c r="F82" s="1855" t="s">
        <v>2316</v>
      </c>
      <c r="G82" s="1855" t="s">
        <v>2317</v>
      </c>
      <c r="H82" s="1855"/>
      <c r="I82" s="1855"/>
      <c r="J82" s="1855"/>
      <c r="K82" s="1855"/>
      <c r="L82" s="1855"/>
      <c r="M82" s="1883"/>
      <c r="N82" s="3011"/>
      <c r="O82" s="3011"/>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1"/>
      <c r="N83" s="3011"/>
      <c r="O83" s="3011"/>
      <c r="P83" s="1848"/>
      <c r="Q83" s="1817"/>
    </row>
    <row r="84" spans="1:17" ht="15.75" thickTop="1">
      <c r="A84" s="1849"/>
      <c r="B84" s="1854" t="s">
        <v>2318</v>
      </c>
      <c r="C84" s="579" t="s">
        <v>2306</v>
      </c>
      <c r="D84" s="579" t="s">
        <v>2307</v>
      </c>
      <c r="E84" s="579" t="s">
        <v>2308</v>
      </c>
      <c r="F84" s="579" t="s">
        <v>2309</v>
      </c>
      <c r="G84" s="579" t="s">
        <v>2310</v>
      </c>
      <c r="H84" s="1855"/>
      <c r="I84" s="1855"/>
      <c r="J84" s="1855"/>
      <c r="K84" s="428"/>
      <c r="L84" s="428"/>
      <c r="M84" s="1856"/>
      <c r="N84" s="3010"/>
      <c r="O84" s="3010"/>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11"/>
      <c r="O85" s="3011"/>
      <c r="P85" s="1848"/>
      <c r="Q85" s="1817"/>
    </row>
    <row r="86" spans="1:17" s="1681" customFormat="1" ht="15.75" thickTop="1">
      <c r="A86" s="1885"/>
      <c r="B86" s="1854" t="s">
        <v>2375</v>
      </c>
      <c r="C86" s="468"/>
      <c r="D86" s="468"/>
      <c r="E86" s="468"/>
      <c r="F86" s="468"/>
      <c r="G86" s="468"/>
      <c r="H86" s="468"/>
      <c r="I86" s="468"/>
      <c r="J86" s="468"/>
      <c r="K86" s="468"/>
      <c r="L86" s="468"/>
      <c r="M86" s="1886"/>
      <c r="N86" s="3009"/>
      <c r="O86" s="3009"/>
      <c r="P86" s="1848"/>
      <c r="Q86" s="1817"/>
    </row>
    <row r="87" spans="1:17" s="1681"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11"/>
      <c r="O87" s="3011"/>
      <c r="P87" s="1848"/>
      <c r="Q87" s="1817"/>
    </row>
    <row r="88" spans="1:17" s="1681" customFormat="1" ht="15.75" thickTop="1">
      <c r="A88" s="1885"/>
      <c r="B88" s="1854" t="str">
        <f>B26</f>
        <v>平面位置/可视性</v>
      </c>
      <c r="C88" s="468"/>
      <c r="D88" s="468"/>
      <c r="E88" s="468"/>
      <c r="F88" s="1888"/>
      <c r="G88" s="468"/>
      <c r="H88" s="468"/>
      <c r="I88" s="468"/>
      <c r="J88" s="468"/>
      <c r="K88" s="468"/>
      <c r="L88" s="468"/>
      <c r="M88" s="1886"/>
      <c r="N88" s="3009"/>
      <c r="O88" s="3009"/>
      <c r="P88" s="1848"/>
      <c r="Q88" s="1817"/>
    </row>
    <row r="89" spans="1:17" s="1681" customFormat="1" ht="15.75" thickBot="1">
      <c r="A89" s="1885"/>
      <c r="B89" s="1857"/>
      <c r="C89" s="1870"/>
      <c r="D89" s="1851"/>
      <c r="E89" s="1851"/>
      <c r="F89" s="1851"/>
      <c r="G89" s="1851"/>
      <c r="H89" s="1851"/>
      <c r="I89" s="1851"/>
      <c r="J89" s="1851"/>
      <c r="K89" s="1851"/>
      <c r="L89" s="1851"/>
      <c r="M89" s="1851"/>
      <c r="N89" s="3011"/>
      <c r="O89" s="3011"/>
      <c r="P89" s="1848"/>
      <c r="Q89" s="1817"/>
    </row>
    <row r="90" spans="1:17" s="1767" customFormat="1" ht="15.75" thickTop="1">
      <c r="A90" s="1865"/>
      <c r="B90" s="1854" t="str">
        <f>B27</f>
        <v>人流量</v>
      </c>
      <c r="C90" s="468"/>
      <c r="D90" s="468"/>
      <c r="E90" s="468"/>
      <c r="F90" s="468"/>
      <c r="G90" s="468"/>
      <c r="H90" s="443"/>
      <c r="I90" s="443"/>
      <c r="J90" s="443"/>
      <c r="K90" s="443"/>
      <c r="L90" s="443"/>
      <c r="M90" s="1866"/>
      <c r="N90" s="3012"/>
      <c r="O90" s="3012"/>
      <c r="P90" s="1868"/>
      <c r="Q90" s="1869"/>
    </row>
    <row r="91" spans="1:17" s="1767"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12"/>
      <c r="O91" s="3012"/>
      <c r="P91" s="1868"/>
      <c r="Q91" s="1869"/>
    </row>
    <row r="92" spans="1:17" ht="15.75" thickTop="1">
      <c r="A92" s="1849"/>
      <c r="B92" s="1854" t="str">
        <f>B28</f>
        <v>楼层</v>
      </c>
      <c r="C92" s="468"/>
      <c r="D92" s="468"/>
      <c r="E92" s="468"/>
      <c r="F92" s="468"/>
      <c r="G92" s="468"/>
      <c r="H92" s="468"/>
      <c r="I92" s="468"/>
      <c r="J92" s="468"/>
      <c r="K92" s="468"/>
      <c r="L92" s="468"/>
      <c r="M92" s="1886"/>
      <c r="N92" s="3010"/>
      <c r="O92" s="3010"/>
      <c r="P92" s="1848"/>
      <c r="Q92" s="1817"/>
    </row>
    <row r="93" spans="1:17" ht="15.75" thickBot="1">
      <c r="A93" s="1849"/>
      <c r="B93" s="1857"/>
      <c r="C93" s="1851"/>
      <c r="D93" s="1851"/>
      <c r="E93" s="1851"/>
      <c r="F93" s="1851"/>
      <c r="G93" s="1851"/>
      <c r="H93" s="1851"/>
      <c r="I93" s="1851"/>
      <c r="J93" s="1851"/>
      <c r="K93" s="1851"/>
      <c r="L93" s="1851"/>
      <c r="M93" s="1852"/>
      <c r="N93" s="3011"/>
      <c r="O93" s="3011"/>
      <c r="P93" s="1848"/>
      <c r="Q93" s="1817"/>
    </row>
    <row r="94" spans="1:17" ht="15.75" thickTop="1">
      <c r="A94" s="1849"/>
      <c r="B94" s="1854">
        <f>B29</f>
        <v>111</v>
      </c>
      <c r="C94" s="468"/>
      <c r="D94" s="468"/>
      <c r="E94" s="468"/>
      <c r="F94" s="468"/>
      <c r="G94" s="1574"/>
      <c r="H94" s="1574"/>
      <c r="I94" s="1574"/>
      <c r="J94" s="1574"/>
      <c r="K94" s="473"/>
      <c r="L94" s="473"/>
      <c r="M94" s="1889"/>
      <c r="N94" s="3010"/>
      <c r="O94" s="3010"/>
      <c r="P94" s="1848"/>
      <c r="Q94" s="1817"/>
    </row>
    <row r="95" spans="1:17" ht="15.75" thickBot="1">
      <c r="A95" s="1849"/>
      <c r="B95" s="1857"/>
      <c r="C95" s="1870"/>
      <c r="D95" s="1851"/>
      <c r="E95" s="1851"/>
      <c r="F95" s="1851"/>
      <c r="G95" s="1851"/>
      <c r="H95" s="1851"/>
      <c r="I95" s="1851"/>
      <c r="J95" s="1851"/>
      <c r="K95" s="1851"/>
      <c r="L95" s="1851"/>
      <c r="M95" s="1852"/>
      <c r="N95" s="3011"/>
      <c r="O95" s="3011"/>
      <c r="P95" s="1848"/>
      <c r="Q95" s="1817"/>
    </row>
    <row r="96" spans="1:17" ht="15.75" thickTop="1">
      <c r="A96" s="1849"/>
      <c r="B96" s="1854">
        <f>B30</f>
        <v>111</v>
      </c>
      <c r="C96" s="468"/>
      <c r="D96" s="468"/>
      <c r="E96" s="468"/>
      <c r="F96" s="468"/>
      <c r="G96" s="1574"/>
      <c r="H96" s="1574"/>
      <c r="I96" s="1574"/>
      <c r="J96" s="1574"/>
      <c r="K96" s="473"/>
      <c r="L96" s="473"/>
      <c r="M96" s="1889"/>
      <c r="N96" s="3010"/>
      <c r="O96" s="3010"/>
      <c r="P96" s="1848"/>
      <c r="Q96" s="1817"/>
    </row>
    <row r="97" spans="1:17" ht="15.75" thickBot="1">
      <c r="A97" s="1849"/>
      <c r="B97" s="1857"/>
      <c r="C97" s="1870"/>
      <c r="D97" s="1851"/>
      <c r="E97" s="1851"/>
      <c r="F97" s="1851"/>
      <c r="G97" s="1851"/>
      <c r="H97" s="1851"/>
      <c r="I97" s="1851"/>
      <c r="J97" s="1851"/>
      <c r="K97" s="1851"/>
      <c r="L97" s="1851"/>
      <c r="M97" s="1852"/>
      <c r="N97" s="3011"/>
      <c r="O97" s="3011"/>
      <c r="P97" s="1848"/>
      <c r="Q97" s="1817"/>
    </row>
    <row r="98" spans="1:17" ht="15.75" thickTop="1">
      <c r="A98" s="1849"/>
      <c r="B98" s="1860">
        <f>B31</f>
        <v>111</v>
      </c>
      <c r="C98" s="468"/>
      <c r="D98" s="468"/>
      <c r="E98" s="468"/>
      <c r="F98" s="468"/>
      <c r="G98" s="1890"/>
      <c r="H98" s="1890"/>
      <c r="I98" s="1890"/>
      <c r="J98" s="1890"/>
      <c r="K98" s="477"/>
      <c r="L98" s="477"/>
      <c r="M98" s="1891"/>
      <c r="N98" s="3010"/>
      <c r="O98" s="3010"/>
      <c r="P98" s="1848"/>
      <c r="Q98" s="1817"/>
    </row>
    <row r="99" spans="1:17" ht="15.75" thickBot="1">
      <c r="A99" s="1892"/>
      <c r="B99" s="1877"/>
      <c r="C99" s="1878"/>
      <c r="D99" s="1878"/>
      <c r="E99" s="1878"/>
      <c r="F99" s="1878"/>
      <c r="G99" s="1893"/>
      <c r="H99" s="1893"/>
      <c r="I99" s="1893"/>
      <c r="J99" s="1893"/>
      <c r="K99" s="1893"/>
      <c r="L99" s="1893"/>
      <c r="M99" s="1894"/>
      <c r="N99" s="3011"/>
      <c r="O99" s="3011"/>
      <c r="P99" s="1848"/>
      <c r="Q99" s="1817"/>
    </row>
    <row r="100" spans="1:17">
      <c r="A100" s="1842" t="s">
        <v>2272</v>
      </c>
      <c r="B100" s="1843" t="s">
        <v>2376</v>
      </c>
      <c r="C100" s="1845"/>
      <c r="D100" s="1845"/>
      <c r="E100" s="1845"/>
      <c r="F100" s="1845"/>
      <c r="G100" s="1845"/>
      <c r="H100" s="1845"/>
      <c r="I100" s="1845"/>
      <c r="J100" s="1845"/>
      <c r="K100" s="417"/>
      <c r="L100" s="417"/>
      <c r="M100" s="1846"/>
      <c r="N100" s="3010"/>
      <c r="O100" s="3010"/>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11"/>
      <c r="O101" s="3011"/>
      <c r="P101" s="1848"/>
      <c r="Q101" s="1817"/>
    </row>
    <row r="102" spans="1:17" ht="15.75" thickTop="1">
      <c r="A102" s="1849"/>
      <c r="B102" s="1854"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9"/>
      <c r="O102" s="3009"/>
      <c r="P102" s="1848"/>
      <c r="Q102" s="1817"/>
    </row>
    <row r="103" spans="1:17" s="1767" customFormat="1">
      <c r="A103" s="1895"/>
      <c r="B103" s="1896"/>
      <c r="C103" s="1897"/>
      <c r="D103" s="1897"/>
      <c r="E103" s="1897"/>
      <c r="F103" s="1897"/>
      <c r="G103" s="1897"/>
      <c r="H103" s="1897"/>
      <c r="I103" s="1897"/>
      <c r="J103" s="485"/>
      <c r="K103" s="485"/>
      <c r="L103" s="485"/>
      <c r="M103" s="1898"/>
      <c r="N103" s="3012"/>
      <c r="O103" s="3012"/>
      <c r="P103" s="1868"/>
      <c r="Q103" s="1869"/>
    </row>
    <row r="104" spans="1:17" s="1767" customFormat="1" ht="15.75" thickBot="1">
      <c r="A104" s="1865"/>
      <c r="B104" s="1857"/>
      <c r="C104" s="1870"/>
      <c r="D104" s="1851"/>
      <c r="E104" s="1851"/>
      <c r="F104" s="1851"/>
      <c r="G104" s="1851"/>
      <c r="H104" s="1851"/>
      <c r="I104" s="1851"/>
      <c r="J104" s="1851"/>
      <c r="K104" s="1851"/>
      <c r="L104" s="1851"/>
      <c r="M104" s="1852"/>
      <c r="N104" s="3011"/>
      <c r="O104" s="3011"/>
      <c r="P104" s="1868"/>
      <c r="Q104" s="1869"/>
    </row>
    <row r="105" spans="1:17" ht="15" thickTop="1">
      <c r="A105" s="1899"/>
      <c r="B105" s="1854" t="s">
        <v>2323</v>
      </c>
      <c r="C105" s="468"/>
      <c r="D105" s="468"/>
      <c r="E105" s="1574"/>
      <c r="F105" s="1574"/>
      <c r="G105" s="1574"/>
      <c r="H105" s="1574"/>
      <c r="I105" s="1574"/>
      <c r="J105" s="1574"/>
      <c r="K105" s="473"/>
      <c r="L105" s="473"/>
      <c r="M105" s="1889"/>
      <c r="N105" s="3010"/>
      <c r="O105" s="3010"/>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11"/>
      <c r="O106" s="3011"/>
      <c r="P106" s="1848"/>
      <c r="Q106" s="1817"/>
    </row>
    <row r="107" spans="1:17" ht="15" thickTop="1">
      <c r="A107" s="1899"/>
      <c r="B107" s="1854" t="s">
        <v>2325</v>
      </c>
      <c r="C107" s="468"/>
      <c r="D107" s="468"/>
      <c r="E107" s="468"/>
      <c r="F107" s="1574"/>
      <c r="G107" s="1574"/>
      <c r="H107" s="1574"/>
      <c r="I107" s="1574"/>
      <c r="J107" s="1574"/>
      <c r="K107" s="473"/>
      <c r="L107" s="473"/>
      <c r="M107" s="1889"/>
      <c r="N107" s="3010"/>
      <c r="O107" s="3010"/>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11"/>
      <c r="O108" s="3011"/>
      <c r="P108" s="1848"/>
      <c r="Q108" s="1817"/>
    </row>
    <row r="109" spans="1:17" ht="15" thickTop="1">
      <c r="A109" s="1899"/>
      <c r="B109" s="1854"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4"/>
      <c r="J109" s="1574"/>
      <c r="K109" s="473"/>
      <c r="L109" s="473"/>
      <c r="M109" s="1889"/>
      <c r="N109" s="3010"/>
      <c r="O109" s="3010"/>
      <c r="P109" s="1848"/>
      <c r="Q109" s="1817"/>
    </row>
    <row r="110" spans="1:17">
      <c r="A110" s="1899"/>
      <c r="B110" s="1860"/>
      <c r="C110" s="1901">
        <v>0.5</v>
      </c>
      <c r="D110" s="1901">
        <v>0.6</v>
      </c>
      <c r="E110" s="1901">
        <v>0.7</v>
      </c>
      <c r="F110" s="1901">
        <v>0.8</v>
      </c>
      <c r="G110" s="1901">
        <v>0.9</v>
      </c>
      <c r="H110" s="1901">
        <v>1</v>
      </c>
      <c r="I110" s="2479"/>
      <c r="J110" s="2479"/>
      <c r="K110" s="508"/>
      <c r="L110" s="508"/>
      <c r="M110" s="2480"/>
      <c r="N110" s="3010"/>
      <c r="O110" s="3010"/>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11"/>
      <c r="O111" s="3011"/>
      <c r="P111" s="1848"/>
      <c r="Q111" s="1817"/>
    </row>
    <row r="112" spans="1:17" s="1767" customFormat="1" ht="15" thickTop="1">
      <c r="A112" s="1895"/>
      <c r="B112" s="1854" t="s">
        <v>2328</v>
      </c>
      <c r="C112" s="468"/>
      <c r="D112" s="468"/>
      <c r="E112" s="468"/>
      <c r="F112" s="468"/>
      <c r="G112" s="468"/>
      <c r="H112" s="1574"/>
      <c r="I112" s="1574"/>
      <c r="J112" s="1574"/>
      <c r="K112" s="473"/>
      <c r="L112" s="473"/>
      <c r="M112" s="1889"/>
      <c r="N112" s="3012"/>
      <c r="O112" s="3012"/>
      <c r="P112" s="1868"/>
      <c r="Q112" s="1869"/>
    </row>
    <row r="113" spans="1:17" s="1767"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12"/>
      <c r="O113" s="3012"/>
      <c r="P113" s="1868"/>
      <c r="Q113" s="1869"/>
    </row>
    <row r="114" spans="1:17" ht="15" thickTop="1">
      <c r="A114" s="1899"/>
      <c r="B114" s="1854" t="s">
        <v>2377</v>
      </c>
      <c r="C114" s="468"/>
      <c r="D114" s="468"/>
      <c r="E114" s="1574"/>
      <c r="F114" s="1574"/>
      <c r="G114" s="1574"/>
      <c r="H114" s="1574"/>
      <c r="I114" s="1574"/>
      <c r="J114" s="1574"/>
      <c r="K114" s="473"/>
      <c r="L114" s="473"/>
      <c r="M114" s="1889"/>
      <c r="N114" s="3010"/>
      <c r="O114" s="3010"/>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11"/>
      <c r="O115" s="3011"/>
      <c r="P115" s="1848"/>
      <c r="Q115" s="1817"/>
    </row>
    <row r="116" spans="1:17" ht="15" thickTop="1">
      <c r="A116" s="1899"/>
      <c r="B116" s="1854" t="s">
        <v>2378</v>
      </c>
      <c r="C116" s="468"/>
      <c r="D116" s="468"/>
      <c r="E116" s="468"/>
      <c r="F116" s="468"/>
      <c r="G116" s="468"/>
      <c r="H116" s="1574"/>
      <c r="I116" s="1574"/>
      <c r="J116" s="1574"/>
      <c r="K116" s="473"/>
      <c r="L116" s="473"/>
      <c r="M116" s="1889"/>
      <c r="N116" s="3010"/>
      <c r="O116" s="3010"/>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11"/>
      <c r="O117" s="3011"/>
      <c r="P117" s="1848"/>
      <c r="Q117" s="1817"/>
    </row>
    <row r="118" spans="1:17" ht="15" thickTop="1">
      <c r="A118" s="1899"/>
      <c r="B118" s="1854" t="s">
        <v>2379</v>
      </c>
      <c r="C118" s="2481"/>
      <c r="D118" s="2481"/>
      <c r="E118" s="2481"/>
      <c r="F118" s="2481"/>
      <c r="G118" s="2481"/>
      <c r="H118" s="443"/>
      <c r="I118" s="443"/>
      <c r="J118" s="443"/>
      <c r="K118" s="443"/>
      <c r="L118" s="443"/>
      <c r="M118" s="1866"/>
      <c r="N118" s="3010"/>
      <c r="O118" s="3010"/>
      <c r="P118" s="1848"/>
      <c r="Q118" s="1817"/>
    </row>
    <row r="119" spans="1:17" ht="15.75" thickBot="1">
      <c r="A119" s="1849"/>
      <c r="B119" s="1857"/>
      <c r="C119" s="1870"/>
      <c r="D119" s="1851"/>
      <c r="E119" s="1851"/>
      <c r="F119" s="1851"/>
      <c r="G119" s="1851"/>
      <c r="H119" s="1851"/>
      <c r="I119" s="1851"/>
      <c r="J119" s="1851"/>
      <c r="K119" s="1851"/>
      <c r="L119" s="1851"/>
      <c r="M119" s="1852"/>
      <c r="N119" s="3011"/>
      <c r="O119" s="3011"/>
      <c r="P119" s="1848"/>
      <c r="Q119" s="1817"/>
    </row>
    <row r="120" spans="1:17" s="1767" customFormat="1" ht="15" thickTop="1">
      <c r="A120" s="1895"/>
      <c r="B120" s="1854" t="s">
        <v>2380</v>
      </c>
      <c r="C120" s="1574"/>
      <c r="D120" s="1574"/>
      <c r="E120" s="1574"/>
      <c r="F120" s="1574"/>
      <c r="G120" s="443"/>
      <c r="H120" s="443"/>
      <c r="I120" s="443"/>
      <c r="J120" s="443"/>
      <c r="K120" s="443"/>
      <c r="L120" s="443"/>
      <c r="M120" s="1866"/>
      <c r="N120" s="3012"/>
      <c r="O120" s="3012"/>
      <c r="P120" s="1868"/>
      <c r="Q120" s="1869"/>
    </row>
    <row r="121" spans="1:17" s="1767"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12"/>
      <c r="O121" s="3012"/>
      <c r="P121" s="1868"/>
      <c r="Q121" s="1869"/>
    </row>
    <row r="122" spans="1:17" ht="15" thickTop="1">
      <c r="A122" s="1899"/>
      <c r="B122" s="1854" t="s">
        <v>2330</v>
      </c>
      <c r="C122" s="468"/>
      <c r="D122" s="468"/>
      <c r="E122" s="468"/>
      <c r="F122" s="1574"/>
      <c r="G122" s="1574"/>
      <c r="H122" s="1574"/>
      <c r="I122" s="1574"/>
      <c r="J122" s="1574"/>
      <c r="K122" s="473"/>
      <c r="L122" s="473"/>
      <c r="M122" s="1889"/>
      <c r="N122" s="3010"/>
      <c r="O122" s="3010"/>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11"/>
      <c r="O123" s="3011"/>
      <c r="P123" s="1848"/>
      <c r="Q123" s="1817"/>
    </row>
    <row r="124" spans="1:17" ht="15" thickTop="1">
      <c r="A124" s="1899"/>
      <c r="B124" s="1854" t="s">
        <v>2331</v>
      </c>
      <c r="C124" s="579" t="s">
        <v>2306</v>
      </c>
      <c r="D124" s="579" t="s">
        <v>2307</v>
      </c>
      <c r="E124" s="579" t="s">
        <v>2308</v>
      </c>
      <c r="F124" s="579" t="s">
        <v>2309</v>
      </c>
      <c r="G124" s="579" t="s">
        <v>2310</v>
      </c>
      <c r="H124" s="1855"/>
      <c r="I124" s="1855"/>
      <c r="J124" s="1855"/>
      <c r="K124" s="428"/>
      <c r="L124" s="428"/>
      <c r="M124" s="1856"/>
      <c r="N124" s="3010"/>
      <c r="O124" s="3010"/>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11"/>
      <c r="O125" s="3011"/>
      <c r="P125" s="1848"/>
      <c r="Q125" s="1817"/>
    </row>
    <row r="126" spans="1:17" s="1767" customFormat="1" ht="15" thickTop="1">
      <c r="A126" s="1895"/>
      <c r="B126" s="1854">
        <f>B44</f>
        <v>111</v>
      </c>
      <c r="C126" s="468"/>
      <c r="D126" s="468"/>
      <c r="E126" s="468"/>
      <c r="F126" s="468"/>
      <c r="G126" s="468"/>
      <c r="H126" s="443"/>
      <c r="I126" s="443"/>
      <c r="J126" s="443"/>
      <c r="K126" s="443"/>
      <c r="L126" s="443"/>
      <c r="M126" s="1866"/>
      <c r="N126" s="3012"/>
      <c r="O126" s="3012"/>
      <c r="P126" s="1868"/>
      <c r="Q126" s="1869"/>
    </row>
    <row r="127" spans="1:17" s="1767" customFormat="1" ht="15.75" thickBot="1">
      <c r="A127" s="1865"/>
      <c r="B127" s="1857"/>
      <c r="C127" s="1870"/>
      <c r="D127" s="1851"/>
      <c r="E127" s="1851"/>
      <c r="F127" s="1851"/>
      <c r="G127" s="1870"/>
      <c r="H127" s="1873"/>
      <c r="I127" s="1873"/>
      <c r="J127" s="1873"/>
      <c r="K127" s="1873"/>
      <c r="L127" s="1873"/>
      <c r="M127" s="1874"/>
      <c r="N127" s="3012"/>
      <c r="O127" s="3012"/>
      <c r="P127" s="1868"/>
      <c r="Q127" s="1869"/>
    </row>
    <row r="128" spans="1:17" ht="15" thickTop="1">
      <c r="A128" s="1899"/>
      <c r="B128" s="1854">
        <f>B45</f>
        <v>111</v>
      </c>
      <c r="C128" s="468"/>
      <c r="D128" s="468"/>
      <c r="E128" s="468"/>
      <c r="F128" s="468"/>
      <c r="G128" s="1574"/>
      <c r="H128" s="1574"/>
      <c r="I128" s="1574"/>
      <c r="J128" s="1574"/>
      <c r="K128" s="473"/>
      <c r="L128" s="473"/>
      <c r="M128" s="1889"/>
      <c r="N128" s="3010"/>
      <c r="O128" s="3010"/>
      <c r="P128" s="1848"/>
      <c r="Q128" s="1817"/>
    </row>
    <row r="129" spans="1:17" ht="15.75" thickBot="1">
      <c r="A129" s="1849"/>
      <c r="B129" s="1857"/>
      <c r="C129" s="1870"/>
      <c r="D129" s="1851"/>
      <c r="E129" s="1851"/>
      <c r="F129" s="1851"/>
      <c r="G129" s="1851"/>
      <c r="H129" s="1851"/>
      <c r="I129" s="1851"/>
      <c r="J129" s="1851"/>
      <c r="K129" s="1851"/>
      <c r="L129" s="1851"/>
      <c r="M129" s="1852"/>
      <c r="N129" s="3011"/>
      <c r="O129" s="3011"/>
      <c r="P129" s="1848"/>
      <c r="Q129" s="1817"/>
    </row>
    <row r="130" spans="1:17" ht="15" thickTop="1">
      <c r="A130" s="1899"/>
      <c r="B130" s="1860">
        <f>B46</f>
        <v>111</v>
      </c>
      <c r="C130" s="468"/>
      <c r="D130" s="468"/>
      <c r="E130" s="468"/>
      <c r="F130" s="468"/>
      <c r="G130" s="1890"/>
      <c r="H130" s="1890"/>
      <c r="I130" s="1890"/>
      <c r="J130" s="1890"/>
      <c r="K130" s="409"/>
      <c r="L130" s="409"/>
      <c r="M130" s="1891"/>
      <c r="N130" s="3010"/>
      <c r="O130" s="3010"/>
      <c r="P130" s="1848"/>
      <c r="Q130" s="1817"/>
    </row>
    <row r="131" spans="1:17" ht="15.75" thickBot="1">
      <c r="A131" s="1892"/>
      <c r="B131" s="1877"/>
      <c r="C131" s="1878"/>
      <c r="D131" s="1878"/>
      <c r="E131" s="1878"/>
      <c r="F131" s="1878"/>
      <c r="G131" s="1893"/>
      <c r="H131" s="1893"/>
      <c r="I131" s="1893"/>
      <c r="J131" s="1893"/>
      <c r="K131" s="1893"/>
      <c r="L131" s="1893"/>
      <c r="M131" s="1894"/>
      <c r="N131" s="3011"/>
      <c r="O131" s="3011"/>
      <c r="P131" s="1848"/>
      <c r="Q131" s="181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3" customWidth="1"/>
    <col min="2" max="2" width="15.75" style="1663" customWidth="1"/>
    <col min="3" max="3" width="14.375" style="1663" customWidth="1"/>
    <col min="4" max="4" width="12.25" style="1663" customWidth="1"/>
    <col min="5" max="5" width="14.375" style="1663" customWidth="1"/>
    <col min="6" max="6" width="12.25" style="1663" customWidth="1"/>
    <col min="7" max="7" width="14.5" style="1663" customWidth="1"/>
    <col min="8" max="8" width="12.25" style="1663" customWidth="1"/>
    <col min="9" max="9" width="14.5" style="1663" customWidth="1"/>
    <col min="10" max="10" width="12.25" style="1663" customWidth="1"/>
    <col min="11" max="11" width="12.25" style="1905" customWidth="1"/>
    <col min="12" max="12" width="12.25" style="1906" customWidth="1"/>
    <col min="13" max="15" width="12.25" style="1663" customWidth="1"/>
    <col min="16" max="16" width="4.75" style="1663" customWidth="1"/>
    <col min="17" max="17" width="19.5" style="1663" customWidth="1"/>
    <col min="18" max="22" width="6.125" style="1663" customWidth="1"/>
    <col min="23" max="23" width="5.75" style="1663" customWidth="1"/>
    <col min="24" max="24" width="4.25" style="1663" customWidth="1"/>
    <col min="25" max="25" width="3.5" style="1663" customWidth="1"/>
    <col min="26" max="26" width="19.75" style="1663" customWidth="1"/>
    <col min="27" max="28" width="9.375" style="1663" customWidth="1"/>
    <col min="29" max="16384" width="9" style="1663"/>
  </cols>
  <sheetData>
    <row r="1" spans="1:29" s="1644" customFormat="1" ht="28.5" customHeight="1" thickBot="1">
      <c r="A1" s="1633" t="s">
        <v>2239</v>
      </c>
      <c r="B1" s="1634" t="s">
        <v>2381</v>
      </c>
      <c r="C1" s="1635"/>
      <c r="D1" s="1634"/>
      <c r="E1" s="1637"/>
      <c r="F1" s="1638" t="s">
        <v>2241</v>
      </c>
      <c r="G1" s="1634"/>
      <c r="H1" s="1634"/>
      <c r="I1" s="1634"/>
      <c r="J1" s="1634"/>
      <c r="K1" s="1639"/>
      <c r="L1" s="1640"/>
      <c r="M1" s="1634"/>
      <c r="N1" s="1634"/>
      <c r="O1" s="1634"/>
      <c r="P1" s="1634"/>
      <c r="Q1" s="1634"/>
      <c r="R1" s="1634"/>
      <c r="S1" s="1634"/>
      <c r="T1" s="1634"/>
      <c r="U1" s="1634"/>
      <c r="V1" s="1634"/>
      <c r="W1" s="1634"/>
      <c r="X1" s="1634"/>
      <c r="Y1" s="1634"/>
      <c r="Z1" s="1634"/>
      <c r="AA1" s="1634"/>
      <c r="AB1" s="2482"/>
      <c r="AC1" s="1643"/>
    </row>
    <row r="2" spans="1:29" s="1955" customFormat="1" ht="28.5" customHeight="1" thickTop="1">
      <c r="A2" s="1645" t="s">
        <v>1914</v>
      </c>
      <c r="B2" s="1646" t="e">
        <f ca="1">IF(D2="——",IF(C2="元",ROUND(C50*D3,0),ROUND(C50*D3/10000,0)),IF(C2="元",ROUND(C50*D3,0),ROUND(C50*D3/10000,0))-E2)</f>
        <v>#DIV/0!</v>
      </c>
      <c r="C2" s="1647" t="str">
        <f>'数据-取费表'!B3</f>
        <v>元</v>
      </c>
      <c r="D2" s="1648"/>
      <c r="E2" s="2483" t="e">
        <f ca="1">SUMIF(INDIRECT("'"&amp;G2&amp;"'"&amp;"!A:A"),"承租人权益价值",INDIRECT("'"&amp;G2&amp;"'"&amp;"!c:c"))</f>
        <v>#REF!</v>
      </c>
      <c r="F2" s="1650" t="str">
        <f>C2</f>
        <v>元</v>
      </c>
      <c r="G2" s="1651"/>
      <c r="H2" s="3006"/>
      <c r="I2" s="3006"/>
      <c r="J2" s="3006"/>
      <c r="K2" s="3006"/>
      <c r="L2" s="3008"/>
      <c r="M2" s="3006"/>
      <c r="N2" s="3006"/>
      <c r="O2" s="3006"/>
      <c r="P2" s="1952"/>
      <c r="Q2" s="1952"/>
      <c r="R2" s="1952"/>
      <c r="S2" s="1952"/>
      <c r="T2" s="1952"/>
      <c r="U2" s="1952"/>
      <c r="V2" s="1952"/>
      <c r="W2" s="1952"/>
      <c r="X2" s="1952"/>
      <c r="Y2" s="1952"/>
      <c r="Z2" s="1952"/>
      <c r="AA2" s="1952"/>
      <c r="AB2" s="2484"/>
      <c r="AC2" s="1960"/>
    </row>
    <row r="3" spans="1:29" s="1955" customFormat="1" ht="28.5" customHeight="1" thickBot="1">
      <c r="A3" s="1655" t="s">
        <v>1915</v>
      </c>
      <c r="B3" s="1958" t="e">
        <f ca="1">ROUND(IF(D2="——",C50,IF(C2="万元",B2*10000/D3,B2/D3)),0)</f>
        <v>#DIV/0!</v>
      </c>
      <c r="C3" s="1656" t="s">
        <v>2242</v>
      </c>
      <c r="D3" s="1656">
        <f>IF(C1="仅计算典型户型",'数据-取费表'!E5,'数据-取费表'!B5)</f>
        <v>732.34</v>
      </c>
      <c r="F3" s="3005"/>
      <c r="G3" s="3006"/>
      <c r="H3" s="3006"/>
      <c r="I3" s="3006"/>
      <c r="J3" s="3006"/>
      <c r="K3" s="3007"/>
      <c r="L3" s="3008"/>
      <c r="M3" s="3006"/>
      <c r="N3" s="3006"/>
      <c r="O3" s="3006"/>
      <c r="P3" s="3013"/>
      <c r="Q3" s="1947"/>
      <c r="R3" s="1947"/>
      <c r="S3" s="1947"/>
      <c r="T3" s="1947"/>
      <c r="U3" s="1947"/>
      <c r="V3" s="1947"/>
      <c r="W3" s="1947"/>
      <c r="X3" s="1952"/>
      <c r="Y3" s="1947"/>
      <c r="Z3" s="1947"/>
      <c r="AA3" s="1947"/>
      <c r="AB3" s="2485"/>
      <c r="AC3" s="1960"/>
    </row>
    <row r="4" spans="1:29" ht="15">
      <c r="A4" s="1659" t="s">
        <v>2243</v>
      </c>
      <c r="B4" s="1660"/>
      <c r="C4" s="3408" t="s">
        <v>2244</v>
      </c>
      <c r="D4" s="3409"/>
      <c r="E4" s="3410" t="s">
        <v>2245</v>
      </c>
      <c r="F4" s="3411"/>
      <c r="G4" s="3408" t="s">
        <v>2246</v>
      </c>
      <c r="H4" s="3409"/>
      <c r="I4" s="3408" t="s">
        <v>2247</v>
      </c>
      <c r="J4" s="3409"/>
      <c r="K4" s="1961" t="s">
        <v>2248</v>
      </c>
      <c r="L4" s="2991"/>
      <c r="M4" s="2992"/>
      <c r="N4" s="2992"/>
      <c r="O4" s="2992"/>
      <c r="P4" s="3412" t="s">
        <v>2249</v>
      </c>
      <c r="Q4" s="3413"/>
      <c r="R4" s="3418" t="s">
        <v>2245</v>
      </c>
      <c r="S4" s="3419"/>
      <c r="T4" s="3418" t="s">
        <v>2246</v>
      </c>
      <c r="U4" s="3419"/>
      <c r="V4" s="3424" t="s">
        <v>2247</v>
      </c>
      <c r="W4" s="3424"/>
      <c r="X4" s="2070"/>
      <c r="Y4" s="3418" t="s">
        <v>2249</v>
      </c>
      <c r="Z4" s="3419"/>
      <c r="AA4" s="3405" t="s">
        <v>2245</v>
      </c>
      <c r="AB4" s="3405" t="s">
        <v>2246</v>
      </c>
      <c r="AC4" s="3405" t="s">
        <v>2247</v>
      </c>
    </row>
    <row r="5" spans="1:29" ht="15">
      <c r="A5" s="1664"/>
      <c r="B5" s="1665"/>
      <c r="C5" s="3427" t="s">
        <v>2250</v>
      </c>
      <c r="D5" s="3428"/>
      <c r="E5" s="3511" t="s">
        <v>2251</v>
      </c>
      <c r="F5" s="3426"/>
      <c r="G5" s="3427" t="s">
        <v>2252</v>
      </c>
      <c r="H5" s="3428"/>
      <c r="I5" s="3427" t="s">
        <v>2253</v>
      </c>
      <c r="J5" s="3428"/>
      <c r="K5" s="1961"/>
      <c r="L5" s="2991"/>
      <c r="M5" s="2992"/>
      <c r="N5" s="2992"/>
      <c r="O5" s="2992"/>
      <c r="P5" s="3414"/>
      <c r="Q5" s="3415"/>
      <c r="R5" s="3420"/>
      <c r="S5" s="3421"/>
      <c r="T5" s="3420"/>
      <c r="U5" s="3421"/>
      <c r="V5" s="3424"/>
      <c r="W5" s="3424"/>
      <c r="X5" s="2070"/>
      <c r="Y5" s="3420"/>
      <c r="Z5" s="3421"/>
      <c r="AA5" s="3406"/>
      <c r="AB5" s="3406"/>
      <c r="AC5" s="3406"/>
    </row>
    <row r="6" spans="1:29" ht="15.75" thickBot="1">
      <c r="A6" s="1667"/>
      <c r="B6" s="1668"/>
      <c r="C6" s="3429" t="s">
        <v>2254</v>
      </c>
      <c r="D6" s="3430"/>
      <c r="E6" s="3432" t="s">
        <v>2254</v>
      </c>
      <c r="F6" s="3433"/>
      <c r="G6" s="3429" t="s">
        <v>2254</v>
      </c>
      <c r="H6" s="3430"/>
      <c r="I6" s="3429" t="s">
        <v>2254</v>
      </c>
      <c r="J6" s="3430"/>
      <c r="K6" s="1961" t="s">
        <v>2255</v>
      </c>
      <c r="L6" s="2991"/>
      <c r="M6" s="2992"/>
      <c r="N6" s="2992"/>
      <c r="O6" s="2992"/>
      <c r="P6" s="3416"/>
      <c r="Q6" s="3417"/>
      <c r="R6" s="3420"/>
      <c r="S6" s="3421"/>
      <c r="T6" s="3422"/>
      <c r="U6" s="3423"/>
      <c r="V6" s="3424"/>
      <c r="W6" s="3424"/>
      <c r="X6" s="2070"/>
      <c r="Y6" s="3422"/>
      <c r="Z6" s="3423"/>
      <c r="AA6" s="3407"/>
      <c r="AB6" s="3407"/>
      <c r="AC6" s="3407"/>
    </row>
    <row r="7" spans="1:29" s="1681" customFormat="1" ht="15.75" thickBot="1">
      <c r="A7" s="1669" t="s">
        <v>2256</v>
      </c>
      <c r="B7" s="1670"/>
      <c r="C7" s="1671">
        <f>'数据-取费表'!B2</f>
        <v>44333</v>
      </c>
      <c r="D7" s="1672">
        <v>100</v>
      </c>
      <c r="E7" s="1673"/>
      <c r="F7" s="1674">
        <f>SUMIF(59:59,YEAR(E7)&amp;"-"&amp;MONTH(E7),60:60)</f>
        <v>0</v>
      </c>
      <c r="G7" s="1962"/>
      <c r="H7" s="1672">
        <f>SUMIF(59:59,YEAR(G7)&amp;"-"&amp;MONTH(G7),60:60)</f>
        <v>0</v>
      </c>
      <c r="I7" s="1962"/>
      <c r="J7" s="1672">
        <f>SUMIF(59:59,YEAR(I7)&amp;"-"&amp;MONTH(I7),60:60)</f>
        <v>0</v>
      </c>
      <c r="K7" s="1963"/>
      <c r="L7" s="2991"/>
      <c r="M7" s="2964"/>
      <c r="N7" s="2964"/>
      <c r="O7" s="2964"/>
      <c r="P7" s="3441" t="s">
        <v>2257</v>
      </c>
      <c r="Q7" s="3443"/>
      <c r="R7" s="1677" t="s">
        <v>25</v>
      </c>
      <c r="S7" s="1678">
        <f t="shared" ref="S7:S15" si="0">F7</f>
        <v>0</v>
      </c>
      <c r="T7" s="1677" t="s">
        <v>25</v>
      </c>
      <c r="U7" s="1678">
        <f t="shared" ref="U7:U15" si="1">H7</f>
        <v>0</v>
      </c>
      <c r="V7" s="1677" t="s">
        <v>25</v>
      </c>
      <c r="W7" s="1678">
        <f t="shared" ref="W7:W15" si="2">J7</f>
        <v>0</v>
      </c>
      <c r="X7" s="1679"/>
      <c r="Y7" s="3441" t="s">
        <v>2257</v>
      </c>
      <c r="Z7" s="3442"/>
      <c r="AA7" s="1680" t="e">
        <f>D7/F7</f>
        <v>#DIV/0!</v>
      </c>
      <c r="AB7" s="1680" t="e">
        <f>D7/H7</f>
        <v>#DIV/0!</v>
      </c>
      <c r="AC7" s="1680" t="e">
        <f>D7/J7</f>
        <v>#DIV/0!</v>
      </c>
    </row>
    <row r="8" spans="1:29" s="1681" customFormat="1" ht="15.75" thickBot="1">
      <c r="A8" s="1669" t="s">
        <v>2258</v>
      </c>
      <c r="B8" s="1670"/>
      <c r="C8" s="1682" t="s">
        <v>2259</v>
      </c>
      <c r="D8" s="1672">
        <v>100</v>
      </c>
      <c r="E8" s="1682"/>
      <c r="F8" s="1674">
        <f>SUMIF(62:62,E8,63:63)-SUMIF(62:62,C8,63:63)+100</f>
        <v>0</v>
      </c>
      <c r="G8" s="1682"/>
      <c r="H8" s="1672">
        <f>SUMIF(62:62,G8,63:63)-SUMIF(62:62,C8,63:63)+100</f>
        <v>0</v>
      </c>
      <c r="I8" s="1682"/>
      <c r="J8" s="1672">
        <f>SUMIF(62:62,I8,63:63)-SUMIF(62:62,C8,63:63)+100</f>
        <v>0</v>
      </c>
      <c r="K8" s="1963"/>
      <c r="L8" s="2991"/>
      <c r="M8" s="2964"/>
      <c r="N8" s="2964"/>
      <c r="O8" s="2964"/>
      <c r="P8" s="3441" t="s">
        <v>2260</v>
      </c>
      <c r="Q8" s="3442"/>
      <c r="R8" s="1677" t="s">
        <v>25</v>
      </c>
      <c r="S8" s="1678">
        <f t="shared" si="0"/>
        <v>0</v>
      </c>
      <c r="T8" s="1677" t="s">
        <v>25</v>
      </c>
      <c r="U8" s="1678">
        <f t="shared" si="1"/>
        <v>0</v>
      </c>
      <c r="V8" s="1677" t="s">
        <v>25</v>
      </c>
      <c r="W8" s="1678">
        <f t="shared" si="2"/>
        <v>0</v>
      </c>
      <c r="X8" s="1679"/>
      <c r="Y8" s="3441" t="s">
        <v>2260</v>
      </c>
      <c r="Z8" s="3442"/>
      <c r="AA8" s="1680" t="e">
        <f t="shared" ref="AA8:AA47" si="3">D8/F8</f>
        <v>#DIV/0!</v>
      </c>
      <c r="AB8" s="1680" t="e">
        <f t="shared" ref="AB8:AB47" si="4">D8/H8</f>
        <v>#DIV/0!</v>
      </c>
      <c r="AC8" s="1680" t="e">
        <f t="shared" ref="AC8:AC47" si="5">D8/J8</f>
        <v>#DIV/0!</v>
      </c>
    </row>
    <row r="9" spans="1:29" s="1681" customFormat="1">
      <c r="A9" s="2062" t="s">
        <v>2261</v>
      </c>
      <c r="B9" s="1683" t="s">
        <v>2262</v>
      </c>
      <c r="C9" s="1684"/>
      <c r="D9" s="1685">
        <v>100</v>
      </c>
      <c r="E9" s="1688"/>
      <c r="F9" s="1685">
        <f>SUMIF(64:64,E9,65:65)-SUMIF(64:64,C9,65:65)+100</f>
        <v>100</v>
      </c>
      <c r="G9" s="1686"/>
      <c r="H9" s="1685">
        <f>SUMIF(64:64,G9,65:65)-SUMIF(64:64,C9,65:65)+100</f>
        <v>100</v>
      </c>
      <c r="I9" s="1686"/>
      <c r="J9" s="1685">
        <f>SUMIF(64:64,I9,65:65)-SUMIF(64:64,C9,65:65)+100</f>
        <v>100</v>
      </c>
      <c r="K9" s="1963"/>
      <c r="L9" s="2991"/>
      <c r="M9" s="2964"/>
      <c r="N9" s="2964"/>
      <c r="O9" s="2964"/>
      <c r="P9" s="3445" t="s">
        <v>2263</v>
      </c>
      <c r="Q9" s="2909" t="str">
        <f t="shared" ref="Q9:Q15" si="6">B9</f>
        <v>用途</v>
      </c>
      <c r="R9" s="1677" t="s">
        <v>25</v>
      </c>
      <c r="S9" s="1678">
        <f t="shared" si="0"/>
        <v>100</v>
      </c>
      <c r="T9" s="1677" t="s">
        <v>25</v>
      </c>
      <c r="U9" s="1678">
        <f t="shared" si="1"/>
        <v>100</v>
      </c>
      <c r="V9" s="1677" t="s">
        <v>25</v>
      </c>
      <c r="W9" s="1678">
        <f t="shared" si="2"/>
        <v>100</v>
      </c>
      <c r="X9" s="1679"/>
      <c r="Y9" s="3338" t="s">
        <v>2264</v>
      </c>
      <c r="Z9" s="1689" t="str">
        <f t="shared" ref="Z9:Z15" si="7">Q9</f>
        <v>用途</v>
      </c>
      <c r="AA9" s="1680">
        <f t="shared" si="3"/>
        <v>1</v>
      </c>
      <c r="AB9" s="1680">
        <f t="shared" si="4"/>
        <v>1</v>
      </c>
      <c r="AC9" s="1680">
        <f t="shared" si="5"/>
        <v>1</v>
      </c>
    </row>
    <row r="10" spans="1:29" s="1697" customFormat="1" ht="27">
      <c r="A10" s="1690"/>
      <c r="B10" s="1691" t="s">
        <v>2265</v>
      </c>
      <c r="C10" s="1692"/>
      <c r="D10" s="1693">
        <v>100</v>
      </c>
      <c r="E10" s="1692"/>
      <c r="F10" s="1693">
        <f>SUMIF(66:66,E10,67:67)-SUMIF(66:66,C10,67:67)+100</f>
        <v>100</v>
      </c>
      <c r="G10" s="1694"/>
      <c r="H10" s="1693">
        <f>SUMIF(66:66,G10,67:67)-SUMIF(66:66,C10,67:67)+100</f>
        <v>100</v>
      </c>
      <c r="I10" s="1692"/>
      <c r="J10" s="1693">
        <f>SUMIF(66:66,I10,67:67)-SUMIF(66:66,C10,67:67)+100</f>
        <v>100</v>
      </c>
      <c r="K10" s="1988"/>
      <c r="L10" s="2993"/>
      <c r="M10" s="2994"/>
      <c r="N10" s="2994"/>
      <c r="O10" s="2994"/>
      <c r="P10" s="3445"/>
      <c r="Q10" s="2909" t="str">
        <f t="shared" si="6"/>
        <v>土地使用年限（年）</v>
      </c>
      <c r="R10" s="1677" t="s">
        <v>25</v>
      </c>
      <c r="S10" s="1678">
        <f t="shared" si="0"/>
        <v>100</v>
      </c>
      <c r="T10" s="1677" t="s">
        <v>25</v>
      </c>
      <c r="U10" s="1678">
        <f t="shared" si="1"/>
        <v>100</v>
      </c>
      <c r="V10" s="1677" t="s">
        <v>25</v>
      </c>
      <c r="W10" s="1678">
        <f t="shared" si="2"/>
        <v>100</v>
      </c>
      <c r="X10" s="1679"/>
      <c r="Y10" s="3338"/>
      <c r="Z10" s="1689" t="str">
        <f t="shared" si="7"/>
        <v>土地使用年限（年）</v>
      </c>
      <c r="AA10" s="1680">
        <f t="shared" si="3"/>
        <v>1</v>
      </c>
      <c r="AB10" s="1680">
        <f t="shared" si="4"/>
        <v>1</v>
      </c>
      <c r="AC10" s="1680">
        <f t="shared" si="5"/>
        <v>1</v>
      </c>
    </row>
    <row r="11" spans="1:29" ht="15">
      <c r="A11" s="1698"/>
      <c r="B11" s="1691" t="s">
        <v>2266</v>
      </c>
      <c r="C11" s="1699"/>
      <c r="D11" s="1693">
        <v>100</v>
      </c>
      <c r="E11" s="1699"/>
      <c r="F11" s="1693" t="e">
        <f>LOOKUP(E11,69:69,70:70)-LOOKUP(C11,69:69,70:70)+100</f>
        <v>#N/A</v>
      </c>
      <c r="G11" s="1700"/>
      <c r="H11" s="1693" t="e">
        <f>LOOKUP(G11,69:69,70:70)-LOOKUP(C11,69:69,70:70)+100</f>
        <v>#N/A</v>
      </c>
      <c r="I11" s="1699"/>
      <c r="J11" s="1693" t="e">
        <f>LOOKUP(I11,69:69,70:70)-LOOKUP(C11,69:69,70:70)+100</f>
        <v>#N/A</v>
      </c>
      <c r="K11" s="1988"/>
      <c r="L11" s="2995"/>
      <c r="M11" s="2992"/>
      <c r="N11" s="2992"/>
      <c r="O11" s="2992"/>
      <c r="P11" s="3445"/>
      <c r="Q11" s="2909" t="str">
        <f t="shared" si="6"/>
        <v>容积率</v>
      </c>
      <c r="R11" s="1677" t="s">
        <v>25</v>
      </c>
      <c r="S11" s="1678" t="e">
        <f t="shared" si="0"/>
        <v>#N/A</v>
      </c>
      <c r="T11" s="1677" t="s">
        <v>25</v>
      </c>
      <c r="U11" s="1678" t="e">
        <f t="shared" si="1"/>
        <v>#N/A</v>
      </c>
      <c r="V11" s="1677" t="s">
        <v>25</v>
      </c>
      <c r="W11" s="1678" t="e">
        <f t="shared" si="2"/>
        <v>#N/A</v>
      </c>
      <c r="X11" s="1679"/>
      <c r="Y11" s="3338"/>
      <c r="Z11" s="1689" t="str">
        <f t="shared" si="7"/>
        <v>容积率</v>
      </c>
      <c r="AA11" s="1680" t="e">
        <f t="shared" si="3"/>
        <v>#N/A</v>
      </c>
      <c r="AB11" s="1680" t="e">
        <f t="shared" si="4"/>
        <v>#N/A</v>
      </c>
      <c r="AC11" s="1680" t="e">
        <f t="shared" si="5"/>
        <v>#N/A</v>
      </c>
    </row>
    <row r="12" spans="1:29" s="1681" customFormat="1" ht="15">
      <c r="A12" s="1701"/>
      <c r="B12" s="1702">
        <v>111</v>
      </c>
      <c r="C12" s="1703"/>
      <c r="D12" s="1704">
        <v>100</v>
      </c>
      <c r="E12" s="1703"/>
      <c r="F12" s="1693">
        <f>SUMIF(71:71,E12,72:72)-SUMIF(71:71,C12,72:72)+100</f>
        <v>100</v>
      </c>
      <c r="G12" s="2486"/>
      <c r="H12" s="1693">
        <f>SUMIF(71:71,G12,72:72)-SUMIF(71:71,C12,72:72)+100</f>
        <v>100</v>
      </c>
      <c r="I12" s="1703"/>
      <c r="J12" s="1693">
        <f>SUMIF(71:71,I12,72:72)-SUMIF(71:71,C12,72:72)+100</f>
        <v>100</v>
      </c>
      <c r="K12" s="1985"/>
      <c r="L12" s="2991"/>
      <c r="M12" s="2964"/>
      <c r="N12" s="2964"/>
      <c r="O12" s="2964"/>
      <c r="P12" s="3445"/>
      <c r="Q12" s="2909">
        <f t="shared" si="6"/>
        <v>111</v>
      </c>
      <c r="R12" s="1677" t="s">
        <v>25</v>
      </c>
      <c r="S12" s="1678">
        <f t="shared" si="0"/>
        <v>100</v>
      </c>
      <c r="T12" s="1677" t="s">
        <v>25</v>
      </c>
      <c r="U12" s="1678">
        <f t="shared" si="1"/>
        <v>100</v>
      </c>
      <c r="V12" s="1677" t="s">
        <v>25</v>
      </c>
      <c r="W12" s="1678">
        <f t="shared" si="2"/>
        <v>100</v>
      </c>
      <c r="X12" s="1679"/>
      <c r="Y12" s="3338"/>
      <c r="Z12" s="1689">
        <f t="shared" si="7"/>
        <v>111</v>
      </c>
      <c r="AA12" s="1680">
        <f>D12/F12</f>
        <v>1</v>
      </c>
      <c r="AB12" s="1680">
        <f>D12/H12</f>
        <v>1</v>
      </c>
      <c r="AC12" s="1680">
        <f>D12/J12</f>
        <v>1</v>
      </c>
    </row>
    <row r="13" spans="1:29" ht="15">
      <c r="A13" s="1698"/>
      <c r="B13" s="1702">
        <v>111</v>
      </c>
      <c r="C13" s="1706"/>
      <c r="D13" s="1707">
        <v>100</v>
      </c>
      <c r="E13" s="1703"/>
      <c r="F13" s="1693">
        <f>SUMIF(73:73,E13,74:74)-SUMIF(73:73,C13,74:74)+100</f>
        <v>100</v>
      </c>
      <c r="G13" s="2486"/>
      <c r="H13" s="1707">
        <f>SUMIF(73:73,G13,74:74)-SUMIF(73:73,C13,74:74)+100</f>
        <v>100</v>
      </c>
      <c r="I13" s="1703"/>
      <c r="J13" s="1707">
        <f>SUMIF(73:73,I13,74:74)-SUMIF(73:73,C13,74:74)+100</f>
        <v>100</v>
      </c>
      <c r="K13" s="1985"/>
      <c r="L13" s="2996"/>
      <c r="M13" s="2992"/>
      <c r="N13" s="2992"/>
      <c r="O13" s="2992"/>
      <c r="P13" s="3445"/>
      <c r="Q13" s="2909">
        <f t="shared" si="6"/>
        <v>111</v>
      </c>
      <c r="R13" s="1677" t="s">
        <v>25</v>
      </c>
      <c r="S13" s="1678">
        <f t="shared" si="0"/>
        <v>100</v>
      </c>
      <c r="T13" s="1677" t="s">
        <v>25</v>
      </c>
      <c r="U13" s="1678">
        <f t="shared" si="1"/>
        <v>100</v>
      </c>
      <c r="V13" s="1677" t="s">
        <v>25</v>
      </c>
      <c r="W13" s="1678">
        <f t="shared" si="2"/>
        <v>100</v>
      </c>
      <c r="X13" s="1679"/>
      <c r="Y13" s="3338"/>
      <c r="Z13" s="1689">
        <f t="shared" si="7"/>
        <v>111</v>
      </c>
      <c r="AA13" s="1680">
        <f t="shared" si="3"/>
        <v>1</v>
      </c>
      <c r="AB13" s="1680">
        <f t="shared" si="4"/>
        <v>1</v>
      </c>
      <c r="AC13" s="1680">
        <f t="shared" si="5"/>
        <v>1</v>
      </c>
    </row>
    <row r="14" spans="1:29" ht="15.75" thickBot="1">
      <c r="A14" s="1708"/>
      <c r="B14" s="1709">
        <v>111</v>
      </c>
      <c r="C14" s="1710"/>
      <c r="D14" s="1711">
        <v>100</v>
      </c>
      <c r="E14" s="2487"/>
      <c r="F14" s="1711">
        <f>SUMIF(75:75,E14,76:76)-SUMIF(75:75,C14,76:76)+100</f>
        <v>100</v>
      </c>
      <c r="G14" s="2486"/>
      <c r="H14" s="1711">
        <f>SUMIF(75:75,G14,76:76)-SUMIF(75:75,C14,76:76)+100</f>
        <v>100</v>
      </c>
      <c r="I14" s="1703"/>
      <c r="J14" s="1711">
        <f>SUMIF(75:75,I14,76:76)-SUMIF(75:75,C14,76:76)+100</f>
        <v>100</v>
      </c>
      <c r="K14" s="1985"/>
      <c r="L14" s="2996"/>
      <c r="M14" s="2992"/>
      <c r="N14" s="2992"/>
      <c r="O14" s="2992"/>
      <c r="P14" s="3445"/>
      <c r="Q14" s="2909">
        <f t="shared" si="6"/>
        <v>111</v>
      </c>
      <c r="R14" s="1677" t="s">
        <v>25</v>
      </c>
      <c r="S14" s="1678">
        <f t="shared" si="0"/>
        <v>100</v>
      </c>
      <c r="T14" s="1677" t="s">
        <v>25</v>
      </c>
      <c r="U14" s="1678">
        <f t="shared" si="1"/>
        <v>100</v>
      </c>
      <c r="V14" s="1677" t="s">
        <v>25</v>
      </c>
      <c r="W14" s="1678">
        <f t="shared" si="2"/>
        <v>100</v>
      </c>
      <c r="X14" s="1679"/>
      <c r="Y14" s="3338"/>
      <c r="Z14" s="1689">
        <f t="shared" si="7"/>
        <v>111</v>
      </c>
      <c r="AA14" s="1680">
        <f t="shared" si="3"/>
        <v>1</v>
      </c>
      <c r="AB14" s="1680">
        <f t="shared" si="4"/>
        <v>1</v>
      </c>
      <c r="AC14" s="1680">
        <f t="shared" si="5"/>
        <v>1</v>
      </c>
    </row>
    <row r="15" spans="1:29" ht="71.25">
      <c r="A15" s="1713" t="s">
        <v>2267</v>
      </c>
      <c r="B15" s="2488" t="s">
        <v>2382</v>
      </c>
      <c r="C15" s="1969" t="str">
        <f>估价对象房地状况!C5</f>
        <v>估价对象位于XX商圈，周边办公楼项目较多，入驻率高，办公集聚程度较好</v>
      </c>
      <c r="D15" s="1716">
        <v>100</v>
      </c>
      <c r="E15" s="1719"/>
      <c r="F15" s="1716">
        <f>SUMIF(77:77,E16,78:78)-SUMIF(77:77,C16,78:78)+100</f>
        <v>100</v>
      </c>
      <c r="G15" s="1717"/>
      <c r="H15" s="1716">
        <f>SUMIF(77:77,G16,78:78)-SUMIF(77:77,C16,78:78)+100</f>
        <v>100</v>
      </c>
      <c r="I15" s="1717"/>
      <c r="J15" s="1716">
        <f>SUMIF(77:77,I16,78:78)-SUMIF(77:77,C16,78:78)+100</f>
        <v>100</v>
      </c>
      <c r="K15" s="2468"/>
      <c r="L15" s="2996"/>
      <c r="M15" s="2992"/>
      <c r="N15" s="2992"/>
      <c r="O15" s="2992"/>
      <c r="P15" s="3434" t="s">
        <v>2268</v>
      </c>
      <c r="Q15" s="2910" t="str">
        <f t="shared" si="6"/>
        <v>办公集聚程度</v>
      </c>
      <c r="R15" s="1721" t="s">
        <v>25</v>
      </c>
      <c r="S15" s="1722">
        <f t="shared" si="0"/>
        <v>100</v>
      </c>
      <c r="T15" s="1721" t="s">
        <v>25</v>
      </c>
      <c r="U15" s="1722">
        <f t="shared" si="1"/>
        <v>100</v>
      </c>
      <c r="V15" s="1721" t="s">
        <v>25</v>
      </c>
      <c r="W15" s="1722">
        <f t="shared" si="2"/>
        <v>100</v>
      </c>
      <c r="X15" s="2070"/>
      <c r="Y15" s="3434" t="s">
        <v>2268</v>
      </c>
      <c r="Z15" s="2074" t="str">
        <f t="shared" si="7"/>
        <v>办公集聚程度</v>
      </c>
      <c r="AA15" s="2065">
        <f t="shared" si="3"/>
        <v>1</v>
      </c>
      <c r="AB15" s="2065">
        <f t="shared" si="4"/>
        <v>1</v>
      </c>
      <c r="AC15" s="2065">
        <f t="shared" si="5"/>
        <v>1</v>
      </c>
    </row>
    <row r="16" spans="1:29" ht="15">
      <c r="A16" s="1698"/>
      <c r="B16" s="2489"/>
      <c r="C16" s="1971"/>
      <c r="D16" s="1727"/>
      <c r="E16" s="1726"/>
      <c r="F16" s="1727"/>
      <c r="G16" s="1971"/>
      <c r="H16" s="1731"/>
      <c r="I16" s="1726"/>
      <c r="J16" s="1727"/>
      <c r="K16" s="2469"/>
      <c r="L16" s="2996"/>
      <c r="M16" s="2992"/>
      <c r="N16" s="2992"/>
      <c r="O16" s="2992"/>
      <c r="P16" s="3435"/>
      <c r="Q16" s="2910"/>
      <c r="R16" s="1721"/>
      <c r="S16" s="1722"/>
      <c r="T16" s="1721"/>
      <c r="U16" s="1722"/>
      <c r="V16" s="1721"/>
      <c r="W16" s="1722"/>
      <c r="X16" s="2070"/>
      <c r="Y16" s="3435"/>
      <c r="Z16" s="2074"/>
      <c r="AA16" s="2065">
        <v>1</v>
      </c>
      <c r="AB16" s="2065">
        <v>1</v>
      </c>
      <c r="AC16" s="2065">
        <v>1</v>
      </c>
    </row>
    <row r="17" spans="1:29" ht="85.5">
      <c r="A17" s="1698"/>
      <c r="B17" s="2490" t="s">
        <v>1706</v>
      </c>
      <c r="C17" s="1976" t="str">
        <f>估价对象房地状况!C6</f>
        <v>估价对象周边道路状况、公共交通通达情况、停车便捷程度，综合评价交通便捷度较好</v>
      </c>
      <c r="D17" s="1731">
        <v>100</v>
      </c>
      <c r="E17" s="1737"/>
      <c r="F17" s="1731">
        <f>SUMIF(79:79,E18,80:80)-SUMIF(79:79,C18,80:80)+100</f>
        <v>100</v>
      </c>
      <c r="G17" s="1735"/>
      <c r="H17" s="1738">
        <f>SUMIF(79:79,G18,80:80)-SUMIF(79:79,C18,80:80)+100</f>
        <v>100</v>
      </c>
      <c r="I17" s="1735"/>
      <c r="J17" s="1738">
        <f>SUMIF(79:79,I18,80:80)-SUMIF(79:79,C18,80:80)+100</f>
        <v>100</v>
      </c>
      <c r="K17" s="2468"/>
      <c r="L17" s="2996"/>
      <c r="M17" s="2992"/>
      <c r="N17" s="2992"/>
      <c r="O17" s="2992"/>
      <c r="P17" s="3435"/>
      <c r="Q17" s="2910" t="str">
        <f>B17</f>
        <v>交通便捷度</v>
      </c>
      <c r="R17" s="1721" t="s">
        <v>25</v>
      </c>
      <c r="S17" s="1722">
        <f>F17</f>
        <v>100</v>
      </c>
      <c r="T17" s="1721" t="s">
        <v>25</v>
      </c>
      <c r="U17" s="1722">
        <f>H17</f>
        <v>100</v>
      </c>
      <c r="V17" s="1721" t="s">
        <v>25</v>
      </c>
      <c r="W17" s="1722">
        <f>J17</f>
        <v>100</v>
      </c>
      <c r="X17" s="2070"/>
      <c r="Y17" s="3435"/>
      <c r="Z17" s="2074" t="str">
        <f>Q17</f>
        <v>交通便捷度</v>
      </c>
      <c r="AA17" s="2065">
        <f t="shared" si="3"/>
        <v>1</v>
      </c>
      <c r="AB17" s="2065">
        <f t="shared" si="4"/>
        <v>1</v>
      </c>
      <c r="AC17" s="2065">
        <f t="shared" si="5"/>
        <v>1</v>
      </c>
    </row>
    <row r="18" spans="1:29" ht="15">
      <c r="A18" s="1698"/>
      <c r="B18" s="2491"/>
      <c r="C18" s="1975"/>
      <c r="D18" s="1731"/>
      <c r="E18" s="1742"/>
      <c r="F18" s="1731"/>
      <c r="G18" s="1741"/>
      <c r="H18" s="1727"/>
      <c r="I18" s="1741"/>
      <c r="J18" s="1727"/>
      <c r="K18" s="2469"/>
      <c r="L18" s="2996"/>
      <c r="M18" s="2992"/>
      <c r="N18" s="2992"/>
      <c r="O18" s="2992"/>
      <c r="P18" s="3435"/>
      <c r="Q18" s="2910"/>
      <c r="R18" s="1721"/>
      <c r="S18" s="1722"/>
      <c r="T18" s="1721"/>
      <c r="U18" s="1722"/>
      <c r="V18" s="1721"/>
      <c r="W18" s="1722"/>
      <c r="X18" s="2070"/>
      <c r="Y18" s="3435"/>
      <c r="Z18" s="2074"/>
      <c r="AA18" s="2065">
        <v>1</v>
      </c>
      <c r="AB18" s="2065">
        <v>1</v>
      </c>
      <c r="AC18" s="2065">
        <v>1</v>
      </c>
    </row>
    <row r="19" spans="1:29" ht="42.75">
      <c r="A19" s="1698"/>
      <c r="B19" s="2490" t="s">
        <v>2383</v>
      </c>
      <c r="C19" s="1976" t="str">
        <f>估价对象房地状况!C7</f>
        <v>估价对象所在区域公共配套设施齐备情况</v>
      </c>
      <c r="D19" s="1738">
        <v>100</v>
      </c>
      <c r="E19" s="1745"/>
      <c r="F19" s="1738">
        <f>SUMIF(81:81,E20,82:82)-SUMIF(81:81,C20,82:82)+100</f>
        <v>100</v>
      </c>
      <c r="G19" s="1743"/>
      <c r="H19" s="1731">
        <f>SUMIF(81:81,G20,82:82)-SUMIF(81:81,C20,82:82)+100</f>
        <v>100</v>
      </c>
      <c r="I19" s="1743"/>
      <c r="J19" s="1731">
        <f>SUMIF(81:81,I20,82:82)-SUMIF(81:81,C20,82:82)+100</f>
        <v>100</v>
      </c>
      <c r="K19" s="2468"/>
      <c r="L19" s="2996"/>
      <c r="M19" s="2992"/>
      <c r="N19" s="2992"/>
      <c r="O19" s="2992"/>
      <c r="P19" s="3435"/>
      <c r="Q19" s="2910" t="str">
        <f>B19</f>
        <v>公共配套设施</v>
      </c>
      <c r="R19" s="1721" t="s">
        <v>25</v>
      </c>
      <c r="S19" s="1722">
        <f>F19</f>
        <v>100</v>
      </c>
      <c r="T19" s="1721" t="s">
        <v>25</v>
      </c>
      <c r="U19" s="1722">
        <f>H19</f>
        <v>100</v>
      </c>
      <c r="V19" s="1721" t="s">
        <v>25</v>
      </c>
      <c r="W19" s="1722">
        <f>J19</f>
        <v>100</v>
      </c>
      <c r="X19" s="2070"/>
      <c r="Y19" s="3435"/>
      <c r="Z19" s="2074" t="str">
        <f>Q19</f>
        <v>公共配套设施</v>
      </c>
      <c r="AA19" s="2065">
        <f t="shared" si="3"/>
        <v>1</v>
      </c>
      <c r="AB19" s="2065">
        <f t="shared" si="4"/>
        <v>1</v>
      </c>
      <c r="AC19" s="2065">
        <f t="shared" si="5"/>
        <v>1</v>
      </c>
    </row>
    <row r="20" spans="1:29" ht="15">
      <c r="A20" s="1698"/>
      <c r="B20" s="2491"/>
      <c r="C20" s="1971"/>
      <c r="D20" s="1727"/>
      <c r="E20" s="1730"/>
      <c r="F20" s="1727"/>
      <c r="G20" s="1728"/>
      <c r="H20" s="1727"/>
      <c r="I20" s="1728"/>
      <c r="J20" s="1727"/>
      <c r="K20" s="2469"/>
      <c r="L20" s="2996"/>
      <c r="M20" s="2992"/>
      <c r="N20" s="2992"/>
      <c r="O20" s="2992"/>
      <c r="P20" s="3435"/>
      <c r="Q20" s="2910"/>
      <c r="R20" s="1721"/>
      <c r="S20" s="1722"/>
      <c r="T20" s="1721"/>
      <c r="U20" s="1722"/>
      <c r="V20" s="1721"/>
      <c r="W20" s="1722"/>
      <c r="X20" s="2070"/>
      <c r="Y20" s="3435"/>
      <c r="Z20" s="2074"/>
      <c r="AA20" s="2065">
        <v>1</v>
      </c>
      <c r="AB20" s="2065">
        <v>1</v>
      </c>
      <c r="AC20" s="2065">
        <v>1</v>
      </c>
    </row>
    <row r="21" spans="1:29" ht="28.5">
      <c r="A21" s="1698"/>
      <c r="B21" s="2492" t="s">
        <v>2384</v>
      </c>
      <c r="C21" s="1976" t="str">
        <f>估价对象房地状况!C8</f>
        <v>估价对象所在区域基础设施水平</v>
      </c>
      <c r="D21" s="1738">
        <v>100</v>
      </c>
      <c r="E21" s="1745"/>
      <c r="F21" s="1738">
        <f>SUMIF(83:83,E22,84:84)-SUMIF(83:83,C22,84:84)+100</f>
        <v>100</v>
      </c>
      <c r="G21" s="1743"/>
      <c r="H21" s="1731">
        <f>SUMIF(83:83,G22,84:84)-SUMIF(83:83,C22,84:84)+100</f>
        <v>100</v>
      </c>
      <c r="I21" s="1743"/>
      <c r="J21" s="1731">
        <f>SUMIF(83:83,I22,84:84)-SUMIF(83:83,C22,84:84)+100</f>
        <v>100</v>
      </c>
      <c r="K21" s="2468"/>
      <c r="L21" s="2996"/>
      <c r="M21" s="2992"/>
      <c r="N21" s="2992"/>
      <c r="O21" s="2992"/>
      <c r="P21" s="3435"/>
      <c r="Q21" s="2910" t="str">
        <f>B21</f>
        <v>基础设施水平</v>
      </c>
      <c r="R21" s="1721" t="s">
        <v>25</v>
      </c>
      <c r="S21" s="1722">
        <f>F21</f>
        <v>100</v>
      </c>
      <c r="T21" s="1721" t="s">
        <v>25</v>
      </c>
      <c r="U21" s="1722">
        <f>H21</f>
        <v>100</v>
      </c>
      <c r="V21" s="1721" t="s">
        <v>25</v>
      </c>
      <c r="W21" s="1722">
        <f>J21</f>
        <v>100</v>
      </c>
      <c r="X21" s="2070"/>
      <c r="Y21" s="3435"/>
      <c r="Z21" s="2074" t="str">
        <f>Q21</f>
        <v>基础设施水平</v>
      </c>
      <c r="AA21" s="2065">
        <f t="shared" ref="AA21" si="8">D21/F21</f>
        <v>1</v>
      </c>
      <c r="AB21" s="2065">
        <f t="shared" ref="AB21" si="9">D21/H21</f>
        <v>1</v>
      </c>
      <c r="AC21" s="2065">
        <f t="shared" ref="AC21" si="10">D21/J21</f>
        <v>1</v>
      </c>
    </row>
    <row r="22" spans="1:29" ht="15">
      <c r="A22" s="1698"/>
      <c r="B22" s="2492"/>
      <c r="C22" s="1975"/>
      <c r="D22" s="1727"/>
      <c r="E22" s="1726"/>
      <c r="F22" s="1727"/>
      <c r="G22" s="1971"/>
      <c r="H22" s="1727"/>
      <c r="I22" s="1971"/>
      <c r="J22" s="1727"/>
      <c r="K22" s="2470"/>
      <c r="L22" s="2996"/>
      <c r="M22" s="2992"/>
      <c r="N22" s="2992"/>
      <c r="O22" s="2992"/>
      <c r="P22" s="3435"/>
      <c r="Q22" s="2910"/>
      <c r="R22" s="1721"/>
      <c r="S22" s="1722"/>
      <c r="T22" s="1721"/>
      <c r="U22" s="1722"/>
      <c r="V22" s="1721"/>
      <c r="W22" s="1722"/>
      <c r="X22" s="2070"/>
      <c r="Y22" s="3435"/>
      <c r="Z22" s="2074"/>
      <c r="AA22" s="2065">
        <v>1</v>
      </c>
      <c r="AB22" s="2065">
        <v>1</v>
      </c>
      <c r="AC22" s="2065">
        <v>1</v>
      </c>
    </row>
    <row r="23" spans="1:29" ht="57">
      <c r="A23" s="1698"/>
      <c r="B23" s="2490" t="s">
        <v>2385</v>
      </c>
      <c r="C23" s="1976" t="str">
        <f>估价对象房地状况!C9</f>
        <v>区域自然环境：；人文环境；综合评价环境状况一般</v>
      </c>
      <c r="D23" s="1731">
        <v>100</v>
      </c>
      <c r="E23" s="1737"/>
      <c r="F23" s="1731">
        <f>SUMIF(85:85,E24,86:86)-SUMIF(85:85,C24,86:86)+100</f>
        <v>100</v>
      </c>
      <c r="G23" s="1735"/>
      <c r="H23" s="1731">
        <f>SUMIF(85:85,G24,86:86)-SUMIF(85:85,C24,86:86)+100</f>
        <v>100</v>
      </c>
      <c r="I23" s="1735"/>
      <c r="J23" s="1731">
        <f>SUMIF(85:85,I24,86:86)-SUMIF(85:85,C24,86:86)+100</f>
        <v>100</v>
      </c>
      <c r="K23" s="2468"/>
      <c r="L23" s="2996"/>
      <c r="M23" s="2992"/>
      <c r="N23" s="2992"/>
      <c r="O23" s="2992"/>
      <c r="P23" s="3435"/>
      <c r="Q23" s="2910" t="str">
        <f>B23</f>
        <v>环境质量</v>
      </c>
      <c r="R23" s="1721" t="s">
        <v>25</v>
      </c>
      <c r="S23" s="1722">
        <f>F23</f>
        <v>100</v>
      </c>
      <c r="T23" s="1721" t="s">
        <v>25</v>
      </c>
      <c r="U23" s="1722">
        <f>H23</f>
        <v>100</v>
      </c>
      <c r="V23" s="1721" t="s">
        <v>25</v>
      </c>
      <c r="W23" s="1722">
        <f>J23</f>
        <v>100</v>
      </c>
      <c r="X23" s="2070"/>
      <c r="Y23" s="3435"/>
      <c r="Z23" s="2074" t="str">
        <f>Q23</f>
        <v>环境质量</v>
      </c>
      <c r="AA23" s="2065">
        <f t="shared" si="3"/>
        <v>1</v>
      </c>
      <c r="AB23" s="2065">
        <f t="shared" si="4"/>
        <v>1</v>
      </c>
      <c r="AC23" s="2065">
        <f t="shared" si="5"/>
        <v>1</v>
      </c>
    </row>
    <row r="24" spans="1:29" ht="15">
      <c r="A24" s="1698"/>
      <c r="B24" s="2492"/>
      <c r="C24" s="1971"/>
      <c r="D24" s="1727"/>
      <c r="E24" s="1730"/>
      <c r="F24" s="1727"/>
      <c r="G24" s="1728"/>
      <c r="H24" s="1727"/>
      <c r="I24" s="1728"/>
      <c r="J24" s="1727"/>
      <c r="K24" s="2469"/>
      <c r="L24" s="2996"/>
      <c r="M24" s="2992"/>
      <c r="N24" s="2992"/>
      <c r="O24" s="2992"/>
      <c r="P24" s="3435"/>
      <c r="Q24" s="2910"/>
      <c r="R24" s="1721"/>
      <c r="S24" s="1722"/>
      <c r="T24" s="1721"/>
      <c r="U24" s="1722"/>
      <c r="V24" s="1721"/>
      <c r="W24" s="1722"/>
      <c r="X24" s="2070"/>
      <c r="Y24" s="3435"/>
      <c r="Z24" s="2074"/>
      <c r="AA24" s="2065">
        <v>1</v>
      </c>
      <c r="AB24" s="2065">
        <v>1</v>
      </c>
      <c r="AC24" s="2065">
        <v>1</v>
      </c>
    </row>
    <row r="25" spans="1:29" ht="27">
      <c r="A25" s="1664"/>
      <c r="B25" s="2490" t="s">
        <v>2386</v>
      </c>
      <c r="C25" s="2493"/>
      <c r="D25" s="1707">
        <v>100</v>
      </c>
      <c r="E25" s="1706"/>
      <c r="F25" s="1707">
        <f>SUMIF(87:87,E26,88:88)-SUMIF(87:87,C26,88:88)+100</f>
        <v>100</v>
      </c>
      <c r="G25" s="2493"/>
      <c r="H25" s="1707">
        <f>SUMIF(87:87,G26,88:88)-SUMIF(87:87,C26,88:88)+100</f>
        <v>100</v>
      </c>
      <c r="I25" s="1706"/>
      <c r="J25" s="1707">
        <f>SUMIF(87:87,I26,88:88)-SUMIF(87:87,C26,88:88)+100</f>
        <v>100</v>
      </c>
      <c r="K25" s="2468"/>
      <c r="L25" s="2996"/>
      <c r="M25" s="2992"/>
      <c r="N25" s="2992"/>
      <c r="O25" s="2992"/>
      <c r="P25" s="3435"/>
      <c r="Q25" s="2910" t="str">
        <f>B25</f>
        <v>毗邻道路的类型与等级</v>
      </c>
      <c r="R25" s="1721" t="s">
        <v>25</v>
      </c>
      <c r="S25" s="1722">
        <f>F25</f>
        <v>100</v>
      </c>
      <c r="T25" s="1721" t="s">
        <v>25</v>
      </c>
      <c r="U25" s="1722">
        <f>H25</f>
        <v>100</v>
      </c>
      <c r="V25" s="1721" t="s">
        <v>25</v>
      </c>
      <c r="W25" s="1722">
        <f>J25</f>
        <v>100</v>
      </c>
      <c r="X25" s="2070"/>
      <c r="Y25" s="3435"/>
      <c r="Z25" s="2074" t="str">
        <f>Q25</f>
        <v>毗邻道路的类型与等级</v>
      </c>
      <c r="AA25" s="2065">
        <f t="shared" si="3"/>
        <v>1</v>
      </c>
      <c r="AB25" s="2065">
        <f t="shared" si="4"/>
        <v>1</v>
      </c>
      <c r="AC25" s="2065">
        <f t="shared" si="5"/>
        <v>1</v>
      </c>
    </row>
    <row r="26" spans="1:29" ht="15">
      <c r="A26" s="1664"/>
      <c r="B26" s="2491"/>
      <c r="C26" s="1979"/>
      <c r="D26" s="1707"/>
      <c r="E26" s="1987"/>
      <c r="F26" s="1707"/>
      <c r="G26" s="1979"/>
      <c r="H26" s="1707"/>
      <c r="I26" s="1987"/>
      <c r="J26" s="1707"/>
      <c r="K26" s="2469"/>
      <c r="L26" s="2996"/>
      <c r="M26" s="2992"/>
      <c r="N26" s="2992"/>
      <c r="O26" s="2992"/>
      <c r="P26" s="3435"/>
      <c r="Q26" s="2910"/>
      <c r="R26" s="1721"/>
      <c r="S26" s="1722"/>
      <c r="T26" s="1721"/>
      <c r="U26" s="1722"/>
      <c r="V26" s="1721"/>
      <c r="W26" s="1722"/>
      <c r="X26" s="2070"/>
      <c r="Y26" s="3435"/>
      <c r="Z26" s="2074"/>
      <c r="AA26" s="2065">
        <v>1</v>
      </c>
      <c r="AB26" s="2065">
        <v>1</v>
      </c>
      <c r="AC26" s="2065">
        <v>1</v>
      </c>
    </row>
    <row r="27" spans="1:29" ht="15">
      <c r="A27" s="1698"/>
      <c r="B27" s="2491" t="s">
        <v>2359</v>
      </c>
      <c r="C27" s="1979"/>
      <c r="D27" s="1707">
        <v>100</v>
      </c>
      <c r="E27" s="1987"/>
      <c r="F27" s="1707">
        <f>SUMIF(89:89,E27,90:90)-SUMIF(89:89,C27,90:90)+100</f>
        <v>100</v>
      </c>
      <c r="G27" s="1979"/>
      <c r="H27" s="1707">
        <f>SUMIF(89:89,G27,90:90)-SUMIF(89:89,C27,90:90)+100</f>
        <v>100</v>
      </c>
      <c r="I27" s="1987"/>
      <c r="J27" s="1707">
        <f>SUMIF(89:89,I27,90:90)-SUMIF(89:89,C27,90:90)+100</f>
        <v>100</v>
      </c>
      <c r="K27" s="1988"/>
      <c r="L27" s="2996"/>
      <c r="M27" s="2992"/>
      <c r="N27" s="2992"/>
      <c r="O27" s="2992"/>
      <c r="P27" s="3435"/>
      <c r="Q27" s="2910" t="str">
        <f t="shared" ref="Q27:Q47" si="11">B27</f>
        <v>楼层</v>
      </c>
      <c r="R27" s="1721" t="s">
        <v>25</v>
      </c>
      <c r="S27" s="1722">
        <f>F27</f>
        <v>100</v>
      </c>
      <c r="T27" s="1721" t="s">
        <v>25</v>
      </c>
      <c r="U27" s="1722">
        <f>H27</f>
        <v>100</v>
      </c>
      <c r="V27" s="1721" t="s">
        <v>25</v>
      </c>
      <c r="W27" s="1722">
        <f>J27</f>
        <v>100</v>
      </c>
      <c r="X27" s="2070"/>
      <c r="Y27" s="3435"/>
      <c r="Z27" s="2074" t="str">
        <f>Q27</f>
        <v>楼层</v>
      </c>
      <c r="AA27" s="2065">
        <f t="shared" si="3"/>
        <v>1</v>
      </c>
      <c r="AB27" s="2065">
        <f t="shared" si="4"/>
        <v>1</v>
      </c>
      <c r="AC27" s="2065">
        <f t="shared" si="5"/>
        <v>1</v>
      </c>
    </row>
    <row r="28" spans="1:29" s="1681" customFormat="1" ht="15">
      <c r="A28" s="1701"/>
      <c r="B28" s="2490" t="s">
        <v>2387</v>
      </c>
      <c r="C28" s="2494"/>
      <c r="D28" s="1752">
        <v>100</v>
      </c>
      <c r="E28" s="2472"/>
      <c r="F28" s="1752">
        <f>SUMIF(91:91,E28,92:92)-SUMIF(91:91,C28,92:92)+100</f>
        <v>100</v>
      </c>
      <c r="G28" s="2494"/>
      <c r="H28" s="1752">
        <f>SUMIF(91:91,G28,92:92)-SUMIF(91:91,C28,92:92)+100</f>
        <v>100</v>
      </c>
      <c r="I28" s="2472"/>
      <c r="J28" s="1752">
        <f>SUMIF(91:91,I28,92:92)-SUMIF(91:91,C28,92:92)+100</f>
        <v>100</v>
      </c>
      <c r="K28" s="1988"/>
      <c r="L28" s="2991"/>
      <c r="M28" s="2964"/>
      <c r="N28" s="2964"/>
      <c r="O28" s="2964"/>
      <c r="P28" s="3435"/>
      <c r="Q28" s="2909" t="str">
        <f t="shared" si="11"/>
        <v>朝向</v>
      </c>
      <c r="R28" s="1677" t="s">
        <v>25</v>
      </c>
      <c r="S28" s="1678">
        <f>F28</f>
        <v>100</v>
      </c>
      <c r="T28" s="1677" t="s">
        <v>25</v>
      </c>
      <c r="U28" s="1678">
        <f>H28</f>
        <v>100</v>
      </c>
      <c r="V28" s="1677" t="s">
        <v>25</v>
      </c>
      <c r="W28" s="1678">
        <f>J28</f>
        <v>100</v>
      </c>
      <c r="X28" s="1679"/>
      <c r="Y28" s="3435"/>
      <c r="Z28" s="1689" t="str">
        <f>Q28</f>
        <v>朝向</v>
      </c>
      <c r="AA28" s="2065">
        <f>D28/F28</f>
        <v>1</v>
      </c>
      <c r="AB28" s="2065">
        <f>D28/H28</f>
        <v>1</v>
      </c>
      <c r="AC28" s="2065">
        <f>D28/J28</f>
        <v>1</v>
      </c>
    </row>
    <row r="29" spans="1:29" ht="15">
      <c r="A29" s="1698"/>
      <c r="B29" s="2495">
        <v>111</v>
      </c>
      <c r="C29" s="2493"/>
      <c r="D29" s="1707">
        <v>100</v>
      </c>
      <c r="E29" s="1703"/>
      <c r="F29" s="1707">
        <f>SUMIF(93:93,E29,94:94)-SUMIF(93:93,C29,94:94)+100</f>
        <v>100</v>
      </c>
      <c r="G29" s="2486"/>
      <c r="H29" s="1707">
        <f>SUMIF(93:93,G29,94:94)-SUMIF(93:93,C29,94:94)+100</f>
        <v>100</v>
      </c>
      <c r="I29" s="1703"/>
      <c r="J29" s="1707">
        <f>SUMIF(93:93,I29,94:94)-SUMIF(93:93,C29,94:94)+100</f>
        <v>100</v>
      </c>
      <c r="K29" s="1985"/>
      <c r="L29" s="2996"/>
      <c r="M29" s="2992"/>
      <c r="N29" s="2992"/>
      <c r="O29" s="2992"/>
      <c r="P29" s="3435"/>
      <c r="Q29" s="2910">
        <f t="shared" si="11"/>
        <v>111</v>
      </c>
      <c r="R29" s="1721" t="s">
        <v>25</v>
      </c>
      <c r="S29" s="1722">
        <f t="shared" ref="S29:S47" si="12">F29</f>
        <v>100</v>
      </c>
      <c r="T29" s="1721" t="s">
        <v>25</v>
      </c>
      <c r="U29" s="1722">
        <f t="shared" ref="U29:U47" si="13">H29</f>
        <v>100</v>
      </c>
      <c r="V29" s="1721" t="s">
        <v>25</v>
      </c>
      <c r="W29" s="1722">
        <f t="shared" ref="W29:W47" si="14">J29</f>
        <v>100</v>
      </c>
      <c r="X29" s="2070"/>
      <c r="Y29" s="3435"/>
      <c r="Z29" s="2074">
        <f t="shared" ref="Z29:Z47" si="15">Q29</f>
        <v>111</v>
      </c>
      <c r="AA29" s="2065">
        <f t="shared" si="3"/>
        <v>1</v>
      </c>
      <c r="AB29" s="2065">
        <f t="shared" si="4"/>
        <v>1</v>
      </c>
      <c r="AC29" s="2065">
        <f t="shared" si="5"/>
        <v>1</v>
      </c>
    </row>
    <row r="30" spans="1:29" ht="15">
      <c r="A30" s="1698"/>
      <c r="B30" s="2495">
        <v>111</v>
      </c>
      <c r="C30" s="2493"/>
      <c r="D30" s="1707">
        <v>100</v>
      </c>
      <c r="E30" s="1703"/>
      <c r="F30" s="1707">
        <f>SUMIF(95:95,E30,96:96)-SUMIF(95:95,C30,96:96)+100</f>
        <v>100</v>
      </c>
      <c r="G30" s="2486"/>
      <c r="H30" s="1707">
        <f>SUMIF(95:95,G30,96:96)-SUMIF(95:95,C30,96:96)+100</f>
        <v>100</v>
      </c>
      <c r="I30" s="1703"/>
      <c r="J30" s="1707">
        <f>SUMIF(95:95,I30,96:96)-SUMIF(95:95,C30,96:96)+100</f>
        <v>100</v>
      </c>
      <c r="K30" s="1985"/>
      <c r="L30" s="2996"/>
      <c r="M30" s="2992"/>
      <c r="N30" s="2992"/>
      <c r="O30" s="2992"/>
      <c r="P30" s="3435"/>
      <c r="Q30" s="2910">
        <f t="shared" si="11"/>
        <v>111</v>
      </c>
      <c r="R30" s="1721" t="s">
        <v>25</v>
      </c>
      <c r="S30" s="1722">
        <f t="shared" si="12"/>
        <v>100</v>
      </c>
      <c r="T30" s="1721" t="s">
        <v>25</v>
      </c>
      <c r="U30" s="1722">
        <f t="shared" si="13"/>
        <v>100</v>
      </c>
      <c r="V30" s="1721" t="s">
        <v>25</v>
      </c>
      <c r="W30" s="1722">
        <f t="shared" si="14"/>
        <v>100</v>
      </c>
      <c r="X30" s="2070"/>
      <c r="Y30" s="3435"/>
      <c r="Z30" s="2074">
        <f t="shared" si="15"/>
        <v>111</v>
      </c>
      <c r="AA30" s="2065">
        <f t="shared" si="3"/>
        <v>1</v>
      </c>
      <c r="AB30" s="2065">
        <f t="shared" si="4"/>
        <v>1</v>
      </c>
      <c r="AC30" s="2065">
        <f t="shared" si="5"/>
        <v>1</v>
      </c>
    </row>
    <row r="31" spans="1:29" ht="15">
      <c r="A31" s="1698"/>
      <c r="B31" s="2495">
        <v>111</v>
      </c>
      <c r="C31" s="2493"/>
      <c r="D31" s="1707">
        <v>100</v>
      </c>
      <c r="E31" s="1703"/>
      <c r="F31" s="1707">
        <f>SUMIF(97:97,E31,98:98)-SUMIF(97:97,C31,98:98)+100</f>
        <v>100</v>
      </c>
      <c r="G31" s="2486"/>
      <c r="H31" s="1707">
        <f>SUMIF(97:97,G31,98:98)-SUMIF(97:97,C31,98:98)+100</f>
        <v>100</v>
      </c>
      <c r="I31" s="1703"/>
      <c r="J31" s="1707">
        <f>SUMIF(97:97,I31,98:98)-SUMIF(97:97,C31,98:98)+100</f>
        <v>100</v>
      </c>
      <c r="K31" s="1985"/>
      <c r="L31" s="2996"/>
      <c r="M31" s="2992"/>
      <c r="N31" s="2992"/>
      <c r="O31" s="2992"/>
      <c r="P31" s="3435"/>
      <c r="Q31" s="2910">
        <f t="shared" si="11"/>
        <v>111</v>
      </c>
      <c r="R31" s="1721" t="s">
        <v>25</v>
      </c>
      <c r="S31" s="1722">
        <f t="shared" si="12"/>
        <v>100</v>
      </c>
      <c r="T31" s="1721" t="s">
        <v>25</v>
      </c>
      <c r="U31" s="1722">
        <f t="shared" si="13"/>
        <v>100</v>
      </c>
      <c r="V31" s="1721" t="s">
        <v>25</v>
      </c>
      <c r="W31" s="1722">
        <f t="shared" si="14"/>
        <v>100</v>
      </c>
      <c r="X31" s="2070"/>
      <c r="Y31" s="3435"/>
      <c r="Z31" s="2074">
        <f t="shared" si="15"/>
        <v>111</v>
      </c>
      <c r="AA31" s="2065">
        <f t="shared" si="3"/>
        <v>1</v>
      </c>
      <c r="AB31" s="2065">
        <f t="shared" si="4"/>
        <v>1</v>
      </c>
      <c r="AC31" s="2065">
        <f t="shared" si="5"/>
        <v>1</v>
      </c>
    </row>
    <row r="32" spans="1:29" ht="15.75" thickBot="1">
      <c r="A32" s="1708"/>
      <c r="B32" s="2496">
        <v>111</v>
      </c>
      <c r="C32" s="2497"/>
      <c r="D32" s="1711">
        <v>100</v>
      </c>
      <c r="E32" s="2487"/>
      <c r="F32" s="1711">
        <f>SUMIF(99:99,E32,100:100)-SUMIF(99:99,C32,100:100)+100</f>
        <v>100</v>
      </c>
      <c r="G32" s="2486"/>
      <c r="H32" s="1711">
        <f>SUMIF(99:99,G32,100:100)-SUMIF(99:99,C32,100:100)+100</f>
        <v>100</v>
      </c>
      <c r="I32" s="1703"/>
      <c r="J32" s="1711">
        <f>SUMIF(99:99,I32,100:100)-SUMIF(99:99,C32,100:100)+100</f>
        <v>100</v>
      </c>
      <c r="K32" s="1985"/>
      <c r="L32" s="2996"/>
      <c r="M32" s="2992"/>
      <c r="N32" s="2992"/>
      <c r="O32" s="2992"/>
      <c r="P32" s="3435"/>
      <c r="Q32" s="2910">
        <f t="shared" si="11"/>
        <v>111</v>
      </c>
      <c r="R32" s="1721" t="s">
        <v>25</v>
      </c>
      <c r="S32" s="1722">
        <f t="shared" si="12"/>
        <v>100</v>
      </c>
      <c r="T32" s="1721" t="s">
        <v>25</v>
      </c>
      <c r="U32" s="1722">
        <f t="shared" si="13"/>
        <v>100</v>
      </c>
      <c r="V32" s="1721" t="s">
        <v>25</v>
      </c>
      <c r="W32" s="1722">
        <f t="shared" si="14"/>
        <v>100</v>
      </c>
      <c r="X32" s="2070"/>
      <c r="Y32" s="3435"/>
      <c r="Z32" s="2074">
        <f t="shared" si="15"/>
        <v>111</v>
      </c>
      <c r="AA32" s="2065">
        <f t="shared" si="3"/>
        <v>1</v>
      </c>
      <c r="AB32" s="2065">
        <f t="shared" si="4"/>
        <v>1</v>
      </c>
      <c r="AC32" s="2065">
        <f t="shared" si="5"/>
        <v>1</v>
      </c>
    </row>
    <row r="33" spans="1:29" ht="15">
      <c r="A33" s="1713" t="s">
        <v>2272</v>
      </c>
      <c r="B33" s="1683" t="s">
        <v>2388</v>
      </c>
      <c r="C33" s="2498"/>
      <c r="D33" s="1758">
        <v>100</v>
      </c>
      <c r="E33" s="2498"/>
      <c r="F33" s="1750">
        <f>SUMIF(101:101,E33,102:102)-SUMIF(101:101,C33,102:102)+100</f>
        <v>100</v>
      </c>
      <c r="G33" s="2498"/>
      <c r="H33" s="1707">
        <f>SUMIF(101:101,G33,102:102)-SUMIF(101:101,C33,102:102)+100</f>
        <v>100</v>
      </c>
      <c r="I33" s="2498"/>
      <c r="J33" s="1758">
        <f>SUMIF(101:101,I33,102:102)-SUMIF(101:101,C33,102:102)+100</f>
        <v>100</v>
      </c>
      <c r="K33" s="1988"/>
      <c r="L33" s="2996"/>
      <c r="M33" s="2992"/>
      <c r="N33" s="2992"/>
      <c r="O33" s="2992"/>
      <c r="P33" s="3512" t="s">
        <v>2274</v>
      </c>
      <c r="Q33" s="2910" t="str">
        <f t="shared" si="11"/>
        <v>建筑类型</v>
      </c>
      <c r="R33" s="1721" t="s">
        <v>25</v>
      </c>
      <c r="S33" s="1722">
        <f t="shared" si="12"/>
        <v>100</v>
      </c>
      <c r="T33" s="1721" t="s">
        <v>25</v>
      </c>
      <c r="U33" s="1722">
        <f t="shared" si="13"/>
        <v>100</v>
      </c>
      <c r="V33" s="1721" t="s">
        <v>25</v>
      </c>
      <c r="W33" s="1722">
        <f t="shared" si="14"/>
        <v>100</v>
      </c>
      <c r="X33" s="2070"/>
      <c r="Y33" s="3439" t="s">
        <v>2274</v>
      </c>
      <c r="Z33" s="2074" t="str">
        <f t="shared" si="15"/>
        <v>建筑类型</v>
      </c>
      <c r="AA33" s="2065">
        <f t="shared" si="3"/>
        <v>1</v>
      </c>
      <c r="AB33" s="2065">
        <f t="shared" si="4"/>
        <v>1</v>
      </c>
      <c r="AC33" s="2065">
        <f t="shared" si="5"/>
        <v>1</v>
      </c>
    </row>
    <row r="34" spans="1:29" s="1767" customFormat="1" ht="15">
      <c r="A34" s="1760"/>
      <c r="B34" s="1691" t="s">
        <v>2275</v>
      </c>
      <c r="C34" s="1761"/>
      <c r="D34" s="1693">
        <v>100</v>
      </c>
      <c r="E34" s="1700"/>
      <c r="F34" s="1695" t="e">
        <f>LOOKUP(E34,104:104,105:105)-LOOKUP(C34,104:104,105:105)+100</f>
        <v>#N/A</v>
      </c>
      <c r="G34" s="1699"/>
      <c r="H34" s="1693" t="e">
        <f>LOOKUP(G34,104:104,105:105)-LOOKUP(C34,104:104,105:105)+100</f>
        <v>#N/A</v>
      </c>
      <c r="I34" s="1699"/>
      <c r="J34" s="1693" t="e">
        <f>LOOKUP(I34,104:104,105:105)-LOOKUP(C34,104:104,105:105)+100</f>
        <v>#N/A</v>
      </c>
      <c r="K34" s="1985"/>
      <c r="L34" s="2995"/>
      <c r="M34" s="2055"/>
      <c r="N34" s="2055"/>
      <c r="O34" s="2055"/>
      <c r="P34" s="3439"/>
      <c r="Q34" s="1762" t="str">
        <f t="shared" si="11"/>
        <v>项目建筑规模</v>
      </c>
      <c r="R34" s="1763" t="s">
        <v>25</v>
      </c>
      <c r="S34" s="1764" t="e">
        <f t="shared" si="12"/>
        <v>#N/A</v>
      </c>
      <c r="T34" s="1763" t="s">
        <v>25</v>
      </c>
      <c r="U34" s="1764" t="e">
        <f t="shared" si="13"/>
        <v>#N/A</v>
      </c>
      <c r="V34" s="1763" t="s">
        <v>25</v>
      </c>
      <c r="W34" s="1764" t="e">
        <f t="shared" si="14"/>
        <v>#N/A</v>
      </c>
      <c r="X34" s="1765"/>
      <c r="Y34" s="3439"/>
      <c r="Z34" s="1766" t="str">
        <f t="shared" si="15"/>
        <v>项目建筑规模</v>
      </c>
      <c r="AA34" s="2065" t="e">
        <f t="shared" si="3"/>
        <v>#N/A</v>
      </c>
      <c r="AB34" s="2065" t="e">
        <f t="shared" si="4"/>
        <v>#N/A</v>
      </c>
      <c r="AC34" s="2065" t="e">
        <f t="shared" si="5"/>
        <v>#N/A</v>
      </c>
    </row>
    <row r="35" spans="1:29" ht="15">
      <c r="A35" s="1768"/>
      <c r="B35" s="1691" t="s">
        <v>2276</v>
      </c>
      <c r="C35" s="1748"/>
      <c r="D35" s="1707">
        <v>100</v>
      </c>
      <c r="E35" s="1748"/>
      <c r="F35" s="1750">
        <f>SUMIF(106:106,E35,107:107)-SUMIF(106:106,C35,107:107)+100</f>
        <v>100</v>
      </c>
      <c r="G35" s="1748"/>
      <c r="H35" s="1707">
        <f>SUMIF(106:106,G35,107:107)-SUMIF(106:106,C35,107:107)+100</f>
        <v>100</v>
      </c>
      <c r="I35" s="1748"/>
      <c r="J35" s="1707">
        <f>SUMIF(106:106,I35,107:107)-SUMIF(106:106,C35,107:107)+100</f>
        <v>100</v>
      </c>
      <c r="K35" s="1988"/>
      <c r="L35" s="2996"/>
      <c r="M35" s="2992"/>
      <c r="N35" s="2992"/>
      <c r="O35" s="2992"/>
      <c r="P35" s="3439"/>
      <c r="Q35" s="2910" t="str">
        <f t="shared" si="11"/>
        <v>建筑结构</v>
      </c>
      <c r="R35" s="1721" t="s">
        <v>25</v>
      </c>
      <c r="S35" s="1722">
        <f t="shared" si="12"/>
        <v>100</v>
      </c>
      <c r="T35" s="1721" t="s">
        <v>25</v>
      </c>
      <c r="U35" s="1722">
        <f t="shared" si="13"/>
        <v>100</v>
      </c>
      <c r="V35" s="1721" t="s">
        <v>25</v>
      </c>
      <c r="W35" s="1722">
        <f t="shared" si="14"/>
        <v>100</v>
      </c>
      <c r="X35" s="2070"/>
      <c r="Y35" s="3439"/>
      <c r="Z35" s="2074" t="str">
        <f t="shared" si="15"/>
        <v>建筑结构</v>
      </c>
      <c r="AA35" s="2065">
        <f t="shared" si="3"/>
        <v>1</v>
      </c>
      <c r="AB35" s="2065">
        <f t="shared" si="4"/>
        <v>1</v>
      </c>
      <c r="AC35" s="2065">
        <f t="shared" si="5"/>
        <v>1</v>
      </c>
    </row>
    <row r="36" spans="1:29" ht="15">
      <c r="A36" s="1768"/>
      <c r="B36" s="1691" t="s">
        <v>2361</v>
      </c>
      <c r="C36" s="1748"/>
      <c r="D36" s="1707">
        <v>100</v>
      </c>
      <c r="E36" s="1748"/>
      <c r="F36" s="1750">
        <f>SUMIF(108:108,E36,109:109)-SUMIF(108:108,C36,109:109)+100</f>
        <v>100</v>
      </c>
      <c r="G36" s="1748"/>
      <c r="H36" s="1707">
        <f>SUMIF(108:108,G36,109:109)-SUMIF(108:108,C36,109:109)+100</f>
        <v>100</v>
      </c>
      <c r="I36" s="1748"/>
      <c r="J36" s="1707">
        <f>SUMIF(108:108,I36,109:109)-SUMIF(108:108,C36,109:109)+100</f>
        <v>100</v>
      </c>
      <c r="K36" s="1988"/>
      <c r="L36" s="2996"/>
      <c r="M36" s="2992"/>
      <c r="N36" s="2992"/>
      <c r="O36" s="2992"/>
      <c r="P36" s="3439"/>
      <c r="Q36" s="2910" t="str">
        <f t="shared" si="11"/>
        <v>公共部分装修</v>
      </c>
      <c r="R36" s="1721" t="s">
        <v>25</v>
      </c>
      <c r="S36" s="1722">
        <f t="shared" si="12"/>
        <v>100</v>
      </c>
      <c r="T36" s="1721" t="s">
        <v>25</v>
      </c>
      <c r="U36" s="1722">
        <f t="shared" si="13"/>
        <v>100</v>
      </c>
      <c r="V36" s="1721" t="s">
        <v>25</v>
      </c>
      <c r="W36" s="1722">
        <f t="shared" si="14"/>
        <v>100</v>
      </c>
      <c r="X36" s="2070"/>
      <c r="Y36" s="3439"/>
      <c r="Z36" s="2074" t="str">
        <f t="shared" si="15"/>
        <v>公共部分装修</v>
      </c>
      <c r="AA36" s="2065">
        <f t="shared" si="3"/>
        <v>1</v>
      </c>
      <c r="AB36" s="2065">
        <f t="shared" si="4"/>
        <v>1</v>
      </c>
      <c r="AC36" s="2065">
        <f t="shared" si="5"/>
        <v>1</v>
      </c>
    </row>
    <row r="37" spans="1:29" ht="15">
      <c r="A37" s="1768"/>
      <c r="B37" s="1691" t="s">
        <v>2362</v>
      </c>
      <c r="C37" s="1772"/>
      <c r="D37" s="1707">
        <v>100</v>
      </c>
      <c r="E37" s="1772"/>
      <c r="F37" s="1750" t="e">
        <f>LOOKUP(E37,111:111,112:112)-LOOKUP(C37,111:111,112:112)+100</f>
        <v>#N/A</v>
      </c>
      <c r="G37" s="1772"/>
      <c r="H37" s="1750" t="e">
        <f>LOOKUP(G37,111:111,112:112)-LOOKUP(C37,111:111,112:112)+100</f>
        <v>#N/A</v>
      </c>
      <c r="I37" s="1772"/>
      <c r="J37" s="1707" t="e">
        <f>LOOKUP(I37,111:111,112:112)-LOOKUP(C37,111:111,112:112)+100</f>
        <v>#N/A</v>
      </c>
      <c r="K37" s="1988"/>
      <c r="L37" s="2996"/>
      <c r="M37" s="2992"/>
      <c r="N37" s="2992"/>
      <c r="O37" s="2992"/>
      <c r="P37" s="3439"/>
      <c r="Q37" s="2910" t="str">
        <f t="shared" si="11"/>
        <v>成新度</v>
      </c>
      <c r="R37" s="1721" t="s">
        <v>25</v>
      </c>
      <c r="S37" s="1722" t="e">
        <f t="shared" si="12"/>
        <v>#N/A</v>
      </c>
      <c r="T37" s="1721" t="s">
        <v>25</v>
      </c>
      <c r="U37" s="1722" t="e">
        <f t="shared" si="13"/>
        <v>#N/A</v>
      </c>
      <c r="V37" s="1721" t="s">
        <v>25</v>
      </c>
      <c r="W37" s="1722" t="e">
        <f t="shared" si="14"/>
        <v>#N/A</v>
      </c>
      <c r="X37" s="2070"/>
      <c r="Y37" s="3439"/>
      <c r="Z37" s="2074" t="str">
        <f t="shared" si="15"/>
        <v>成新度</v>
      </c>
      <c r="AA37" s="2065" t="e">
        <f t="shared" si="3"/>
        <v>#N/A</v>
      </c>
      <c r="AB37" s="2065" t="e">
        <f t="shared" si="4"/>
        <v>#N/A</v>
      </c>
      <c r="AC37" s="2065" t="e">
        <f t="shared" si="5"/>
        <v>#N/A</v>
      </c>
    </row>
    <row r="38" spans="1:29" s="1681" customFormat="1" ht="15">
      <c r="A38" s="1771"/>
      <c r="B38" s="1691" t="s">
        <v>2389</v>
      </c>
      <c r="C38" s="1748"/>
      <c r="D38" s="1693">
        <v>100</v>
      </c>
      <c r="E38" s="1748"/>
      <c r="F38" s="1750">
        <f>SUMIF(113:113,E38,114:114)-SUMIF(113:113,C38,114:114)+100</f>
        <v>100</v>
      </c>
      <c r="G38" s="1748"/>
      <c r="H38" s="1707">
        <f>SUMIF(113:113,G38,114:114)-SUMIF(113:113,C38,114:114)+100</f>
        <v>100</v>
      </c>
      <c r="I38" s="1748"/>
      <c r="J38" s="1707">
        <f>SUMIF(113:113,I38,114:114)-SUMIF(113:113,C38,114:114)+100</f>
        <v>100</v>
      </c>
      <c r="K38" s="1988"/>
      <c r="L38" s="2991"/>
      <c r="M38" s="2964"/>
      <c r="N38" s="2964"/>
      <c r="O38" s="2964"/>
      <c r="P38" s="3439"/>
      <c r="Q38" s="2909" t="str">
        <f t="shared" si="11"/>
        <v>写字楼等级</v>
      </c>
      <c r="R38" s="1677" t="s">
        <v>25</v>
      </c>
      <c r="S38" s="1678">
        <f t="shared" si="12"/>
        <v>100</v>
      </c>
      <c r="T38" s="1677" t="s">
        <v>25</v>
      </c>
      <c r="U38" s="1678">
        <f t="shared" si="13"/>
        <v>100</v>
      </c>
      <c r="V38" s="1677" t="s">
        <v>25</v>
      </c>
      <c r="W38" s="1678">
        <f t="shared" si="14"/>
        <v>100</v>
      </c>
      <c r="X38" s="1679"/>
      <c r="Y38" s="3439"/>
      <c r="Z38" s="1689" t="str">
        <f t="shared" si="15"/>
        <v>写字楼等级</v>
      </c>
      <c r="AA38" s="1680">
        <f t="shared" si="3"/>
        <v>1</v>
      </c>
      <c r="AB38" s="1680">
        <f t="shared" si="4"/>
        <v>1</v>
      </c>
      <c r="AC38" s="1680">
        <f t="shared" si="5"/>
        <v>1</v>
      </c>
    </row>
    <row r="39" spans="1:29" ht="15">
      <c r="A39" s="1768"/>
      <c r="B39" s="1691" t="s">
        <v>2390</v>
      </c>
      <c r="C39" s="1748"/>
      <c r="D39" s="1707">
        <v>100</v>
      </c>
      <c r="E39" s="1748"/>
      <c r="F39" s="1750">
        <f>SUMIF(115:115,E39,116:116)-SUMIF(115:115,C39,116:116)+100</f>
        <v>100</v>
      </c>
      <c r="G39" s="1748"/>
      <c r="H39" s="1707">
        <f>SUMIF(115:115,G39,116:116)-SUMIF(115:115,C39,116:116)+100</f>
        <v>100</v>
      </c>
      <c r="I39" s="1748"/>
      <c r="J39" s="1707">
        <f>SUMIF(115:115,I39,116:116)-SUMIF(115:115,C39,116:116)+100</f>
        <v>100</v>
      </c>
      <c r="K39" s="1988"/>
      <c r="L39" s="2996"/>
      <c r="M39" s="2992"/>
      <c r="N39" s="2992"/>
      <c r="O39" s="2992"/>
      <c r="P39" s="3439" t="s">
        <v>2274</v>
      </c>
      <c r="Q39" s="2910" t="str">
        <f t="shared" si="11"/>
        <v>物业管理</v>
      </c>
      <c r="R39" s="1721" t="s">
        <v>25</v>
      </c>
      <c r="S39" s="1722">
        <f t="shared" si="12"/>
        <v>100</v>
      </c>
      <c r="T39" s="1721" t="s">
        <v>25</v>
      </c>
      <c r="U39" s="1722">
        <f t="shared" si="13"/>
        <v>100</v>
      </c>
      <c r="V39" s="1721" t="s">
        <v>25</v>
      </c>
      <c r="W39" s="1722">
        <f t="shared" si="14"/>
        <v>100</v>
      </c>
      <c r="X39" s="2070"/>
      <c r="Y39" s="3439" t="s">
        <v>2274</v>
      </c>
      <c r="Z39" s="2074" t="str">
        <f t="shared" si="15"/>
        <v>物业管理</v>
      </c>
      <c r="AA39" s="2065">
        <f t="shared" si="3"/>
        <v>1</v>
      </c>
      <c r="AB39" s="2065">
        <f t="shared" si="4"/>
        <v>1</v>
      </c>
      <c r="AC39" s="2065">
        <f t="shared" si="5"/>
        <v>1</v>
      </c>
    </row>
    <row r="40" spans="1:29" ht="15">
      <c r="A40" s="1768"/>
      <c r="B40" s="1691" t="s">
        <v>2363</v>
      </c>
      <c r="C40" s="1748"/>
      <c r="D40" s="1707">
        <v>100</v>
      </c>
      <c r="E40" s="1748"/>
      <c r="F40" s="1750">
        <f>SUMIF(117:117,E40,118:118)-SUMIF(117:117,C40,118:118)+100</f>
        <v>100</v>
      </c>
      <c r="G40" s="1748"/>
      <c r="H40" s="1707">
        <f>SUMIF(117:117,G40,118:118)-SUMIF(117:117,C40,118:118)+100</f>
        <v>100</v>
      </c>
      <c r="I40" s="1748"/>
      <c r="J40" s="1707">
        <f>SUMIF(117:117,I40,118:118)-SUMIF(117:117,C40,118:118)+100</f>
        <v>100</v>
      </c>
      <c r="K40" s="1988"/>
      <c r="L40" s="2996"/>
      <c r="M40" s="2992"/>
      <c r="N40" s="2992"/>
      <c r="O40" s="2992"/>
      <c r="P40" s="3439"/>
      <c r="Q40" s="2910" t="str">
        <f t="shared" si="11"/>
        <v>市政基础设施</v>
      </c>
      <c r="R40" s="1721" t="s">
        <v>25</v>
      </c>
      <c r="S40" s="1722">
        <f t="shared" si="12"/>
        <v>100</v>
      </c>
      <c r="T40" s="1721" t="s">
        <v>25</v>
      </c>
      <c r="U40" s="1722">
        <f t="shared" si="13"/>
        <v>100</v>
      </c>
      <c r="V40" s="1721" t="s">
        <v>25</v>
      </c>
      <c r="W40" s="1722">
        <f t="shared" si="14"/>
        <v>100</v>
      </c>
      <c r="X40" s="2070"/>
      <c r="Y40" s="3439"/>
      <c r="Z40" s="2074" t="str">
        <f t="shared" si="15"/>
        <v>市政基础设施</v>
      </c>
      <c r="AA40" s="2065">
        <f t="shared" si="3"/>
        <v>1</v>
      </c>
      <c r="AB40" s="2065">
        <f t="shared" si="4"/>
        <v>1</v>
      </c>
      <c r="AC40" s="2065">
        <f t="shared" si="5"/>
        <v>1</v>
      </c>
    </row>
    <row r="41" spans="1:29" ht="15">
      <c r="A41" s="1768"/>
      <c r="B41" s="1691" t="s">
        <v>2365</v>
      </c>
      <c r="C41" s="1987"/>
      <c r="D41" s="1707">
        <v>100</v>
      </c>
      <c r="E41" s="1987"/>
      <c r="F41" s="1750">
        <f>SUMIF(119:119,E41,120:120)-SUMIF(119:119,C41,120:120)+100</f>
        <v>100</v>
      </c>
      <c r="G41" s="1987"/>
      <c r="H41" s="1707">
        <f>SUMIF(119:119,G41,120:120)-SUMIF(119:119,C41,120:120)+100</f>
        <v>100</v>
      </c>
      <c r="I41" s="1987"/>
      <c r="J41" s="1707">
        <f>SUMIF(119:119,I41,120:120)-SUMIF(119:119,C41,120:120)+100</f>
        <v>100</v>
      </c>
      <c r="K41" s="1988"/>
      <c r="L41" s="2996"/>
      <c r="M41" s="2992"/>
      <c r="N41" s="2992"/>
      <c r="O41" s="2992"/>
      <c r="P41" s="3439"/>
      <c r="Q41" s="2910" t="str">
        <f t="shared" si="11"/>
        <v>层高</v>
      </c>
      <c r="R41" s="1721" t="s">
        <v>25</v>
      </c>
      <c r="S41" s="1722">
        <f t="shared" si="12"/>
        <v>100</v>
      </c>
      <c r="T41" s="1721" t="s">
        <v>25</v>
      </c>
      <c r="U41" s="1722">
        <f t="shared" si="13"/>
        <v>100</v>
      </c>
      <c r="V41" s="1721" t="s">
        <v>25</v>
      </c>
      <c r="W41" s="1722">
        <f t="shared" si="14"/>
        <v>100</v>
      </c>
      <c r="X41" s="2070"/>
      <c r="Y41" s="3439"/>
      <c r="Z41" s="2074" t="str">
        <f t="shared" si="15"/>
        <v>层高</v>
      </c>
      <c r="AA41" s="2065">
        <f t="shared" si="3"/>
        <v>1</v>
      </c>
      <c r="AB41" s="2065">
        <f t="shared" si="4"/>
        <v>1</v>
      </c>
      <c r="AC41" s="2065">
        <f t="shared" si="5"/>
        <v>1</v>
      </c>
    </row>
    <row r="42" spans="1:29" s="1767" customFormat="1" ht="15">
      <c r="A42" s="1760"/>
      <c r="B42" s="2066" t="s">
        <v>2391</v>
      </c>
      <c r="C42" s="1706"/>
      <c r="D42" s="1707">
        <v>100</v>
      </c>
      <c r="E42" s="1706"/>
      <c r="F42" s="1750">
        <f>SUMIF(121:121,E42,122:122)-SUMIF(121:121,C42,122:122)+100</f>
        <v>100</v>
      </c>
      <c r="G42" s="1706"/>
      <c r="H42" s="1707">
        <f>SUMIF(121:121,G42,122:122)-SUMIF(121:121,C42,122:122)+100</f>
        <v>100</v>
      </c>
      <c r="I42" s="1706"/>
      <c r="J42" s="1707">
        <f>SUMIF(121:121,I42,122:122)-SUMIF(121:121,C42,122:122)+100</f>
        <v>100</v>
      </c>
      <c r="K42" s="1985"/>
      <c r="L42" s="2995"/>
      <c r="M42" s="2055"/>
      <c r="N42" s="2055"/>
      <c r="O42" s="2055"/>
      <c r="P42" s="3439"/>
      <c r="Q42" s="1762" t="str">
        <f t="shared" si="11"/>
        <v>单套建筑面积</v>
      </c>
      <c r="R42" s="1763" t="s">
        <v>25</v>
      </c>
      <c r="S42" s="1764">
        <f t="shared" si="12"/>
        <v>100</v>
      </c>
      <c r="T42" s="1763" t="s">
        <v>25</v>
      </c>
      <c r="U42" s="1764">
        <f t="shared" si="13"/>
        <v>100</v>
      </c>
      <c r="V42" s="1763" t="s">
        <v>25</v>
      </c>
      <c r="W42" s="1764">
        <f t="shared" si="14"/>
        <v>100</v>
      </c>
      <c r="X42" s="1765"/>
      <c r="Y42" s="3439"/>
      <c r="Z42" s="1766" t="str">
        <f t="shared" si="15"/>
        <v>单套建筑面积</v>
      </c>
      <c r="AA42" s="2065">
        <f t="shared" si="3"/>
        <v>1</v>
      </c>
      <c r="AB42" s="2065">
        <f t="shared" si="4"/>
        <v>1</v>
      </c>
      <c r="AC42" s="2065">
        <f t="shared" si="5"/>
        <v>1</v>
      </c>
    </row>
    <row r="43" spans="1:29" ht="15">
      <c r="A43" s="1768"/>
      <c r="B43" s="1691" t="s">
        <v>2368</v>
      </c>
      <c r="C43" s="1748"/>
      <c r="D43" s="1707">
        <v>100</v>
      </c>
      <c r="E43" s="1748"/>
      <c r="F43" s="1750">
        <f>SUMIF(123:123,E43,124:124)-SUMIF(123:123,C43,124:124)+100</f>
        <v>100</v>
      </c>
      <c r="G43" s="1748"/>
      <c r="H43" s="1707">
        <f>SUMIF(123:123,G43,124:124)-SUMIF(123:123,C43,124:124)+100</f>
        <v>100</v>
      </c>
      <c r="I43" s="1748"/>
      <c r="J43" s="1707">
        <f>SUMIF(123:123,I43,124:124)-SUMIF(123:123,C43,124:124)+100</f>
        <v>100</v>
      </c>
      <c r="K43" s="1988"/>
      <c r="L43" s="2996"/>
      <c r="M43" s="2992"/>
      <c r="N43" s="2992"/>
      <c r="O43" s="2992"/>
      <c r="P43" s="3439"/>
      <c r="Q43" s="2910" t="str">
        <f t="shared" si="11"/>
        <v>内部装修</v>
      </c>
      <c r="R43" s="1721" t="s">
        <v>25</v>
      </c>
      <c r="S43" s="1722">
        <f t="shared" si="12"/>
        <v>100</v>
      </c>
      <c r="T43" s="1721" t="s">
        <v>25</v>
      </c>
      <c r="U43" s="1722">
        <f t="shared" si="13"/>
        <v>100</v>
      </c>
      <c r="V43" s="1721" t="s">
        <v>25</v>
      </c>
      <c r="W43" s="1722">
        <f t="shared" si="14"/>
        <v>100</v>
      </c>
      <c r="X43" s="2070"/>
      <c r="Y43" s="3439"/>
      <c r="Z43" s="2074" t="str">
        <f t="shared" si="15"/>
        <v>内部装修</v>
      </c>
      <c r="AA43" s="2065">
        <f t="shared" si="3"/>
        <v>1</v>
      </c>
      <c r="AB43" s="2065">
        <f t="shared" si="4"/>
        <v>1</v>
      </c>
      <c r="AC43" s="2065">
        <f t="shared" si="5"/>
        <v>1</v>
      </c>
    </row>
    <row r="44" spans="1:29" ht="15">
      <c r="A44" s="1768"/>
      <c r="B44" s="1691" t="s">
        <v>2285</v>
      </c>
      <c r="C44" s="1748"/>
      <c r="D44" s="1707">
        <v>100</v>
      </c>
      <c r="E44" s="1751"/>
      <c r="F44" s="1750">
        <f>SUMIF(125:125,E44,126:126)-SUMIF(125:125,C44,126:126)+100</f>
        <v>100</v>
      </c>
      <c r="G44" s="1751"/>
      <c r="H44" s="1707">
        <f>SUMIF(125:125,G44,126:126)-SUMIF(125:125,C44,126:126)+100</f>
        <v>100</v>
      </c>
      <c r="I44" s="1751"/>
      <c r="J44" s="1707">
        <f>SUMIF(125:125,I44,126:126)-SUMIF(125:125,C44,126:126)+100</f>
        <v>100</v>
      </c>
      <c r="K44" s="1988"/>
      <c r="L44" s="2996"/>
      <c r="M44" s="2992"/>
      <c r="N44" s="2992"/>
      <c r="O44" s="2992"/>
      <c r="P44" s="3439"/>
      <c r="Q44" s="2910" t="str">
        <f t="shared" si="11"/>
        <v>内部装修维护情况</v>
      </c>
      <c r="R44" s="1721" t="s">
        <v>25</v>
      </c>
      <c r="S44" s="1722">
        <f t="shared" si="12"/>
        <v>100</v>
      </c>
      <c r="T44" s="1721" t="s">
        <v>25</v>
      </c>
      <c r="U44" s="1722">
        <f t="shared" si="13"/>
        <v>100</v>
      </c>
      <c r="V44" s="1721" t="s">
        <v>25</v>
      </c>
      <c r="W44" s="1722">
        <f t="shared" si="14"/>
        <v>100</v>
      </c>
      <c r="X44" s="2070"/>
      <c r="Y44" s="3439"/>
      <c r="Z44" s="2074" t="str">
        <f t="shared" si="15"/>
        <v>内部装修维护情况</v>
      </c>
      <c r="AA44" s="2065">
        <f t="shared" si="3"/>
        <v>1</v>
      </c>
      <c r="AB44" s="2065">
        <f t="shared" si="4"/>
        <v>1</v>
      </c>
      <c r="AC44" s="2065">
        <f t="shared" si="5"/>
        <v>1</v>
      </c>
    </row>
    <row r="45" spans="1:29" s="1681" customFormat="1" ht="15">
      <c r="A45" s="1771"/>
      <c r="B45" s="1756">
        <v>111</v>
      </c>
      <c r="C45" s="1761"/>
      <c r="D45" s="1693">
        <v>100</v>
      </c>
      <c r="E45" s="1703"/>
      <c r="F45" s="1695">
        <f>SUMIF(127:127,E45,128:128)-SUMIF(127:127,C45,128:128)+100</f>
        <v>100</v>
      </c>
      <c r="G45" s="1703"/>
      <c r="H45" s="1693">
        <f>SUMIF(127:127,G45,128:128)-SUMIF(127:127,C45,128:128)+100</f>
        <v>100</v>
      </c>
      <c r="I45" s="1703"/>
      <c r="J45" s="1693">
        <f>SUMIF(127:127,I45,128:128)-SUMIF(127:127,C45,128:128)+100</f>
        <v>100</v>
      </c>
      <c r="K45" s="1985"/>
      <c r="L45" s="2991"/>
      <c r="M45" s="2964"/>
      <c r="N45" s="2964"/>
      <c r="O45" s="2964"/>
      <c r="P45" s="3439"/>
      <c r="Q45" s="2909">
        <f t="shared" si="11"/>
        <v>111</v>
      </c>
      <c r="R45" s="1677" t="s">
        <v>25</v>
      </c>
      <c r="S45" s="1678">
        <f t="shared" si="12"/>
        <v>100</v>
      </c>
      <c r="T45" s="1677" t="s">
        <v>25</v>
      </c>
      <c r="U45" s="1678">
        <f t="shared" si="13"/>
        <v>100</v>
      </c>
      <c r="V45" s="1677" t="s">
        <v>25</v>
      </c>
      <c r="W45" s="1678">
        <f t="shared" si="14"/>
        <v>100</v>
      </c>
      <c r="X45" s="1679"/>
      <c r="Y45" s="3439"/>
      <c r="Z45" s="1689">
        <f t="shared" si="15"/>
        <v>111</v>
      </c>
      <c r="AA45" s="1680">
        <f t="shared" si="3"/>
        <v>1</v>
      </c>
      <c r="AB45" s="1680">
        <f t="shared" si="4"/>
        <v>1</v>
      </c>
      <c r="AC45" s="1680">
        <f t="shared" si="5"/>
        <v>1</v>
      </c>
    </row>
    <row r="46" spans="1:29" ht="15">
      <c r="A46" s="1768"/>
      <c r="B46" s="1756">
        <v>111</v>
      </c>
      <c r="C46" s="1706"/>
      <c r="D46" s="1707">
        <v>100</v>
      </c>
      <c r="E46" s="1703"/>
      <c r="F46" s="1750">
        <f>SUMIF(129:129,E46,130:130)-SUMIF(129:129,C46,130:130)+100</f>
        <v>100</v>
      </c>
      <c r="G46" s="1703"/>
      <c r="H46" s="1707">
        <f>SUMIF(129:129,G46,130:130)-SUMIF(129:129,C46,130:130)+100</f>
        <v>100</v>
      </c>
      <c r="I46" s="1703"/>
      <c r="J46" s="1707">
        <f>SUMIF(129:129,I46,130:130)-SUMIF(129:129,C46,130:130)+100</f>
        <v>100</v>
      </c>
      <c r="K46" s="1985"/>
      <c r="L46" s="2996"/>
      <c r="M46" s="2992"/>
      <c r="N46" s="2992"/>
      <c r="O46" s="2992"/>
      <c r="P46" s="3439"/>
      <c r="Q46" s="2910">
        <f t="shared" si="11"/>
        <v>111</v>
      </c>
      <c r="R46" s="1721" t="s">
        <v>25</v>
      </c>
      <c r="S46" s="1722">
        <f t="shared" si="12"/>
        <v>100</v>
      </c>
      <c r="T46" s="1721" t="s">
        <v>25</v>
      </c>
      <c r="U46" s="1722">
        <f t="shared" si="13"/>
        <v>100</v>
      </c>
      <c r="V46" s="1721" t="s">
        <v>25</v>
      </c>
      <c r="W46" s="1722">
        <f t="shared" si="14"/>
        <v>100</v>
      </c>
      <c r="X46" s="2070"/>
      <c r="Y46" s="3439"/>
      <c r="Z46" s="2074">
        <f t="shared" si="15"/>
        <v>111</v>
      </c>
      <c r="AA46" s="2065">
        <f t="shared" si="3"/>
        <v>1</v>
      </c>
      <c r="AB46" s="2065">
        <f t="shared" si="4"/>
        <v>1</v>
      </c>
      <c r="AC46" s="2065">
        <f t="shared" si="5"/>
        <v>1</v>
      </c>
    </row>
    <row r="47" spans="1:29" ht="15.75" thickBot="1">
      <c r="A47" s="1776"/>
      <c r="B47" s="1709">
        <v>111</v>
      </c>
      <c r="C47" s="1710"/>
      <c r="D47" s="1711">
        <v>100</v>
      </c>
      <c r="E47" s="1703"/>
      <c r="F47" s="1712">
        <f>SUMIF(131:131,E47,132:132)-SUMIF(131:131,C47,132:132)+100</f>
        <v>100</v>
      </c>
      <c r="G47" s="1703"/>
      <c r="H47" s="1711">
        <f>SUMIF(131:131,G47,132:132)-SUMIF(131:131,C47,132:132)+100</f>
        <v>100</v>
      </c>
      <c r="I47" s="1703"/>
      <c r="J47" s="1711">
        <f>SUMIF(131:131,I47,132:132)-SUMIF(131:131,C47,132:132)+100</f>
        <v>100</v>
      </c>
      <c r="K47" s="1985"/>
      <c r="L47" s="2996"/>
      <c r="M47" s="2992"/>
      <c r="N47" s="2992"/>
      <c r="O47" s="2992"/>
      <c r="P47" s="3440"/>
      <c r="Q47" s="2910">
        <f t="shared" si="11"/>
        <v>111</v>
      </c>
      <c r="R47" s="1721" t="s">
        <v>25</v>
      </c>
      <c r="S47" s="1722">
        <f t="shared" si="12"/>
        <v>100</v>
      </c>
      <c r="T47" s="1721" t="s">
        <v>25</v>
      </c>
      <c r="U47" s="1722">
        <f t="shared" si="13"/>
        <v>100</v>
      </c>
      <c r="V47" s="1721" t="s">
        <v>25</v>
      </c>
      <c r="W47" s="1722">
        <f t="shared" si="14"/>
        <v>100</v>
      </c>
      <c r="X47" s="2070"/>
      <c r="Y47" s="3440"/>
      <c r="Z47" s="2074">
        <f t="shared" si="15"/>
        <v>111</v>
      </c>
      <c r="AA47" s="2065">
        <f t="shared" si="3"/>
        <v>1</v>
      </c>
      <c r="AB47" s="2065">
        <f t="shared" si="4"/>
        <v>1</v>
      </c>
      <c r="AC47" s="2065">
        <f t="shared" si="5"/>
        <v>1</v>
      </c>
    </row>
    <row r="48" spans="1:29" ht="15">
      <c r="A48" s="1777" t="s">
        <v>2286</v>
      </c>
      <c r="B48" s="1778"/>
      <c r="C48" s="1779" t="s">
        <v>1</v>
      </c>
      <c r="D48" s="1780"/>
      <c r="E48" s="1781"/>
      <c r="F48" s="1782"/>
      <c r="G48" s="1783"/>
      <c r="H48" s="1784"/>
      <c r="I48" s="1781"/>
      <c r="J48" s="1784"/>
      <c r="K48" s="2009"/>
      <c r="L48" s="2997"/>
      <c r="M48" s="2992"/>
      <c r="N48" s="2992"/>
      <c r="O48" s="2992"/>
      <c r="P48" s="3445" t="str">
        <f>A48</f>
        <v>成交单价（元/平方米）</v>
      </c>
      <c r="Q48" s="3445"/>
      <c r="R48" s="3446">
        <f>E48</f>
        <v>0</v>
      </c>
      <c r="S48" s="3446"/>
      <c r="T48" s="3446">
        <f>G48</f>
        <v>0</v>
      </c>
      <c r="U48" s="3446"/>
      <c r="V48" s="3446">
        <f>I48</f>
        <v>0</v>
      </c>
      <c r="W48" s="3446"/>
      <c r="X48" s="1787"/>
      <c r="Y48" s="2069"/>
      <c r="Z48" s="1787"/>
      <c r="AA48" s="1787"/>
      <c r="AB48" s="1787"/>
      <c r="AC48" s="1787"/>
    </row>
    <row r="49" spans="1:29" ht="15.75" thickBot="1">
      <c r="A49" s="1789" t="s">
        <v>2369</v>
      </c>
      <c r="B49" s="1790"/>
      <c r="C49" s="1791" t="e">
        <f>R50</f>
        <v>#DIV/0!</v>
      </c>
      <c r="D49" s="1792" t="s">
        <v>2742</v>
      </c>
      <c r="E49" s="1793" t="e">
        <f>R49</f>
        <v>#DIV/0!</v>
      </c>
      <c r="F49" s="1794"/>
      <c r="G49" s="1791" t="e">
        <f>T49</f>
        <v>#DIV/0!</v>
      </c>
      <c r="H49" s="1794"/>
      <c r="I49" s="1793" t="e">
        <f>V49</f>
        <v>#DIV/0!</v>
      </c>
      <c r="J49" s="1794"/>
      <c r="K49" s="2506">
        <f>F49+H49+J49</f>
        <v>0</v>
      </c>
      <c r="L49" s="2997"/>
      <c r="M49" s="2992"/>
      <c r="N49" s="2992"/>
      <c r="O49" s="2992"/>
      <c r="P49" s="3445" t="str">
        <f>A49</f>
        <v>比较价值（元/平方米）</v>
      </c>
      <c r="Q49" s="3445"/>
      <c r="R49" s="3446" t="e">
        <f>IF(E1="售价",ROUND(PRODUCT(R48,AA7:AA47),0),ROUND(PRODUCT(R48,AA7:AA47),1))</f>
        <v>#DIV/0!</v>
      </c>
      <c r="S49" s="3446"/>
      <c r="T49" s="3446" t="e">
        <f>IF(E1="售价",ROUND(PRODUCT(T48,AB7:AB47),0),ROUND(PRODUCT(T48,AB7:AB47),1))</f>
        <v>#DIV/0!</v>
      </c>
      <c r="U49" s="3446"/>
      <c r="V49" s="3446" t="e">
        <f>IF(E1="售价",ROUND(PRODUCT(V48,AC7:AC47),0),ROUND(PRODUCT(V48,AC7:AC47),1))</f>
        <v>#DIV/0!</v>
      </c>
      <c r="W49" s="3446"/>
      <c r="X49" s="1787"/>
      <c r="Y49" s="1787"/>
      <c r="Z49" s="1787"/>
      <c r="AA49" s="1787"/>
      <c r="AB49" s="1787"/>
      <c r="AC49" s="1787"/>
    </row>
    <row r="50" spans="1:29" ht="15.75" thickBot="1">
      <c r="A50" s="1795" t="s">
        <v>2392</v>
      </c>
      <c r="B50" s="1796"/>
      <c r="C50" s="1798" t="e">
        <f>R50</f>
        <v>#DIV/0!</v>
      </c>
      <c r="D50" s="1798"/>
      <c r="E50" s="1798"/>
      <c r="F50" s="1798"/>
      <c r="G50" s="1798"/>
      <c r="H50" s="1798"/>
      <c r="I50" s="1798"/>
      <c r="J50" s="1798"/>
      <c r="K50" s="2014"/>
      <c r="L50" s="2997"/>
      <c r="M50" s="2992"/>
      <c r="N50" s="2992"/>
      <c r="O50" s="2992"/>
      <c r="P50" s="3451" t="str">
        <f>A50</f>
        <v>估价对象XX用房的比较价值（楼面单价，元/平方米）</v>
      </c>
      <c r="Q50" s="3452"/>
      <c r="R50" s="3453" t="e">
        <f>IF(E1="售价",ROUND(IF(D49="简单平均",AVERAGE(R49:V49),R49*F49+T49*H49+V49*J49),0),ROUND(IF(D49="简单平均",AVERAGE(R49:V49),R49*F49+T49*H49+V49*J49),1))</f>
        <v>#DIV/0!</v>
      </c>
      <c r="S50" s="3453"/>
      <c r="T50" s="3453"/>
      <c r="U50" s="3453"/>
      <c r="V50" s="3453"/>
      <c r="W50" s="3453"/>
      <c r="X50" s="1787"/>
      <c r="Y50" s="1787"/>
      <c r="Z50" s="1787"/>
      <c r="AA50" s="1787"/>
      <c r="AB50" s="1787"/>
      <c r="AC50" s="1787"/>
    </row>
    <row r="51" spans="1:29">
      <c r="G51" s="3001"/>
    </row>
    <row r="53" spans="1:29" ht="13.5" customHeight="1">
      <c r="C53" s="383" t="s">
        <v>2371</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2372</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2373</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3004"/>
      <c r="L55" s="2998"/>
    </row>
    <row r="56" spans="1:29" s="1809" customFormat="1">
      <c r="B56" s="3002"/>
      <c r="C56" s="3003"/>
      <c r="K56" s="3004"/>
      <c r="L56" s="2998"/>
    </row>
    <row r="57" spans="1:29">
      <c r="B57" s="3002"/>
      <c r="C57" s="3003"/>
    </row>
    <row r="58" spans="1:29" ht="21.75" thickBot="1">
      <c r="A58" s="1812" t="s">
        <v>2374</v>
      </c>
      <c r="B58" s="1787"/>
      <c r="C58" s="1813"/>
      <c r="D58" s="1813"/>
      <c r="E58" s="1813"/>
      <c r="F58" s="1813"/>
      <c r="G58" s="1813"/>
      <c r="H58" s="1813"/>
      <c r="I58" s="1813"/>
      <c r="J58" s="1813"/>
      <c r="K58" s="1814"/>
      <c r="L58" s="1815"/>
      <c r="M58" s="1813"/>
      <c r="N58" s="3000"/>
      <c r="O58" s="3000"/>
      <c r="P58" s="2041"/>
      <c r="Q58" s="1817"/>
    </row>
    <row r="59" spans="1:29" s="1823" customFormat="1" ht="15">
      <c r="A59" s="1818" t="s">
        <v>2256</v>
      </c>
      <c r="B59" s="1819"/>
      <c r="C59" s="1820" t="str">
        <f>YEAR(C7)&amp;"-"&amp;MONTH(C7)</f>
        <v>2021-5</v>
      </c>
      <c r="D59" s="1821">
        <f>EDATE(C59,-1)</f>
        <v>44287</v>
      </c>
      <c r="E59" s="1821">
        <f t="shared" ref="E59:O59" si="16">EDATE(D59,-1)</f>
        <v>44256</v>
      </c>
      <c r="F59" s="1821">
        <f t="shared" si="16"/>
        <v>44228</v>
      </c>
      <c r="G59" s="1821">
        <f t="shared" si="16"/>
        <v>44197</v>
      </c>
      <c r="H59" s="1821">
        <f t="shared" si="16"/>
        <v>44166</v>
      </c>
      <c r="I59" s="1821">
        <f t="shared" si="16"/>
        <v>44136</v>
      </c>
      <c r="J59" s="1821">
        <f t="shared" si="16"/>
        <v>44105</v>
      </c>
      <c r="K59" s="1821">
        <f t="shared" si="16"/>
        <v>44075</v>
      </c>
      <c r="L59" s="1821">
        <f t="shared" si="16"/>
        <v>44044</v>
      </c>
      <c r="M59" s="1821">
        <f t="shared" si="16"/>
        <v>44013</v>
      </c>
      <c r="N59" s="1821">
        <f t="shared" si="16"/>
        <v>43983</v>
      </c>
      <c r="O59" s="1821">
        <f t="shared" si="16"/>
        <v>43952</v>
      </c>
      <c r="P59" s="2499"/>
    </row>
    <row r="60" spans="1:29" s="1681" customFormat="1" ht="15">
      <c r="A60" s="1824"/>
      <c r="B60" s="1825"/>
      <c r="C60" s="1826">
        <v>100</v>
      </c>
      <c r="D60" s="1827"/>
      <c r="E60" s="1827"/>
      <c r="F60" s="1827"/>
      <c r="G60" s="1827"/>
      <c r="H60" s="1827"/>
      <c r="I60" s="1827"/>
      <c r="J60" s="1827"/>
      <c r="K60" s="1827"/>
      <c r="L60" s="1827"/>
      <c r="M60" s="1828"/>
      <c r="N60" s="1827"/>
      <c r="O60" s="1841"/>
      <c r="P60" s="1817"/>
    </row>
    <row r="61" spans="1:29" s="1681" customFormat="1" ht="15.75" thickBot="1">
      <c r="A61" s="1830" t="s">
        <v>2294</v>
      </c>
      <c r="B61" s="1831"/>
      <c r="C61" s="1832"/>
      <c r="D61" s="1833"/>
      <c r="E61" s="1833"/>
      <c r="F61" s="1833"/>
      <c r="G61" s="1833"/>
      <c r="H61" s="1833"/>
      <c r="I61" s="1833"/>
      <c r="J61" s="1833"/>
      <c r="K61" s="1833"/>
      <c r="L61" s="1833"/>
      <c r="M61" s="1834"/>
      <c r="N61" s="1833"/>
      <c r="O61" s="2500"/>
      <c r="P61" s="1817"/>
      <c r="Q61" s="1817"/>
    </row>
    <row r="62" spans="1:29" s="1681" customFormat="1" ht="15">
      <c r="A62" s="1835" t="s">
        <v>2258</v>
      </c>
      <c r="B62" s="1825"/>
      <c r="C62" s="1836" t="s">
        <v>2259</v>
      </c>
      <c r="D62" s="409"/>
      <c r="E62" s="409"/>
      <c r="F62" s="409"/>
      <c r="G62" s="409"/>
      <c r="H62" s="409"/>
      <c r="I62" s="409"/>
      <c r="J62" s="409"/>
      <c r="K62" s="409"/>
      <c r="L62" s="409"/>
      <c r="M62" s="1837"/>
      <c r="N62" s="3009"/>
      <c r="O62" s="3009"/>
      <c r="P62" s="2052"/>
      <c r="Q62" s="1817"/>
    </row>
    <row r="63" spans="1:29" s="1681" customFormat="1" ht="15.75" thickBot="1">
      <c r="A63" s="1835"/>
      <c r="B63" s="1825"/>
      <c r="C63" s="1840">
        <v>100</v>
      </c>
      <c r="D63" s="1827"/>
      <c r="E63" s="1827"/>
      <c r="F63" s="1827"/>
      <c r="G63" s="1827"/>
      <c r="H63" s="1827"/>
      <c r="I63" s="1827"/>
      <c r="J63" s="1827"/>
      <c r="K63" s="1827"/>
      <c r="L63" s="1827"/>
      <c r="M63" s="1841"/>
      <c r="N63" s="3009"/>
      <c r="O63" s="3009"/>
      <c r="P63" s="1817"/>
      <c r="Q63" s="1817"/>
    </row>
    <row r="64" spans="1:29">
      <c r="A64" s="1842" t="s">
        <v>2297</v>
      </c>
      <c r="B64" s="1843" t="s">
        <v>2262</v>
      </c>
      <c r="C64" s="1844">
        <f>C9</f>
        <v>0</v>
      </c>
      <c r="D64" s="1845"/>
      <c r="E64" s="1845"/>
      <c r="F64" s="1845"/>
      <c r="G64" s="1845"/>
      <c r="H64" s="1845"/>
      <c r="I64" s="1845"/>
      <c r="J64" s="1845"/>
      <c r="K64" s="417"/>
      <c r="L64" s="417"/>
      <c r="M64" s="1846"/>
      <c r="N64" s="3010"/>
      <c r="O64" s="3010"/>
      <c r="P64" s="2053"/>
      <c r="Q64" s="1817"/>
    </row>
    <row r="65" spans="1:17" ht="15.75" thickBot="1">
      <c r="A65" s="1849"/>
      <c r="B65" s="1850"/>
      <c r="C65" s="1851">
        <v>100</v>
      </c>
      <c r="D65" s="1851"/>
      <c r="E65" s="1851"/>
      <c r="F65" s="1851"/>
      <c r="G65" s="1851"/>
      <c r="H65" s="1851"/>
      <c r="I65" s="1851"/>
      <c r="J65" s="1851"/>
      <c r="K65" s="1851"/>
      <c r="L65" s="1851"/>
      <c r="M65" s="1852"/>
      <c r="N65" s="3011"/>
      <c r="O65" s="3011"/>
      <c r="P65" s="2053"/>
      <c r="Q65" s="1817"/>
    </row>
    <row r="66" spans="1:17" ht="27.75" thickTop="1">
      <c r="A66" s="1849"/>
      <c r="B66" s="1854" t="s">
        <v>2265</v>
      </c>
      <c r="C66" s="1855" t="s">
        <v>2298</v>
      </c>
      <c r="D66" s="1855" t="s">
        <v>2299</v>
      </c>
      <c r="E66" s="1855" t="s">
        <v>2300</v>
      </c>
      <c r="F66" s="1855" t="s">
        <v>2301</v>
      </c>
      <c r="G66" s="1855" t="s">
        <v>2302</v>
      </c>
      <c r="H66" s="1855" t="s">
        <v>2303</v>
      </c>
      <c r="I66" s="1855" t="s">
        <v>2304</v>
      </c>
      <c r="J66" s="1855"/>
      <c r="K66" s="428"/>
      <c r="L66" s="428"/>
      <c r="M66" s="1856"/>
      <c r="N66" s="3010"/>
      <c r="O66" s="3010"/>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11"/>
      <c r="O67" s="3011"/>
      <c r="P67" s="2053"/>
      <c r="Q67" s="1817"/>
    </row>
    <row r="68" spans="1:17" ht="15.75" thickTop="1">
      <c r="A68" s="1849"/>
      <c r="B68" s="1860" t="s">
        <v>2266</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27" t="str">
        <f>M69&amp;"（含）"&amp;"-"&amp;P69</f>
        <v>（含）-</v>
      </c>
      <c r="N68" s="3011"/>
      <c r="O68" s="3011"/>
      <c r="P68" s="2053"/>
      <c r="Q68" s="1817"/>
    </row>
    <row r="69" spans="1:17" ht="15">
      <c r="A69" s="1849"/>
      <c r="B69" s="1862"/>
      <c r="C69" s="1863"/>
      <c r="D69" s="1863"/>
      <c r="E69" s="1863"/>
      <c r="F69" s="1863"/>
      <c r="G69" s="1863"/>
      <c r="H69" s="1863"/>
      <c r="I69" s="1863"/>
      <c r="J69" s="1863"/>
      <c r="K69" s="438"/>
      <c r="L69" s="438"/>
      <c r="M69" s="1864"/>
      <c r="N69" s="3010"/>
      <c r="O69" s="3010"/>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11"/>
      <c r="O70" s="3011"/>
      <c r="P70" s="2053"/>
      <c r="Q70" s="1817"/>
    </row>
    <row r="71" spans="1:17" s="1767" customFormat="1" ht="15.75" thickTop="1">
      <c r="A71" s="1865"/>
      <c r="B71" s="1854">
        <f>B12</f>
        <v>111</v>
      </c>
      <c r="C71" s="468"/>
      <c r="D71" s="468"/>
      <c r="E71" s="468"/>
      <c r="F71" s="468"/>
      <c r="G71" s="468"/>
      <c r="H71" s="443"/>
      <c r="I71" s="443"/>
      <c r="J71" s="443"/>
      <c r="K71" s="443"/>
      <c r="L71" s="443"/>
      <c r="M71" s="1866"/>
      <c r="N71" s="3012"/>
      <c r="O71" s="3012"/>
      <c r="P71" s="2054"/>
      <c r="Q71" s="1869"/>
    </row>
    <row r="72" spans="1:17" s="1767" customFormat="1" ht="15.75" thickBot="1">
      <c r="A72" s="1865"/>
      <c r="B72" s="1857"/>
      <c r="C72" s="1870"/>
      <c r="D72" s="1851"/>
      <c r="E72" s="1851"/>
      <c r="F72" s="1851"/>
      <c r="G72" s="1851"/>
      <c r="H72" s="1851"/>
      <c r="I72" s="1851"/>
      <c r="J72" s="1851"/>
      <c r="K72" s="1851"/>
      <c r="L72" s="1851"/>
      <c r="M72" s="1852"/>
      <c r="N72" s="3011"/>
      <c r="O72" s="3011"/>
      <c r="P72" s="2054"/>
      <c r="Q72" s="1869"/>
    </row>
    <row r="73" spans="1:17" s="1767" customFormat="1" ht="15.75" thickTop="1">
      <c r="A73" s="1865"/>
      <c r="B73" s="1854">
        <f>B13</f>
        <v>111</v>
      </c>
      <c r="C73" s="468"/>
      <c r="D73" s="468"/>
      <c r="E73" s="468"/>
      <c r="F73" s="468"/>
      <c r="G73" s="468"/>
      <c r="H73" s="443"/>
      <c r="I73" s="443"/>
      <c r="J73" s="443"/>
      <c r="K73" s="443"/>
      <c r="L73" s="443"/>
      <c r="M73" s="1866"/>
      <c r="N73" s="3012"/>
      <c r="O73" s="3012"/>
      <c r="P73" s="2055"/>
      <c r="Q73" s="1872"/>
    </row>
    <row r="74" spans="1:17" s="1767" customFormat="1" ht="15.75" thickBot="1">
      <c r="A74" s="1865"/>
      <c r="B74" s="1857"/>
      <c r="C74" s="1870"/>
      <c r="D74" s="1870"/>
      <c r="E74" s="1870"/>
      <c r="F74" s="1870"/>
      <c r="G74" s="1870"/>
      <c r="H74" s="1873"/>
      <c r="I74" s="1873"/>
      <c r="J74" s="1873"/>
      <c r="K74" s="1873"/>
      <c r="L74" s="1873"/>
      <c r="M74" s="1874"/>
      <c r="N74" s="3012"/>
      <c r="O74" s="3012"/>
      <c r="P74" s="2054"/>
      <c r="Q74" s="1869"/>
    </row>
    <row r="75" spans="1:17" s="1767" customFormat="1" ht="15.75" thickTop="1">
      <c r="A75" s="1865"/>
      <c r="B75" s="1860">
        <f>B14</f>
        <v>111</v>
      </c>
      <c r="C75" s="409"/>
      <c r="D75" s="409"/>
      <c r="E75" s="409"/>
      <c r="F75" s="409"/>
      <c r="G75" s="409"/>
      <c r="H75" s="453"/>
      <c r="I75" s="453"/>
      <c r="J75" s="453"/>
      <c r="K75" s="453"/>
      <c r="L75" s="453"/>
      <c r="M75" s="1875"/>
      <c r="N75" s="3012"/>
      <c r="O75" s="3012"/>
      <c r="P75" s="2054"/>
      <c r="Q75" s="1869"/>
    </row>
    <row r="76" spans="1:17" s="1767" customFormat="1" ht="15.75" thickBot="1">
      <c r="A76" s="1876"/>
      <c r="B76" s="1877"/>
      <c r="C76" s="1878"/>
      <c r="D76" s="1878"/>
      <c r="E76" s="1878"/>
      <c r="F76" s="1878"/>
      <c r="G76" s="1878"/>
      <c r="H76" s="1879"/>
      <c r="I76" s="1879"/>
      <c r="J76" s="1879"/>
      <c r="K76" s="1879"/>
      <c r="L76" s="1879"/>
      <c r="M76" s="1880"/>
      <c r="N76" s="3012"/>
      <c r="O76" s="3012"/>
      <c r="P76" s="2054"/>
      <c r="Q76" s="1869"/>
    </row>
    <row r="77" spans="1:17">
      <c r="A77" s="1842" t="s">
        <v>2267</v>
      </c>
      <c r="B77" s="1843" t="s">
        <v>2393</v>
      </c>
      <c r="C77" s="1881" t="s">
        <v>2306</v>
      </c>
      <c r="D77" s="1881" t="s">
        <v>2307</v>
      </c>
      <c r="E77" s="1881" t="s">
        <v>2308</v>
      </c>
      <c r="F77" s="1881" t="s">
        <v>2309</v>
      </c>
      <c r="G77" s="1881" t="s">
        <v>2310</v>
      </c>
      <c r="H77" s="1844"/>
      <c r="I77" s="1844"/>
      <c r="J77" s="1844"/>
      <c r="K77" s="463"/>
      <c r="L77" s="463"/>
      <c r="M77" s="1882"/>
      <c r="N77" s="3010"/>
      <c r="O77" s="3010"/>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11"/>
      <c r="O78" s="3011"/>
      <c r="P78" s="2053"/>
      <c r="Q78" s="1817"/>
    </row>
    <row r="79" spans="1:17" ht="15.75" thickTop="1">
      <c r="A79" s="1849"/>
      <c r="B79" s="1854" t="s">
        <v>2311</v>
      </c>
      <c r="C79" s="579" t="s">
        <v>2306</v>
      </c>
      <c r="D79" s="579" t="s">
        <v>2307</v>
      </c>
      <c r="E79" s="579" t="s">
        <v>2308</v>
      </c>
      <c r="F79" s="579" t="s">
        <v>2309</v>
      </c>
      <c r="G79" s="579" t="s">
        <v>2310</v>
      </c>
      <c r="H79" s="1855"/>
      <c r="I79" s="1855"/>
      <c r="J79" s="1855"/>
      <c r="K79" s="428"/>
      <c r="L79" s="428"/>
      <c r="M79" s="1856"/>
      <c r="N79" s="3010"/>
      <c r="O79" s="3010"/>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11"/>
      <c r="O80" s="3011"/>
      <c r="P80" s="2053"/>
      <c r="Q80" s="1817"/>
    </row>
    <row r="81" spans="1:17" ht="15.75" thickTop="1">
      <c r="A81" s="1849"/>
      <c r="B81" s="1854" t="s">
        <v>2312</v>
      </c>
      <c r="C81" s="579" t="s">
        <v>2306</v>
      </c>
      <c r="D81" s="579" t="s">
        <v>2307</v>
      </c>
      <c r="E81" s="579" t="s">
        <v>2308</v>
      </c>
      <c r="F81" s="579" t="s">
        <v>2309</v>
      </c>
      <c r="G81" s="579" t="s">
        <v>2310</v>
      </c>
      <c r="H81" s="1855"/>
      <c r="I81" s="1855"/>
      <c r="J81" s="1855"/>
      <c r="K81" s="428"/>
      <c r="L81" s="428"/>
      <c r="M81" s="1856"/>
      <c r="N81" s="3010"/>
      <c r="O81" s="3010"/>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11"/>
      <c r="O82" s="3011"/>
      <c r="P82" s="2053"/>
      <c r="Q82" s="1817"/>
    </row>
    <row r="83" spans="1:17" ht="15.75" thickTop="1">
      <c r="A83" s="1849"/>
      <c r="B83" s="1860" t="s">
        <v>2355</v>
      </c>
      <c r="C83" s="1855" t="s">
        <v>2313</v>
      </c>
      <c r="D83" s="1855" t="s">
        <v>2314</v>
      </c>
      <c r="E83" s="1855" t="s">
        <v>2315</v>
      </c>
      <c r="F83" s="1855" t="s">
        <v>2316</v>
      </c>
      <c r="G83" s="1855" t="s">
        <v>2317</v>
      </c>
      <c r="H83" s="1855"/>
      <c r="I83" s="1855"/>
      <c r="J83" s="1855"/>
      <c r="K83" s="1855"/>
      <c r="L83" s="1855"/>
      <c r="M83" s="1883"/>
      <c r="N83" s="3011"/>
      <c r="O83" s="3011"/>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1"/>
      <c r="N84" s="3011"/>
      <c r="O84" s="3011"/>
      <c r="P84" s="2053"/>
      <c r="Q84" s="1817"/>
    </row>
    <row r="85" spans="1:17" ht="15.75" thickTop="1">
      <c r="A85" s="1849"/>
      <c r="B85" s="1854" t="s">
        <v>2394</v>
      </c>
      <c r="C85" s="579" t="s">
        <v>2306</v>
      </c>
      <c r="D85" s="579" t="s">
        <v>2307</v>
      </c>
      <c r="E85" s="579" t="s">
        <v>2308</v>
      </c>
      <c r="F85" s="579" t="s">
        <v>2309</v>
      </c>
      <c r="G85" s="579" t="s">
        <v>2310</v>
      </c>
      <c r="H85" s="1855"/>
      <c r="I85" s="1855"/>
      <c r="J85" s="1855"/>
      <c r="K85" s="428"/>
      <c r="L85" s="428"/>
      <c r="M85" s="1856"/>
      <c r="N85" s="3010"/>
      <c r="O85" s="3010"/>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11"/>
      <c r="O86" s="3011"/>
      <c r="P86" s="2053"/>
      <c r="Q86" s="1817"/>
    </row>
    <row r="87" spans="1:17" s="1681" customFormat="1" ht="27.75" thickTop="1">
      <c r="A87" s="1885"/>
      <c r="B87" s="1854" t="s">
        <v>2395</v>
      </c>
      <c r="C87" s="468"/>
      <c r="D87" s="468"/>
      <c r="E87" s="468"/>
      <c r="F87" s="468"/>
      <c r="G87" s="468"/>
      <c r="H87" s="468"/>
      <c r="I87" s="468"/>
      <c r="J87" s="468"/>
      <c r="K87" s="468"/>
      <c r="L87" s="468"/>
      <c r="M87" s="1886"/>
      <c r="N87" s="3009"/>
      <c r="O87" s="3009"/>
      <c r="P87" s="2053"/>
      <c r="Q87" s="1817"/>
    </row>
    <row r="88" spans="1:17" s="1681"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11"/>
      <c r="O88" s="3011"/>
      <c r="P88" s="2053"/>
      <c r="Q88" s="1817"/>
    </row>
    <row r="89" spans="1:17" s="1681" customFormat="1" ht="15.75" thickTop="1">
      <c r="A89" s="1885"/>
      <c r="B89" s="1854" t="str">
        <f>B27</f>
        <v>楼层</v>
      </c>
      <c r="C89" s="468"/>
      <c r="D89" s="468"/>
      <c r="E89" s="468"/>
      <c r="F89" s="1888"/>
      <c r="G89" s="468"/>
      <c r="H89" s="468"/>
      <c r="I89" s="468"/>
      <c r="J89" s="468"/>
      <c r="K89" s="468"/>
      <c r="L89" s="468"/>
      <c r="M89" s="1886"/>
      <c r="N89" s="3009"/>
      <c r="O89" s="3009"/>
      <c r="P89" s="2053"/>
      <c r="Q89" s="1817"/>
    </row>
    <row r="90" spans="1:17" s="1681"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11"/>
      <c r="O90" s="3011"/>
      <c r="P90" s="2053"/>
      <c r="Q90" s="1817"/>
    </row>
    <row r="91" spans="1:17" s="1767" customFormat="1" ht="15.75" thickTop="1">
      <c r="A91" s="1865"/>
      <c r="B91" s="1854" t="str">
        <f>B28</f>
        <v>朝向</v>
      </c>
      <c r="C91" s="468"/>
      <c r="D91" s="468"/>
      <c r="E91" s="468"/>
      <c r="F91" s="468"/>
      <c r="G91" s="468"/>
      <c r="H91" s="443"/>
      <c r="I91" s="443"/>
      <c r="J91" s="443"/>
      <c r="K91" s="443"/>
      <c r="L91" s="443"/>
      <c r="M91" s="1866"/>
      <c r="N91" s="3012"/>
      <c r="O91" s="3012"/>
      <c r="P91" s="2054"/>
      <c r="Q91" s="1869"/>
    </row>
    <row r="92" spans="1:17" s="1767"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12"/>
      <c r="O92" s="3012"/>
      <c r="P92" s="2054"/>
      <c r="Q92" s="1869"/>
    </row>
    <row r="93" spans="1:17" ht="15.75" thickTop="1">
      <c r="A93" s="1849"/>
      <c r="B93" s="1854">
        <f>B29</f>
        <v>111</v>
      </c>
      <c r="C93" s="468"/>
      <c r="D93" s="468"/>
      <c r="E93" s="468"/>
      <c r="F93" s="468"/>
      <c r="G93" s="468"/>
      <c r="H93" s="468"/>
      <c r="I93" s="468"/>
      <c r="J93" s="468"/>
      <c r="K93" s="468"/>
      <c r="L93" s="468"/>
      <c r="M93" s="1886"/>
      <c r="N93" s="3010"/>
      <c r="O93" s="3010"/>
      <c r="P93" s="2053"/>
      <c r="Q93" s="1817"/>
    </row>
    <row r="94" spans="1:17" ht="15.75" thickBot="1">
      <c r="A94" s="1849"/>
      <c r="B94" s="1857"/>
      <c r="C94" s="1870"/>
      <c r="D94" s="1851"/>
      <c r="E94" s="1851"/>
      <c r="F94" s="1851"/>
      <c r="G94" s="1851"/>
      <c r="H94" s="1851"/>
      <c r="I94" s="1851"/>
      <c r="J94" s="1851"/>
      <c r="K94" s="1851"/>
      <c r="L94" s="1851"/>
      <c r="M94" s="1852"/>
      <c r="N94" s="3011"/>
      <c r="O94" s="3011"/>
      <c r="P94" s="2053"/>
      <c r="Q94" s="1817"/>
    </row>
    <row r="95" spans="1:17" ht="15.75" thickTop="1">
      <c r="A95" s="1849"/>
      <c r="B95" s="1854">
        <f>B30</f>
        <v>111</v>
      </c>
      <c r="C95" s="468"/>
      <c r="D95" s="468"/>
      <c r="E95" s="468"/>
      <c r="F95" s="468"/>
      <c r="G95" s="1574"/>
      <c r="H95" s="1574"/>
      <c r="I95" s="1574"/>
      <c r="J95" s="1574"/>
      <c r="K95" s="473"/>
      <c r="L95" s="473"/>
      <c r="M95" s="1889"/>
      <c r="N95" s="3010"/>
      <c r="O95" s="3010"/>
      <c r="P95" s="2053"/>
      <c r="Q95" s="1817"/>
    </row>
    <row r="96" spans="1:17" ht="15.75" thickBot="1">
      <c r="A96" s="1849"/>
      <c r="B96" s="1857"/>
      <c r="C96" s="1870"/>
      <c r="D96" s="1870"/>
      <c r="E96" s="1870"/>
      <c r="F96" s="1870"/>
      <c r="G96" s="1851"/>
      <c r="H96" s="1851"/>
      <c r="I96" s="1851"/>
      <c r="J96" s="1851"/>
      <c r="K96" s="1851"/>
      <c r="L96" s="1851"/>
      <c r="M96" s="1852"/>
      <c r="N96" s="3011"/>
      <c r="O96" s="3011"/>
      <c r="P96" s="2053"/>
      <c r="Q96" s="1817"/>
    </row>
    <row r="97" spans="1:17" ht="15.75" thickTop="1">
      <c r="A97" s="1849"/>
      <c r="B97" s="1854">
        <f>B31</f>
        <v>111</v>
      </c>
      <c r="C97" s="468"/>
      <c r="D97" s="468"/>
      <c r="E97" s="468"/>
      <c r="F97" s="468"/>
      <c r="G97" s="1574"/>
      <c r="H97" s="1574"/>
      <c r="I97" s="1574"/>
      <c r="J97" s="1574"/>
      <c r="K97" s="473"/>
      <c r="L97" s="473"/>
      <c r="M97" s="1889"/>
      <c r="N97" s="3010"/>
      <c r="O97" s="3010"/>
      <c r="P97" s="2053"/>
      <c r="Q97" s="1817"/>
    </row>
    <row r="98" spans="1:17" ht="15.75" thickBot="1">
      <c r="A98" s="1849"/>
      <c r="B98" s="1857"/>
      <c r="C98" s="1870"/>
      <c r="D98" s="1851"/>
      <c r="E98" s="1851"/>
      <c r="F98" s="1851"/>
      <c r="G98" s="1851"/>
      <c r="H98" s="1851"/>
      <c r="I98" s="1851"/>
      <c r="J98" s="1851"/>
      <c r="K98" s="1851"/>
      <c r="L98" s="1851"/>
      <c r="M98" s="1852"/>
      <c r="N98" s="3011"/>
      <c r="O98" s="3011"/>
      <c r="P98" s="2053"/>
      <c r="Q98" s="1817"/>
    </row>
    <row r="99" spans="1:17" ht="15.75" thickTop="1">
      <c r="A99" s="1849"/>
      <c r="B99" s="1860">
        <f>B32</f>
        <v>111</v>
      </c>
      <c r="C99" s="409"/>
      <c r="D99" s="409"/>
      <c r="E99" s="409"/>
      <c r="F99" s="409"/>
      <c r="G99" s="1890"/>
      <c r="H99" s="1890"/>
      <c r="I99" s="1890"/>
      <c r="J99" s="1890"/>
      <c r="K99" s="477"/>
      <c r="L99" s="477"/>
      <c r="M99" s="1891"/>
      <c r="N99" s="3010"/>
      <c r="O99" s="3010"/>
      <c r="P99" s="2053"/>
      <c r="Q99" s="1817"/>
    </row>
    <row r="100" spans="1:17" ht="15.75" thickBot="1">
      <c r="A100" s="1892"/>
      <c r="B100" s="1877"/>
      <c r="C100" s="1878"/>
      <c r="D100" s="1878"/>
      <c r="E100" s="1878"/>
      <c r="F100" s="1878"/>
      <c r="G100" s="1893"/>
      <c r="H100" s="1893"/>
      <c r="I100" s="1893"/>
      <c r="J100" s="1893"/>
      <c r="K100" s="1893"/>
      <c r="L100" s="1893"/>
      <c r="M100" s="1894"/>
      <c r="N100" s="3011"/>
      <c r="O100" s="3011"/>
      <c r="P100" s="2053"/>
      <c r="Q100" s="1817"/>
    </row>
    <row r="101" spans="1:17">
      <c r="A101" s="1842" t="s">
        <v>2272</v>
      </c>
      <c r="B101" s="1843" t="s">
        <v>2321</v>
      </c>
      <c r="C101" s="1845"/>
      <c r="D101" s="1845"/>
      <c r="E101" s="1845"/>
      <c r="F101" s="1845"/>
      <c r="G101" s="1845"/>
      <c r="H101" s="1845"/>
      <c r="I101" s="1845"/>
      <c r="J101" s="1845"/>
      <c r="K101" s="417"/>
      <c r="L101" s="417"/>
      <c r="M101" s="1846"/>
      <c r="N101" s="3010"/>
      <c r="O101" s="3010"/>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11"/>
      <c r="O102" s="3011"/>
      <c r="P102" s="2053"/>
      <c r="Q102" s="1817"/>
    </row>
    <row r="103" spans="1:17" ht="15.75" thickTop="1">
      <c r="A103" s="1849"/>
      <c r="B103" s="1854"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9"/>
      <c r="O103" s="3009"/>
      <c r="P103" s="2053"/>
      <c r="Q103" s="1817"/>
    </row>
    <row r="104" spans="1:17" s="1767" customFormat="1">
      <c r="A104" s="1895"/>
      <c r="B104" s="1896"/>
      <c r="C104" s="1897"/>
      <c r="D104" s="1897"/>
      <c r="E104" s="1897"/>
      <c r="F104" s="1897"/>
      <c r="G104" s="1897"/>
      <c r="H104" s="1897"/>
      <c r="I104" s="1897"/>
      <c r="J104" s="485"/>
      <c r="K104" s="485"/>
      <c r="L104" s="485"/>
      <c r="M104" s="1898"/>
      <c r="N104" s="3012"/>
      <c r="O104" s="3012"/>
      <c r="P104" s="2054"/>
      <c r="Q104" s="1869"/>
    </row>
    <row r="105" spans="1:17" s="1767" customFormat="1" ht="15.75" thickBot="1">
      <c r="A105" s="1865"/>
      <c r="B105" s="1857"/>
      <c r="C105" s="1870"/>
      <c r="D105" s="1851"/>
      <c r="E105" s="1851"/>
      <c r="F105" s="1851"/>
      <c r="G105" s="1851"/>
      <c r="H105" s="1851"/>
      <c r="I105" s="1851"/>
      <c r="J105" s="1851"/>
      <c r="K105" s="1851"/>
      <c r="L105" s="1851"/>
      <c r="M105" s="1852"/>
      <c r="N105" s="3011"/>
      <c r="O105" s="3011"/>
      <c r="P105" s="2054"/>
      <c r="Q105" s="1869"/>
    </row>
    <row r="106" spans="1:17" ht="15" thickTop="1">
      <c r="A106" s="1899"/>
      <c r="B106" s="1854" t="s">
        <v>2323</v>
      </c>
      <c r="C106" s="468"/>
      <c r="D106" s="468"/>
      <c r="E106" s="1574"/>
      <c r="F106" s="1574"/>
      <c r="G106" s="1574"/>
      <c r="H106" s="1574"/>
      <c r="I106" s="1574"/>
      <c r="J106" s="1574"/>
      <c r="K106" s="473"/>
      <c r="L106" s="473"/>
      <c r="M106" s="1889"/>
      <c r="N106" s="3010"/>
      <c r="O106" s="3010"/>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11"/>
      <c r="O107" s="3011"/>
      <c r="P107" s="2053"/>
      <c r="Q107" s="1817"/>
    </row>
    <row r="108" spans="1:17" ht="15" thickTop="1">
      <c r="A108" s="1899"/>
      <c r="B108" s="1854" t="s">
        <v>2325</v>
      </c>
      <c r="C108" s="468"/>
      <c r="D108" s="468"/>
      <c r="E108" s="468"/>
      <c r="F108" s="1574"/>
      <c r="G108" s="1574"/>
      <c r="H108" s="1574"/>
      <c r="I108" s="1574"/>
      <c r="J108" s="1574"/>
      <c r="K108" s="473"/>
      <c r="L108" s="473"/>
      <c r="M108" s="1889"/>
      <c r="N108" s="3010"/>
      <c r="O108" s="3010"/>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11"/>
      <c r="O109" s="3011"/>
      <c r="P109" s="2053"/>
      <c r="Q109" s="1817"/>
    </row>
    <row r="110" spans="1:17" ht="15" thickTop="1">
      <c r="A110" s="1899"/>
      <c r="B110" s="1854"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4"/>
      <c r="J110" s="1574"/>
      <c r="K110" s="473"/>
      <c r="L110" s="473"/>
      <c r="M110" s="1889"/>
      <c r="N110" s="3010"/>
      <c r="O110" s="3010"/>
      <c r="P110" s="2053"/>
      <c r="Q110" s="1817"/>
    </row>
    <row r="111" spans="1:17">
      <c r="A111" s="1899"/>
      <c r="B111" s="1860"/>
      <c r="C111" s="1901">
        <v>0.5</v>
      </c>
      <c r="D111" s="1901">
        <v>0.6</v>
      </c>
      <c r="E111" s="1901">
        <v>0.7</v>
      </c>
      <c r="F111" s="1901">
        <v>0.8</v>
      </c>
      <c r="G111" s="1901">
        <v>0.9</v>
      </c>
      <c r="H111" s="1901">
        <v>1</v>
      </c>
      <c r="I111" s="2479"/>
      <c r="J111" s="2479"/>
      <c r="K111" s="508"/>
      <c r="L111" s="508"/>
      <c r="M111" s="2480"/>
      <c r="N111" s="3010"/>
      <c r="O111" s="3010"/>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11"/>
      <c r="O112" s="3011"/>
      <c r="P112" s="2053"/>
      <c r="Q112" s="1817"/>
    </row>
    <row r="113" spans="1:17" s="1767" customFormat="1" ht="15" thickTop="1">
      <c r="A113" s="1895"/>
      <c r="B113" s="1854" t="s">
        <v>2396</v>
      </c>
      <c r="C113" s="468"/>
      <c r="D113" s="468"/>
      <c r="E113" s="468"/>
      <c r="F113" s="468"/>
      <c r="G113" s="468"/>
      <c r="H113" s="1574"/>
      <c r="I113" s="1574"/>
      <c r="J113" s="1574"/>
      <c r="K113" s="473"/>
      <c r="L113" s="473"/>
      <c r="M113" s="1889"/>
      <c r="N113" s="3012"/>
      <c r="O113" s="3012"/>
      <c r="P113" s="2054"/>
      <c r="Q113" s="1869"/>
    </row>
    <row r="114" spans="1:17" s="1767"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12"/>
      <c r="O114" s="3012"/>
      <c r="P114" s="2054"/>
      <c r="Q114" s="1869"/>
    </row>
    <row r="115" spans="1:17" ht="15" thickTop="1">
      <c r="A115" s="1899"/>
      <c r="B115" s="1854" t="s">
        <v>2327</v>
      </c>
      <c r="C115" s="468"/>
      <c r="D115" s="468"/>
      <c r="E115" s="1574"/>
      <c r="F115" s="1574"/>
      <c r="G115" s="1574"/>
      <c r="H115" s="1574"/>
      <c r="I115" s="1574"/>
      <c r="J115" s="1574"/>
      <c r="K115" s="473"/>
      <c r="L115" s="473"/>
      <c r="M115" s="1889"/>
      <c r="N115" s="3010"/>
      <c r="O115" s="3010"/>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11"/>
      <c r="O116" s="3011"/>
      <c r="P116" s="2053"/>
      <c r="Q116" s="1817"/>
    </row>
    <row r="117" spans="1:17" ht="15" thickTop="1">
      <c r="A117" s="1899"/>
      <c r="B117" s="1854" t="s">
        <v>2328</v>
      </c>
      <c r="C117" s="468"/>
      <c r="D117" s="468"/>
      <c r="E117" s="468"/>
      <c r="F117" s="468"/>
      <c r="G117" s="468"/>
      <c r="H117" s="1574"/>
      <c r="I117" s="1574"/>
      <c r="J117" s="1574"/>
      <c r="K117" s="473"/>
      <c r="L117" s="473"/>
      <c r="M117" s="1889"/>
      <c r="N117" s="3010"/>
      <c r="O117" s="3010"/>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11"/>
      <c r="O118" s="3011"/>
      <c r="P118" s="2053"/>
      <c r="Q118" s="1817"/>
    </row>
    <row r="119" spans="1:17" ht="15" thickTop="1">
      <c r="A119" s="1899"/>
      <c r="B119" s="2501" t="s">
        <v>2397</v>
      </c>
      <c r="C119" s="1574"/>
      <c r="D119" s="1574"/>
      <c r="E119" s="1574"/>
      <c r="F119" s="1574"/>
      <c r="G119" s="1574"/>
      <c r="H119" s="1574"/>
      <c r="I119" s="1574"/>
      <c r="J119" s="1574"/>
      <c r="K119" s="1574"/>
      <c r="L119" s="1574"/>
      <c r="M119" s="2502"/>
      <c r="N119" s="3011"/>
      <c r="O119" s="3011"/>
      <c r="P119" s="2503"/>
      <c r="Q119" s="2504"/>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11"/>
      <c r="O120" s="3011"/>
      <c r="P120" s="2053"/>
      <c r="Q120" s="1817"/>
    </row>
    <row r="121" spans="1:17" s="1767" customFormat="1" ht="15" thickTop="1">
      <c r="A121" s="1895"/>
      <c r="B121" s="1854" t="s">
        <v>2379</v>
      </c>
      <c r="C121" s="468"/>
      <c r="D121" s="468"/>
      <c r="E121" s="468"/>
      <c r="F121" s="1574"/>
      <c r="G121" s="443"/>
      <c r="H121" s="443"/>
      <c r="I121" s="443"/>
      <c r="J121" s="443"/>
      <c r="K121" s="443"/>
      <c r="L121" s="443"/>
      <c r="M121" s="1866"/>
      <c r="N121" s="3012"/>
      <c r="O121" s="3012"/>
      <c r="P121" s="2054"/>
      <c r="Q121" s="1869"/>
    </row>
    <row r="122" spans="1:17" s="1767" customFormat="1" ht="15.75" thickBot="1">
      <c r="A122" s="1865"/>
      <c r="B122" s="1850"/>
      <c r="C122" s="1870"/>
      <c r="D122" s="1870"/>
      <c r="E122" s="1870"/>
      <c r="F122" s="1870"/>
      <c r="G122" s="1870"/>
      <c r="H122" s="1870"/>
      <c r="I122" s="1870"/>
      <c r="J122" s="1870"/>
      <c r="K122" s="1870"/>
      <c r="L122" s="1870"/>
      <c r="M122" s="1870"/>
      <c r="N122" s="3012"/>
      <c r="O122" s="3012"/>
      <c r="P122" s="2054"/>
      <c r="Q122" s="1869"/>
    </row>
    <row r="123" spans="1:17" ht="15" thickTop="1">
      <c r="A123" s="1899"/>
      <c r="B123" s="1854" t="s">
        <v>2330</v>
      </c>
      <c r="C123" s="468"/>
      <c r="D123" s="468"/>
      <c r="E123" s="468"/>
      <c r="F123" s="1574"/>
      <c r="G123" s="1574"/>
      <c r="H123" s="1574"/>
      <c r="I123" s="1574"/>
      <c r="J123" s="1574"/>
      <c r="K123" s="473"/>
      <c r="L123" s="473"/>
      <c r="M123" s="1889"/>
      <c r="N123" s="3010"/>
      <c r="O123" s="3010"/>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11"/>
      <c r="O124" s="3011"/>
      <c r="P124" s="2053"/>
      <c r="Q124" s="1817"/>
    </row>
    <row r="125" spans="1:17" ht="15" thickTop="1">
      <c r="A125" s="1899"/>
      <c r="B125" s="1854" t="s">
        <v>2331</v>
      </c>
      <c r="C125" s="579" t="s">
        <v>2306</v>
      </c>
      <c r="D125" s="579" t="s">
        <v>2307</v>
      </c>
      <c r="E125" s="579" t="s">
        <v>2308</v>
      </c>
      <c r="F125" s="579" t="s">
        <v>2309</v>
      </c>
      <c r="G125" s="579" t="s">
        <v>2310</v>
      </c>
      <c r="H125" s="1855"/>
      <c r="I125" s="1855"/>
      <c r="J125" s="1855"/>
      <c r="K125" s="428"/>
      <c r="L125" s="428"/>
      <c r="M125" s="1856"/>
      <c r="N125" s="3010"/>
      <c r="O125" s="3010"/>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11"/>
      <c r="O126" s="3011"/>
      <c r="P126" s="2053"/>
      <c r="Q126" s="1817"/>
    </row>
    <row r="127" spans="1:17" s="1767" customFormat="1" ht="15" thickTop="1">
      <c r="A127" s="1895"/>
      <c r="B127" s="1854">
        <f>B45</f>
        <v>111</v>
      </c>
      <c r="C127" s="468"/>
      <c r="D127" s="468"/>
      <c r="E127" s="468"/>
      <c r="F127" s="468"/>
      <c r="G127" s="468"/>
      <c r="H127" s="443"/>
      <c r="I127" s="443"/>
      <c r="J127" s="443"/>
      <c r="K127" s="443"/>
      <c r="L127" s="443"/>
      <c r="M127" s="1866"/>
      <c r="N127" s="3012"/>
      <c r="O127" s="3012"/>
      <c r="P127" s="2054"/>
      <c r="Q127" s="1869"/>
    </row>
    <row r="128" spans="1:17" s="1767" customFormat="1" ht="15.75" thickBot="1">
      <c r="A128" s="1865"/>
      <c r="B128" s="1857"/>
      <c r="C128" s="1870"/>
      <c r="D128" s="1851"/>
      <c r="E128" s="1851"/>
      <c r="F128" s="1851"/>
      <c r="G128" s="1870"/>
      <c r="H128" s="1873"/>
      <c r="I128" s="1873"/>
      <c r="J128" s="1873"/>
      <c r="K128" s="1873"/>
      <c r="L128" s="1873"/>
      <c r="M128" s="1874"/>
      <c r="N128" s="3012"/>
      <c r="O128" s="3012"/>
      <c r="P128" s="2054"/>
      <c r="Q128" s="1869"/>
    </row>
    <row r="129" spans="1:17" ht="15" thickTop="1">
      <c r="A129" s="1899"/>
      <c r="B129" s="1854">
        <f>B46</f>
        <v>111</v>
      </c>
      <c r="C129" s="468"/>
      <c r="D129" s="468"/>
      <c r="E129" s="468"/>
      <c r="F129" s="468"/>
      <c r="G129" s="1574"/>
      <c r="H129" s="1574"/>
      <c r="I129" s="1574"/>
      <c r="J129" s="1574"/>
      <c r="K129" s="473"/>
      <c r="L129" s="473"/>
      <c r="M129" s="1889"/>
      <c r="N129" s="3010"/>
      <c r="O129" s="3010"/>
      <c r="P129" s="2053"/>
      <c r="Q129" s="1817"/>
    </row>
    <row r="130" spans="1:17" ht="15.75" thickBot="1">
      <c r="A130" s="1849"/>
      <c r="B130" s="1857"/>
      <c r="C130" s="1870"/>
      <c r="D130" s="1870"/>
      <c r="E130" s="1870"/>
      <c r="F130" s="1870"/>
      <c r="G130" s="1851"/>
      <c r="H130" s="1851"/>
      <c r="I130" s="1851"/>
      <c r="J130" s="1851"/>
      <c r="K130" s="1851"/>
      <c r="L130" s="1851"/>
      <c r="M130" s="1852"/>
      <c r="N130" s="3011"/>
      <c r="O130" s="3011"/>
      <c r="P130" s="2053"/>
      <c r="Q130" s="1817"/>
    </row>
    <row r="131" spans="1:17" ht="15" thickTop="1">
      <c r="A131" s="1899"/>
      <c r="B131" s="1860">
        <f>B47</f>
        <v>111</v>
      </c>
      <c r="C131" s="409"/>
      <c r="D131" s="409"/>
      <c r="E131" s="409"/>
      <c r="F131" s="409"/>
      <c r="G131" s="1890"/>
      <c r="H131" s="1890"/>
      <c r="I131" s="1890"/>
      <c r="J131" s="1890"/>
      <c r="K131" s="409"/>
      <c r="L131" s="409"/>
      <c r="M131" s="1891"/>
      <c r="N131" s="3010"/>
      <c r="O131" s="3010"/>
      <c r="P131" s="2053"/>
      <c r="Q131" s="1817"/>
    </row>
    <row r="132" spans="1:17" ht="15.75" thickBot="1">
      <c r="A132" s="2505"/>
      <c r="B132" s="1877"/>
      <c r="C132" s="1878"/>
      <c r="D132" s="1878"/>
      <c r="E132" s="1878"/>
      <c r="F132" s="1878"/>
      <c r="G132" s="1893"/>
      <c r="H132" s="1893"/>
      <c r="I132" s="1893"/>
      <c r="J132" s="1893"/>
      <c r="K132" s="1893"/>
      <c r="L132" s="1893"/>
      <c r="M132" s="1894"/>
      <c r="N132" s="3011"/>
      <c r="O132" s="3011"/>
      <c r="P132" s="2053"/>
      <c r="Q132" s="181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2239</v>
      </c>
      <c r="B1" s="1224" t="s">
        <v>2398</v>
      </c>
      <c r="C1" s="1216"/>
      <c r="D1" s="1229"/>
      <c r="E1" s="1555"/>
      <c r="F1" s="1230" t="s">
        <v>2241</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IF(D2="——",IF(C2="元",ROUND(C43*D3,0),ROUND(C43*D3/10000,0)),IF(C2="元",ROUND(C43*D3,0),ROUND(C43*D3/10000,0))-E2)</f>
        <v>#DIV/0!</v>
      </c>
      <c r="C2" s="79" t="str">
        <f>'数据-取费表'!B3</f>
        <v>元</v>
      </c>
      <c r="D2" s="1556"/>
      <c r="E2" s="1575" t="e">
        <f ca="1">SUMIF(INDIRECT("'"&amp;G2&amp;"'"&amp;"!A:A"),"承租人权益价值",INDIRECT("'"&amp;G2&amp;"'"&amp;"!c:c"))</f>
        <v>#REF!</v>
      </c>
      <c r="F2" s="1557" t="str">
        <f>C2</f>
        <v>元</v>
      </c>
      <c r="G2" s="1558"/>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2242</v>
      </c>
      <c r="D3" s="292">
        <f>IF(C1="仅计算典型户型",'数据-取费表'!E5,'数据-取费表'!B5)</f>
        <v>732.34</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2243</v>
      </c>
      <c r="B4" s="295"/>
      <c r="C4" s="3525" t="s">
        <v>2244</v>
      </c>
      <c r="D4" s="3526"/>
      <c r="E4" s="3527" t="s">
        <v>2245</v>
      </c>
      <c r="F4" s="3528"/>
      <c r="G4" s="3525" t="s">
        <v>2246</v>
      </c>
      <c r="H4" s="3526"/>
      <c r="I4" s="3525" t="s">
        <v>2247</v>
      </c>
      <c r="J4" s="3526"/>
      <c r="K4" s="496" t="s">
        <v>2248</v>
      </c>
      <c r="L4" s="3019"/>
      <c r="M4" s="3020"/>
      <c r="N4" s="3020"/>
      <c r="O4" s="3020"/>
      <c r="P4" s="3529" t="s">
        <v>2249</v>
      </c>
      <c r="Q4" s="3530"/>
      <c r="R4" s="3535" t="s">
        <v>2245</v>
      </c>
      <c r="S4" s="3536"/>
      <c r="T4" s="3535" t="s">
        <v>2246</v>
      </c>
      <c r="U4" s="3536"/>
      <c r="V4" s="3541" t="s">
        <v>2247</v>
      </c>
      <c r="W4" s="3541"/>
      <c r="X4" s="1333"/>
      <c r="Y4" s="3535" t="s">
        <v>2249</v>
      </c>
      <c r="Z4" s="3536"/>
      <c r="AA4" s="3522" t="s">
        <v>2245</v>
      </c>
      <c r="AB4" s="3523" t="s">
        <v>2246</v>
      </c>
      <c r="AC4" s="3522" t="s">
        <v>2247</v>
      </c>
    </row>
    <row r="5" spans="1:29" ht="15">
      <c r="A5" s="297"/>
      <c r="B5" s="298"/>
      <c r="C5" s="3518" t="s">
        <v>2250</v>
      </c>
      <c r="D5" s="3519"/>
      <c r="E5" s="3542" t="s">
        <v>2251</v>
      </c>
      <c r="F5" s="3543"/>
      <c r="G5" s="3518" t="s">
        <v>2252</v>
      </c>
      <c r="H5" s="3519"/>
      <c r="I5" s="3518" t="s">
        <v>2253</v>
      </c>
      <c r="J5" s="3519"/>
      <c r="K5" s="496"/>
      <c r="L5" s="3019"/>
      <c r="M5" s="3020"/>
      <c r="N5" s="3020"/>
      <c r="O5" s="3020"/>
      <c r="P5" s="3531"/>
      <c r="Q5" s="3532"/>
      <c r="R5" s="3537"/>
      <c r="S5" s="3538"/>
      <c r="T5" s="3537"/>
      <c r="U5" s="3538"/>
      <c r="V5" s="3541"/>
      <c r="W5" s="3541"/>
      <c r="X5" s="1333"/>
      <c r="Y5" s="3537"/>
      <c r="Z5" s="3538"/>
      <c r="AA5" s="3523"/>
      <c r="AB5" s="3523"/>
      <c r="AC5" s="3523"/>
    </row>
    <row r="6" spans="1:29" ht="15.75" thickBot="1">
      <c r="A6" s="299"/>
      <c r="B6" s="300"/>
      <c r="C6" s="3515" t="s">
        <v>2254</v>
      </c>
      <c r="D6" s="3516"/>
      <c r="E6" s="3513" t="s">
        <v>2254</v>
      </c>
      <c r="F6" s="3514"/>
      <c r="G6" s="3515" t="s">
        <v>2254</v>
      </c>
      <c r="H6" s="3516"/>
      <c r="I6" s="3515" t="s">
        <v>2254</v>
      </c>
      <c r="J6" s="3516"/>
      <c r="K6" s="496" t="s">
        <v>2255</v>
      </c>
      <c r="L6" s="3019"/>
      <c r="M6" s="3020"/>
      <c r="N6" s="3020"/>
      <c r="O6" s="3020"/>
      <c r="P6" s="3533"/>
      <c r="Q6" s="3534"/>
      <c r="R6" s="3537"/>
      <c r="S6" s="3538"/>
      <c r="T6" s="3539"/>
      <c r="U6" s="3540"/>
      <c r="V6" s="3541"/>
      <c r="W6" s="3541"/>
      <c r="X6" s="1333"/>
      <c r="Y6" s="3539"/>
      <c r="Z6" s="3540"/>
      <c r="AA6" s="3524"/>
      <c r="AB6" s="3524"/>
      <c r="AC6" s="3524"/>
    </row>
    <row r="7" spans="1:29" s="25" customFormat="1" ht="15.75" thickBot="1">
      <c r="A7" s="301" t="s">
        <v>2256</v>
      </c>
      <c r="B7" s="302"/>
      <c r="C7" s="303">
        <f>'数据-取费表'!B2</f>
        <v>44333</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20" t="s">
        <v>2257</v>
      </c>
      <c r="Q7" s="3544"/>
      <c r="R7" s="627" t="s">
        <v>25</v>
      </c>
      <c r="S7" s="628">
        <f t="shared" ref="S7:S15" si="0">F7</f>
        <v>0</v>
      </c>
      <c r="T7" s="627" t="s">
        <v>25</v>
      </c>
      <c r="U7" s="628">
        <f t="shared" ref="U7:U15" si="1">H7</f>
        <v>0</v>
      </c>
      <c r="V7" s="627" t="s">
        <v>25</v>
      </c>
      <c r="W7" s="628">
        <f t="shared" ref="W7:W15" si="2">J7</f>
        <v>0</v>
      </c>
      <c r="X7" s="629"/>
      <c r="Y7" s="3520" t="s">
        <v>2257</v>
      </c>
      <c r="Z7" s="3521"/>
      <c r="AA7" s="630" t="e">
        <f>D7/F7</f>
        <v>#DIV/0!</v>
      </c>
      <c r="AB7" s="630" t="e">
        <f>D7/H7</f>
        <v>#DIV/0!</v>
      </c>
      <c r="AC7" s="630" t="e">
        <f>D7/J7</f>
        <v>#DIV/0!</v>
      </c>
    </row>
    <row r="8" spans="1:29" s="25" customFormat="1" ht="15.75" thickBot="1">
      <c r="A8" s="301" t="s">
        <v>2258</v>
      </c>
      <c r="B8" s="302"/>
      <c r="C8" s="307" t="s">
        <v>2881</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20" t="s">
        <v>2260</v>
      </c>
      <c r="Q8" s="3521"/>
      <c r="R8" s="627" t="s">
        <v>25</v>
      </c>
      <c r="S8" s="628">
        <f t="shared" si="0"/>
        <v>0</v>
      </c>
      <c r="T8" s="627" t="s">
        <v>25</v>
      </c>
      <c r="U8" s="628">
        <f t="shared" si="1"/>
        <v>0</v>
      </c>
      <c r="V8" s="627" t="s">
        <v>25</v>
      </c>
      <c r="W8" s="628">
        <f t="shared" si="2"/>
        <v>0</v>
      </c>
      <c r="X8" s="629"/>
      <c r="Y8" s="3520" t="s">
        <v>2260</v>
      </c>
      <c r="Z8" s="3521"/>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17" t="s">
        <v>2263</v>
      </c>
      <c r="Q9" s="1325" t="str">
        <f t="shared" ref="Q9:Q15" si="6">B9</f>
        <v>用途</v>
      </c>
      <c r="R9" s="627" t="s">
        <v>25</v>
      </c>
      <c r="S9" s="628">
        <f t="shared" si="0"/>
        <v>100</v>
      </c>
      <c r="T9" s="627" t="s">
        <v>25</v>
      </c>
      <c r="U9" s="628">
        <f t="shared" si="1"/>
        <v>100</v>
      </c>
      <c r="V9" s="627" t="s">
        <v>25</v>
      </c>
      <c r="W9" s="628">
        <f t="shared" si="2"/>
        <v>100</v>
      </c>
      <c r="X9" s="629"/>
      <c r="Y9" s="3547"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17"/>
      <c r="Q10" s="1325" t="str">
        <f t="shared" si="6"/>
        <v>土地使用年限（年）</v>
      </c>
      <c r="R10" s="627" t="s">
        <v>25</v>
      </c>
      <c r="S10" s="628">
        <f t="shared" si="0"/>
        <v>100</v>
      </c>
      <c r="T10" s="627" t="s">
        <v>25</v>
      </c>
      <c r="U10" s="628">
        <f t="shared" si="1"/>
        <v>100</v>
      </c>
      <c r="V10" s="627" t="s">
        <v>25</v>
      </c>
      <c r="W10" s="628">
        <f t="shared" si="2"/>
        <v>100</v>
      </c>
      <c r="X10" s="629"/>
      <c r="Y10" s="3547"/>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17"/>
      <c r="Q11" s="1325" t="str">
        <f t="shared" si="6"/>
        <v>容积率</v>
      </c>
      <c r="R11" s="627" t="s">
        <v>25</v>
      </c>
      <c r="S11" s="628" t="e">
        <f t="shared" si="0"/>
        <v>#N/A</v>
      </c>
      <c r="T11" s="627" t="s">
        <v>25</v>
      </c>
      <c r="U11" s="628" t="e">
        <f t="shared" si="1"/>
        <v>#N/A</v>
      </c>
      <c r="V11" s="627" t="s">
        <v>25</v>
      </c>
      <c r="W11" s="628" t="e">
        <f t="shared" si="2"/>
        <v>#N/A</v>
      </c>
      <c r="X11" s="629"/>
      <c r="Y11" s="3547"/>
      <c r="Z11" s="19" t="str">
        <f t="shared" si="7"/>
        <v>容积率</v>
      </c>
      <c r="AA11" s="630" t="e">
        <f t="shared" si="3"/>
        <v>#N/A</v>
      </c>
      <c r="AB11" s="630" t="e">
        <f t="shared" si="4"/>
        <v>#N/A</v>
      </c>
      <c r="AC11" s="630" t="e">
        <f t="shared" si="5"/>
        <v>#N/A</v>
      </c>
    </row>
    <row r="12" spans="1:29" s="25" customFormat="1" ht="15">
      <c r="A12" s="321"/>
      <c r="B12" s="1559">
        <v>111</v>
      </c>
      <c r="C12" s="322"/>
      <c r="D12" s="323">
        <v>100</v>
      </c>
      <c r="E12" s="324"/>
      <c r="F12" s="29">
        <f>SUMIF(64:64,E12,65:65)-SUMIF(64:64,C12,65:65)+100</f>
        <v>100</v>
      </c>
      <c r="G12" s="1576"/>
      <c r="H12" s="29">
        <f>SUMIF(64:64,G12,65:65)-SUMIF(64:64,C12,65:65)+100</f>
        <v>100</v>
      </c>
      <c r="I12" s="357"/>
      <c r="J12" s="29">
        <f>SUMIF(64:64,I12,65:65)-SUMIF(64:64,C12,65:65)+100</f>
        <v>100</v>
      </c>
      <c r="K12" s="499"/>
      <c r="L12" s="3021"/>
      <c r="M12" s="3022"/>
      <c r="N12" s="3022"/>
      <c r="O12" s="3023"/>
      <c r="P12" s="3517"/>
      <c r="Q12" s="1325">
        <f t="shared" si="6"/>
        <v>111</v>
      </c>
      <c r="R12" s="627" t="s">
        <v>25</v>
      </c>
      <c r="S12" s="628">
        <f t="shared" si="0"/>
        <v>100</v>
      </c>
      <c r="T12" s="627" t="s">
        <v>25</v>
      </c>
      <c r="U12" s="628">
        <f t="shared" si="1"/>
        <v>100</v>
      </c>
      <c r="V12" s="627" t="s">
        <v>25</v>
      </c>
      <c r="W12" s="628">
        <f t="shared" si="2"/>
        <v>100</v>
      </c>
      <c r="X12" s="629"/>
      <c r="Y12" s="3547"/>
      <c r="Z12" s="19">
        <f t="shared" si="7"/>
        <v>111</v>
      </c>
      <c r="AA12" s="630">
        <f>D12/F12</f>
        <v>1</v>
      </c>
      <c r="AB12" s="630">
        <f>D12/H12</f>
        <v>1</v>
      </c>
      <c r="AC12" s="630">
        <f>D12/J12</f>
        <v>1</v>
      </c>
    </row>
    <row r="13" spans="1:29" ht="15">
      <c r="A13" s="318"/>
      <c r="B13" s="1559">
        <v>111</v>
      </c>
      <c r="C13" s="324"/>
      <c r="D13" s="325">
        <v>100</v>
      </c>
      <c r="E13" s="324"/>
      <c r="F13" s="29">
        <f>SUMIF(66:66,E13,67:67)-SUMIF(66:66,C13,67:67)+100</f>
        <v>100</v>
      </c>
      <c r="G13" s="1576"/>
      <c r="H13" s="325">
        <f>SUMIF(66:66,G13,67:67)-SUMIF(66:66,C13,67:67)+100</f>
        <v>100</v>
      </c>
      <c r="I13" s="357"/>
      <c r="J13" s="325">
        <f>SUMIF(66:66,I13,67:67)-SUMIF(66:66,C13,67:67)+100</f>
        <v>100</v>
      </c>
      <c r="K13" s="499"/>
      <c r="L13" s="3029"/>
      <c r="M13" s="3020"/>
      <c r="N13" s="3020"/>
      <c r="O13" s="3028"/>
      <c r="P13" s="3517"/>
      <c r="Q13" s="1325">
        <f t="shared" si="6"/>
        <v>111</v>
      </c>
      <c r="R13" s="627" t="s">
        <v>25</v>
      </c>
      <c r="S13" s="628">
        <f t="shared" si="0"/>
        <v>100</v>
      </c>
      <c r="T13" s="627" t="s">
        <v>25</v>
      </c>
      <c r="U13" s="628">
        <f t="shared" si="1"/>
        <v>100</v>
      </c>
      <c r="V13" s="627" t="s">
        <v>25</v>
      </c>
      <c r="W13" s="628">
        <f t="shared" si="2"/>
        <v>100</v>
      </c>
      <c r="X13" s="629"/>
      <c r="Y13" s="3547"/>
      <c r="Z13" s="19">
        <f t="shared" si="7"/>
        <v>111</v>
      </c>
      <c r="AA13" s="630">
        <f t="shared" si="3"/>
        <v>1</v>
      </c>
      <c r="AB13" s="630">
        <f t="shared" si="4"/>
        <v>1</v>
      </c>
      <c r="AC13" s="630">
        <f t="shared" si="5"/>
        <v>1</v>
      </c>
    </row>
    <row r="14" spans="1:29" ht="15.75" thickBot="1">
      <c r="A14" s="326"/>
      <c r="B14" s="1560">
        <v>111</v>
      </c>
      <c r="C14" s="1561"/>
      <c r="D14" s="327">
        <v>100</v>
      </c>
      <c r="E14" s="1561"/>
      <c r="F14" s="327">
        <f>SUMIF(68:68,E14,69:69)-SUMIF(68:68,C14,69:69)+100</f>
        <v>100</v>
      </c>
      <c r="G14" s="1576"/>
      <c r="H14" s="327">
        <f>SUMIF(68:68,G14,69:69)-SUMIF(68:68,C14,69:69)+100</f>
        <v>100</v>
      </c>
      <c r="I14" s="357"/>
      <c r="J14" s="327">
        <f>SUMIF(68:68,I14,69:69)-SUMIF(68:68,C14,69:69)+100</f>
        <v>100</v>
      </c>
      <c r="K14" s="499"/>
      <c r="L14" s="3029"/>
      <c r="M14" s="3020"/>
      <c r="N14" s="3020"/>
      <c r="O14" s="3028"/>
      <c r="P14" s="3517"/>
      <c r="Q14" s="1325">
        <f t="shared" si="6"/>
        <v>111</v>
      </c>
      <c r="R14" s="627" t="s">
        <v>25</v>
      </c>
      <c r="S14" s="628">
        <f t="shared" si="0"/>
        <v>100</v>
      </c>
      <c r="T14" s="627" t="s">
        <v>25</v>
      </c>
      <c r="U14" s="628">
        <f t="shared" si="1"/>
        <v>100</v>
      </c>
      <c r="V14" s="627" t="s">
        <v>25</v>
      </c>
      <c r="W14" s="628">
        <f t="shared" si="2"/>
        <v>100</v>
      </c>
      <c r="X14" s="629"/>
      <c r="Y14" s="3547"/>
      <c r="Z14" s="19">
        <f t="shared" si="7"/>
        <v>111</v>
      </c>
      <c r="AA14" s="630">
        <f t="shared" si="3"/>
        <v>1</v>
      </c>
      <c r="AB14" s="630">
        <f t="shared" si="4"/>
        <v>1</v>
      </c>
      <c r="AC14" s="630">
        <f t="shared" si="5"/>
        <v>1</v>
      </c>
    </row>
    <row r="15" spans="1:29" ht="57">
      <c r="A15" s="329" t="s">
        <v>2267</v>
      </c>
      <c r="B15" s="22" t="s">
        <v>2399</v>
      </c>
      <c r="C15" s="1577"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545" t="s">
        <v>2268</v>
      </c>
      <c r="Q15" s="1332" t="str">
        <f t="shared" si="6"/>
        <v>产业集聚程度</v>
      </c>
      <c r="R15" s="631" t="s">
        <v>25</v>
      </c>
      <c r="S15" s="632">
        <f t="shared" si="0"/>
        <v>100</v>
      </c>
      <c r="T15" s="631" t="s">
        <v>25</v>
      </c>
      <c r="U15" s="632">
        <f t="shared" si="1"/>
        <v>100</v>
      </c>
      <c r="V15" s="631" t="s">
        <v>25</v>
      </c>
      <c r="W15" s="632">
        <f t="shared" si="2"/>
        <v>100</v>
      </c>
      <c r="X15" s="1333"/>
      <c r="Y15" s="3545" t="s">
        <v>2268</v>
      </c>
      <c r="Z15" s="1334" t="str">
        <f t="shared" si="7"/>
        <v>产业集聚程度</v>
      </c>
      <c r="AA15" s="1335">
        <f t="shared" si="3"/>
        <v>1</v>
      </c>
      <c r="AB15" s="1335">
        <f t="shared" si="4"/>
        <v>1</v>
      </c>
      <c r="AC15" s="1335">
        <f t="shared" si="5"/>
        <v>1</v>
      </c>
    </row>
    <row r="16" spans="1:29" ht="15">
      <c r="A16" s="318"/>
      <c r="B16" s="334"/>
      <c r="C16" s="335"/>
      <c r="D16" s="336"/>
      <c r="E16" s="335"/>
      <c r="F16" s="338"/>
      <c r="G16" s="335"/>
      <c r="H16" s="339"/>
      <c r="I16" s="335"/>
      <c r="J16" s="336"/>
      <c r="K16" s="501"/>
      <c r="L16" s="3029"/>
      <c r="M16" s="3020"/>
      <c r="N16" s="3020"/>
      <c r="O16" s="3028"/>
      <c r="P16" s="3546"/>
      <c r="Q16" s="1332"/>
      <c r="R16" s="631"/>
      <c r="S16" s="632"/>
      <c r="T16" s="631"/>
      <c r="U16" s="632"/>
      <c r="V16" s="631"/>
      <c r="W16" s="632"/>
      <c r="X16" s="1333"/>
      <c r="Y16" s="3546"/>
      <c r="Z16" s="1334"/>
      <c r="AA16" s="1335">
        <v>1</v>
      </c>
      <c r="AB16" s="1335">
        <v>1</v>
      </c>
      <c r="AC16" s="1335">
        <v>1</v>
      </c>
    </row>
    <row r="17" spans="1:29" ht="85.5">
      <c r="A17" s="318"/>
      <c r="B17" s="340" t="s">
        <v>1706</v>
      </c>
      <c r="C17" s="1563"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46"/>
      <c r="Q17" s="1332" t="str">
        <f>B17</f>
        <v>交通便捷度</v>
      </c>
      <c r="R17" s="631" t="s">
        <v>25</v>
      </c>
      <c r="S17" s="632">
        <f>F17</f>
        <v>100</v>
      </c>
      <c r="T17" s="631" t="s">
        <v>25</v>
      </c>
      <c r="U17" s="632">
        <f>H17</f>
        <v>100</v>
      </c>
      <c r="V17" s="631" t="s">
        <v>25</v>
      </c>
      <c r="W17" s="632">
        <f>J17</f>
        <v>100</v>
      </c>
      <c r="X17" s="1333"/>
      <c r="Y17" s="3546"/>
      <c r="Z17" s="1334" t="str">
        <f>Q17</f>
        <v>交通便捷度</v>
      </c>
      <c r="AA17" s="1335">
        <f t="shared" si="3"/>
        <v>1</v>
      </c>
      <c r="AB17" s="1335">
        <f t="shared" si="4"/>
        <v>1</v>
      </c>
      <c r="AC17" s="1335">
        <f t="shared" si="5"/>
        <v>1</v>
      </c>
    </row>
    <row r="18" spans="1:29" ht="15">
      <c r="A18" s="318"/>
      <c r="B18" s="345"/>
      <c r="C18" s="346"/>
      <c r="D18" s="339"/>
      <c r="E18" s="1129"/>
      <c r="F18" s="342"/>
      <c r="G18" s="1564"/>
      <c r="H18" s="336"/>
      <c r="I18" s="1129"/>
      <c r="J18" s="336"/>
      <c r="K18" s="501"/>
      <c r="L18" s="3029"/>
      <c r="M18" s="3020"/>
      <c r="N18" s="3020"/>
      <c r="O18" s="3028"/>
      <c r="P18" s="3546"/>
      <c r="Q18" s="1332"/>
      <c r="R18" s="631"/>
      <c r="S18" s="632"/>
      <c r="T18" s="631"/>
      <c r="U18" s="632"/>
      <c r="V18" s="631"/>
      <c r="W18" s="632"/>
      <c r="X18" s="1333"/>
      <c r="Y18" s="3546"/>
      <c r="Z18" s="1334"/>
      <c r="AA18" s="1335">
        <v>1</v>
      </c>
      <c r="AB18" s="1335">
        <v>1</v>
      </c>
      <c r="AC18" s="1335">
        <v>1</v>
      </c>
    </row>
    <row r="19" spans="1:29" ht="42.75">
      <c r="A19" s="318"/>
      <c r="B19" s="513" t="s">
        <v>2383</v>
      </c>
      <c r="C19" s="1563"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46"/>
      <c r="Q19" s="1332" t="str">
        <f>B19</f>
        <v>公共配套设施</v>
      </c>
      <c r="R19" s="631" t="s">
        <v>25</v>
      </c>
      <c r="S19" s="632">
        <f>F19</f>
        <v>100</v>
      </c>
      <c r="T19" s="631" t="s">
        <v>25</v>
      </c>
      <c r="U19" s="632">
        <f>H19</f>
        <v>100</v>
      </c>
      <c r="V19" s="631" t="s">
        <v>25</v>
      </c>
      <c r="W19" s="632">
        <f>J19</f>
        <v>100</v>
      </c>
      <c r="X19" s="1333"/>
      <c r="Y19" s="3546"/>
      <c r="Z19" s="1334" t="str">
        <f>Q19</f>
        <v>公共配套设施</v>
      </c>
      <c r="AA19" s="1335">
        <f t="shared" si="3"/>
        <v>1</v>
      </c>
      <c r="AB19" s="1335">
        <f t="shared" si="4"/>
        <v>1</v>
      </c>
      <c r="AC19" s="1335">
        <f t="shared" si="5"/>
        <v>1</v>
      </c>
    </row>
    <row r="20" spans="1:29" ht="15">
      <c r="A20" s="318"/>
      <c r="B20" s="514"/>
      <c r="C20" s="335"/>
      <c r="D20" s="336"/>
      <c r="E20" s="337"/>
      <c r="F20" s="338"/>
      <c r="G20" s="1562"/>
      <c r="H20" s="336"/>
      <c r="I20" s="337"/>
      <c r="J20" s="336"/>
      <c r="K20" s="501"/>
      <c r="L20" s="3029"/>
      <c r="M20" s="3020"/>
      <c r="N20" s="3020"/>
      <c r="O20" s="3028"/>
      <c r="P20" s="3546"/>
      <c r="Q20" s="1332"/>
      <c r="R20" s="631"/>
      <c r="S20" s="632"/>
      <c r="T20" s="631"/>
      <c r="U20" s="632"/>
      <c r="V20" s="631"/>
      <c r="W20" s="632"/>
      <c r="X20" s="1333"/>
      <c r="Y20" s="3546"/>
      <c r="Z20" s="1334"/>
      <c r="AA20" s="1335">
        <v>1</v>
      </c>
      <c r="AB20" s="1335">
        <v>1</v>
      </c>
      <c r="AC20" s="1335">
        <v>1</v>
      </c>
    </row>
    <row r="21" spans="1:29" ht="28.5">
      <c r="A21" s="318"/>
      <c r="B21" s="515" t="s">
        <v>2384</v>
      </c>
      <c r="C21" s="1563"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46"/>
      <c r="Q21" s="1332" t="str">
        <f>B21</f>
        <v>基础设施水平</v>
      </c>
      <c r="R21" s="631" t="s">
        <v>25</v>
      </c>
      <c r="S21" s="632">
        <f>F21</f>
        <v>100</v>
      </c>
      <c r="T21" s="631" t="s">
        <v>25</v>
      </c>
      <c r="U21" s="632">
        <f>H21</f>
        <v>100</v>
      </c>
      <c r="V21" s="631" t="s">
        <v>25</v>
      </c>
      <c r="W21" s="632">
        <f>J21</f>
        <v>100</v>
      </c>
      <c r="X21" s="1333"/>
      <c r="Y21" s="3546"/>
      <c r="Z21" s="1334" t="str">
        <f>Q21</f>
        <v>基础设施水平</v>
      </c>
      <c r="AA21" s="1335">
        <f t="shared" ref="AA21" si="8">D21/F21</f>
        <v>1</v>
      </c>
      <c r="AB21" s="1335">
        <f t="shared" ref="AB21" si="9">D21/H21</f>
        <v>1</v>
      </c>
      <c r="AC21" s="1335">
        <f t="shared" ref="AC21" si="10">D21/J21</f>
        <v>1</v>
      </c>
    </row>
    <row r="22" spans="1:29" ht="15">
      <c r="A22" s="318"/>
      <c r="B22" s="1565"/>
      <c r="C22" s="346"/>
      <c r="D22" s="336"/>
      <c r="E22" s="335"/>
      <c r="F22" s="338"/>
      <c r="G22" s="335"/>
      <c r="H22" s="336"/>
      <c r="I22" s="335"/>
      <c r="J22" s="336"/>
      <c r="K22" s="1130"/>
      <c r="L22" s="3029"/>
      <c r="M22" s="3020"/>
      <c r="N22" s="3020"/>
      <c r="O22" s="3028"/>
      <c r="P22" s="3546"/>
      <c r="Q22" s="1332"/>
      <c r="R22" s="631"/>
      <c r="S22" s="632"/>
      <c r="T22" s="631"/>
      <c r="U22" s="632"/>
      <c r="V22" s="631"/>
      <c r="W22" s="632"/>
      <c r="X22" s="1333"/>
      <c r="Y22" s="3546"/>
      <c r="Z22" s="1334"/>
      <c r="AA22" s="1335">
        <v>1</v>
      </c>
      <c r="AB22" s="1335">
        <v>1</v>
      </c>
      <c r="AC22" s="1335">
        <v>1</v>
      </c>
    </row>
    <row r="23" spans="1:29" ht="71.25">
      <c r="A23" s="318"/>
      <c r="B23" s="340" t="s">
        <v>2385</v>
      </c>
      <c r="C23" s="1563"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46"/>
      <c r="Q23" s="1332" t="str">
        <f>B23</f>
        <v>环境质量</v>
      </c>
      <c r="R23" s="631" t="s">
        <v>25</v>
      </c>
      <c r="S23" s="632">
        <f>F23</f>
        <v>100</v>
      </c>
      <c r="T23" s="631" t="s">
        <v>25</v>
      </c>
      <c r="U23" s="632">
        <f>H23</f>
        <v>100</v>
      </c>
      <c r="V23" s="631" t="s">
        <v>25</v>
      </c>
      <c r="W23" s="632">
        <f>J23</f>
        <v>100</v>
      </c>
      <c r="X23" s="1333"/>
      <c r="Y23" s="3546"/>
      <c r="Z23" s="1334" t="str">
        <f>Q23</f>
        <v>环境质量</v>
      </c>
      <c r="AA23" s="1335">
        <f t="shared" si="3"/>
        <v>1</v>
      </c>
      <c r="AB23" s="1335">
        <f t="shared" si="4"/>
        <v>1</v>
      </c>
      <c r="AC23" s="1335">
        <f t="shared" si="5"/>
        <v>1</v>
      </c>
    </row>
    <row r="24" spans="1:29" ht="15">
      <c r="A24" s="318"/>
      <c r="B24" s="1565"/>
      <c r="C24" s="335"/>
      <c r="D24" s="336"/>
      <c r="E24" s="337"/>
      <c r="F24" s="338"/>
      <c r="G24" s="1562"/>
      <c r="H24" s="336"/>
      <c r="I24" s="337"/>
      <c r="J24" s="336"/>
      <c r="K24" s="501"/>
      <c r="L24" s="3029"/>
      <c r="M24" s="3020"/>
      <c r="N24" s="3020"/>
      <c r="O24" s="3028"/>
      <c r="P24" s="3546"/>
      <c r="Q24" s="1332"/>
      <c r="R24" s="631"/>
      <c r="S24" s="632"/>
      <c r="T24" s="631"/>
      <c r="U24" s="632"/>
      <c r="V24" s="631"/>
      <c r="W24" s="632"/>
      <c r="X24" s="1333"/>
      <c r="Y24" s="3546"/>
      <c r="Z24" s="1334"/>
      <c r="AA24" s="1335">
        <v>1</v>
      </c>
      <c r="AB24" s="1335">
        <v>1</v>
      </c>
      <c r="AC24" s="1335">
        <v>1</v>
      </c>
    </row>
    <row r="25" spans="1:29" ht="15">
      <c r="A25" s="297"/>
      <c r="B25" s="1567">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46"/>
      <c r="Q25" s="1332">
        <f>B25</f>
        <v>111</v>
      </c>
      <c r="R25" s="631" t="s">
        <v>25</v>
      </c>
      <c r="S25" s="632">
        <f>F25</f>
        <v>100</v>
      </c>
      <c r="T25" s="631" t="s">
        <v>25</v>
      </c>
      <c r="U25" s="632">
        <f>H25</f>
        <v>100</v>
      </c>
      <c r="V25" s="631" t="s">
        <v>25</v>
      </c>
      <c r="W25" s="632">
        <f>J25</f>
        <v>100</v>
      </c>
      <c r="X25" s="1333"/>
      <c r="Y25" s="3546"/>
      <c r="Z25" s="1334">
        <f>Q25</f>
        <v>111</v>
      </c>
      <c r="AA25" s="1335">
        <f t="shared" si="3"/>
        <v>1</v>
      </c>
      <c r="AB25" s="1335">
        <f t="shared" si="4"/>
        <v>1</v>
      </c>
      <c r="AC25" s="1335">
        <f t="shared" si="5"/>
        <v>1</v>
      </c>
    </row>
    <row r="26" spans="1:29" ht="15">
      <c r="A26" s="318"/>
      <c r="B26" s="1567">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46"/>
      <c r="Q26" s="1332">
        <f t="shared" ref="Q26:Q40" si="11">B26</f>
        <v>111</v>
      </c>
      <c r="R26" s="631" t="s">
        <v>25</v>
      </c>
      <c r="S26" s="632">
        <f>F26</f>
        <v>100</v>
      </c>
      <c r="T26" s="631" t="s">
        <v>25</v>
      </c>
      <c r="U26" s="632">
        <f>H26</f>
        <v>100</v>
      </c>
      <c r="V26" s="631" t="s">
        <v>25</v>
      </c>
      <c r="W26" s="632">
        <f>J26</f>
        <v>100</v>
      </c>
      <c r="X26" s="1333"/>
      <c r="Y26" s="3546"/>
      <c r="Z26" s="1334">
        <f>Q26</f>
        <v>111</v>
      </c>
      <c r="AA26" s="1335">
        <f t="shared" si="3"/>
        <v>1</v>
      </c>
      <c r="AB26" s="1335">
        <f t="shared" si="4"/>
        <v>1</v>
      </c>
      <c r="AC26" s="1335">
        <f t="shared" si="5"/>
        <v>1</v>
      </c>
    </row>
    <row r="27" spans="1:29" s="25" customFormat="1" ht="15">
      <c r="A27" s="321"/>
      <c r="B27" s="1567">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46"/>
      <c r="Q27" s="1325">
        <f t="shared" si="11"/>
        <v>111</v>
      </c>
      <c r="R27" s="627" t="s">
        <v>25</v>
      </c>
      <c r="S27" s="628">
        <f>F27</f>
        <v>100</v>
      </c>
      <c r="T27" s="627" t="s">
        <v>25</v>
      </c>
      <c r="U27" s="628">
        <f>H27</f>
        <v>100</v>
      </c>
      <c r="V27" s="627" t="s">
        <v>25</v>
      </c>
      <c r="W27" s="628">
        <f>J27</f>
        <v>100</v>
      </c>
      <c r="X27" s="629"/>
      <c r="Y27" s="3546"/>
      <c r="Z27" s="19">
        <f>Q27</f>
        <v>111</v>
      </c>
      <c r="AA27" s="1335">
        <f>D27/F27</f>
        <v>1</v>
      </c>
      <c r="AB27" s="1335">
        <f>D27/H27</f>
        <v>1</v>
      </c>
      <c r="AC27" s="1335">
        <f>D27/J27</f>
        <v>1</v>
      </c>
    </row>
    <row r="28" spans="1:29" ht="15.75" thickBot="1">
      <c r="A28" s="326"/>
      <c r="B28" s="1567">
        <v>111</v>
      </c>
      <c r="C28" s="1561"/>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46"/>
      <c r="Q28" s="1332">
        <f t="shared" si="11"/>
        <v>111</v>
      </c>
      <c r="R28" s="631" t="s">
        <v>25</v>
      </c>
      <c r="S28" s="632">
        <f t="shared" ref="S28:S40" si="12">F28</f>
        <v>100</v>
      </c>
      <c r="T28" s="631" t="s">
        <v>25</v>
      </c>
      <c r="U28" s="632">
        <f t="shared" ref="U28:U40" si="13">H28</f>
        <v>100</v>
      </c>
      <c r="V28" s="631" t="s">
        <v>25</v>
      </c>
      <c r="W28" s="632">
        <f t="shared" ref="W28:W40" si="14">J28</f>
        <v>100</v>
      </c>
      <c r="X28" s="1333"/>
      <c r="Y28" s="3546"/>
      <c r="Z28" s="1334">
        <f t="shared" ref="Z28:Z40" si="15">Q28</f>
        <v>111</v>
      </c>
      <c r="AA28" s="1335">
        <f t="shared" si="3"/>
        <v>1</v>
      </c>
      <c r="AB28" s="1335">
        <f t="shared" si="4"/>
        <v>1</v>
      </c>
      <c r="AC28" s="1335">
        <f t="shared" si="5"/>
        <v>1</v>
      </c>
    </row>
    <row r="29" spans="1:29" ht="28.5">
      <c r="A29" s="354" t="s">
        <v>2272</v>
      </c>
      <c r="B29" s="24" t="s">
        <v>2388</v>
      </c>
      <c r="C29" s="1573"/>
      <c r="D29" s="355">
        <v>100</v>
      </c>
      <c r="E29" s="1573"/>
      <c r="F29" s="351">
        <f>SUMIF(88:88,E29,89:89)-SUMIF(88:88,C29,89:89)+100</f>
        <v>100</v>
      </c>
      <c r="G29" s="1573"/>
      <c r="H29" s="325">
        <f>SUMIF(88:88,G29,89:89)-SUMIF(88:88,C29,89:89)+100</f>
        <v>100</v>
      </c>
      <c r="I29" s="1573"/>
      <c r="J29" s="355">
        <f>SUMIF(88:88,I29,89:89)-SUMIF(88:88,C29,89:89)+100</f>
        <v>100</v>
      </c>
      <c r="K29" s="498"/>
      <c r="L29" s="3029"/>
      <c r="M29" s="3020"/>
      <c r="N29" s="3020"/>
      <c r="O29" s="3028"/>
      <c r="P29" s="3548" t="s">
        <v>2274</v>
      </c>
      <c r="Q29" s="1332" t="str">
        <f t="shared" si="11"/>
        <v>建筑类型</v>
      </c>
      <c r="R29" s="631" t="s">
        <v>25</v>
      </c>
      <c r="S29" s="632">
        <f t="shared" si="12"/>
        <v>100</v>
      </c>
      <c r="T29" s="631" t="s">
        <v>25</v>
      </c>
      <c r="U29" s="632">
        <f t="shared" si="13"/>
        <v>100</v>
      </c>
      <c r="V29" s="631" t="s">
        <v>25</v>
      </c>
      <c r="W29" s="632">
        <f t="shared" si="14"/>
        <v>100</v>
      </c>
      <c r="X29" s="1333"/>
      <c r="Y29" s="3549" t="s">
        <v>2274</v>
      </c>
      <c r="Z29" s="1334" t="str">
        <f t="shared" si="15"/>
        <v>建筑类型</v>
      </c>
      <c r="AA29" s="1335">
        <f t="shared" si="3"/>
        <v>1</v>
      </c>
      <c r="AB29" s="1335">
        <f t="shared" si="4"/>
        <v>1</v>
      </c>
      <c r="AC29" s="1335">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549"/>
      <c r="Q30" s="633" t="str">
        <f t="shared" si="11"/>
        <v>项目建筑规模</v>
      </c>
      <c r="R30" s="634" t="s">
        <v>25</v>
      </c>
      <c r="S30" s="635" t="e">
        <f t="shared" si="12"/>
        <v>#N/A</v>
      </c>
      <c r="T30" s="634" t="s">
        <v>25</v>
      </c>
      <c r="U30" s="635" t="e">
        <f t="shared" si="13"/>
        <v>#N/A</v>
      </c>
      <c r="V30" s="634" t="s">
        <v>25</v>
      </c>
      <c r="W30" s="635" t="e">
        <f t="shared" si="14"/>
        <v>#N/A</v>
      </c>
      <c r="X30" s="636"/>
      <c r="Y30" s="3549"/>
      <c r="Z30" s="637" t="str">
        <f t="shared" si="15"/>
        <v>项目建筑规模</v>
      </c>
      <c r="AA30" s="1335" t="e">
        <f t="shared" si="3"/>
        <v>#N/A</v>
      </c>
      <c r="AB30" s="1335" t="e">
        <f t="shared" si="4"/>
        <v>#N/A</v>
      </c>
      <c r="AC30" s="1335"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549"/>
      <c r="Q31" s="1332" t="str">
        <f t="shared" si="11"/>
        <v>建筑结构</v>
      </c>
      <c r="R31" s="631" t="s">
        <v>25</v>
      </c>
      <c r="S31" s="632">
        <f t="shared" si="12"/>
        <v>100</v>
      </c>
      <c r="T31" s="631" t="s">
        <v>25</v>
      </c>
      <c r="U31" s="632">
        <f t="shared" si="13"/>
        <v>100</v>
      </c>
      <c r="V31" s="631" t="s">
        <v>25</v>
      </c>
      <c r="W31" s="632">
        <f t="shared" si="14"/>
        <v>100</v>
      </c>
      <c r="X31" s="1333"/>
      <c r="Y31" s="3549"/>
      <c r="Z31" s="1334" t="str">
        <f t="shared" si="15"/>
        <v>建筑结构</v>
      </c>
      <c r="AA31" s="1335">
        <f t="shared" si="3"/>
        <v>1</v>
      </c>
      <c r="AB31" s="1335">
        <f t="shared" si="4"/>
        <v>1</v>
      </c>
      <c r="AC31" s="1335">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549"/>
      <c r="Q32" s="1332" t="str">
        <f t="shared" si="11"/>
        <v>公共部分装修</v>
      </c>
      <c r="R32" s="631" t="s">
        <v>25</v>
      </c>
      <c r="S32" s="632">
        <f t="shared" si="12"/>
        <v>100</v>
      </c>
      <c r="T32" s="631" t="s">
        <v>25</v>
      </c>
      <c r="U32" s="632">
        <f t="shared" si="13"/>
        <v>100</v>
      </c>
      <c r="V32" s="631" t="s">
        <v>25</v>
      </c>
      <c r="W32" s="632">
        <f t="shared" si="14"/>
        <v>100</v>
      </c>
      <c r="X32" s="1333"/>
      <c r="Y32" s="3549"/>
      <c r="Z32" s="1334" t="str">
        <f t="shared" si="15"/>
        <v>公共部分装修</v>
      </c>
      <c r="AA32" s="1335">
        <f t="shared" si="3"/>
        <v>1</v>
      </c>
      <c r="AB32" s="1335">
        <f t="shared" si="4"/>
        <v>1</v>
      </c>
      <c r="AC32" s="1335">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549"/>
      <c r="Q33" s="1332" t="str">
        <f t="shared" si="11"/>
        <v>成新度</v>
      </c>
      <c r="R33" s="631" t="s">
        <v>25</v>
      </c>
      <c r="S33" s="632" t="e">
        <f t="shared" si="12"/>
        <v>#N/A</v>
      </c>
      <c r="T33" s="631" t="s">
        <v>25</v>
      </c>
      <c r="U33" s="632" t="e">
        <f t="shared" si="13"/>
        <v>#N/A</v>
      </c>
      <c r="V33" s="631" t="s">
        <v>25</v>
      </c>
      <c r="W33" s="632" t="e">
        <f t="shared" si="14"/>
        <v>#N/A</v>
      </c>
      <c r="X33" s="1333"/>
      <c r="Y33" s="3549"/>
      <c r="Z33" s="1334" t="str">
        <f t="shared" si="15"/>
        <v>成新度</v>
      </c>
      <c r="AA33" s="1335" t="e">
        <f t="shared" si="3"/>
        <v>#N/A</v>
      </c>
      <c r="AB33" s="1335" t="e">
        <f t="shared" si="4"/>
        <v>#N/A</v>
      </c>
      <c r="AC33" s="1335"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549"/>
      <c r="Q34" s="1325" t="str">
        <f t="shared" si="11"/>
        <v>物业管理</v>
      </c>
      <c r="R34" s="627" t="s">
        <v>25</v>
      </c>
      <c r="S34" s="628">
        <f t="shared" si="12"/>
        <v>100</v>
      </c>
      <c r="T34" s="627" t="s">
        <v>25</v>
      </c>
      <c r="U34" s="628">
        <f t="shared" si="13"/>
        <v>100</v>
      </c>
      <c r="V34" s="627" t="s">
        <v>25</v>
      </c>
      <c r="W34" s="628">
        <f t="shared" si="14"/>
        <v>100</v>
      </c>
      <c r="X34" s="629"/>
      <c r="Y34" s="3549"/>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549" t="s">
        <v>2274</v>
      </c>
      <c r="Q35" s="1332" t="str">
        <f t="shared" si="11"/>
        <v>市政基础设施</v>
      </c>
      <c r="R35" s="631" t="s">
        <v>25</v>
      </c>
      <c r="S35" s="632">
        <f t="shared" si="12"/>
        <v>100</v>
      </c>
      <c r="T35" s="631" t="s">
        <v>25</v>
      </c>
      <c r="U35" s="632">
        <f t="shared" si="13"/>
        <v>100</v>
      </c>
      <c r="V35" s="631" t="s">
        <v>25</v>
      </c>
      <c r="W35" s="632">
        <f t="shared" si="14"/>
        <v>100</v>
      </c>
      <c r="X35" s="1333"/>
      <c r="Y35" s="3549" t="s">
        <v>2274</v>
      </c>
      <c r="Z35" s="1334" t="str">
        <f t="shared" si="15"/>
        <v>市政基础设施</v>
      </c>
      <c r="AA35" s="1335">
        <f t="shared" si="3"/>
        <v>1</v>
      </c>
      <c r="AB35" s="1335">
        <f t="shared" si="4"/>
        <v>1</v>
      </c>
      <c r="AC35" s="1335">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549"/>
      <c r="Q36" s="1332" t="str">
        <f t="shared" si="11"/>
        <v>内部装修</v>
      </c>
      <c r="R36" s="631" t="s">
        <v>25</v>
      </c>
      <c r="S36" s="632">
        <f t="shared" si="12"/>
        <v>100</v>
      </c>
      <c r="T36" s="631" t="s">
        <v>25</v>
      </c>
      <c r="U36" s="632">
        <f t="shared" si="13"/>
        <v>100</v>
      </c>
      <c r="V36" s="631" t="s">
        <v>25</v>
      </c>
      <c r="W36" s="632">
        <f t="shared" si="14"/>
        <v>100</v>
      </c>
      <c r="X36" s="1333"/>
      <c r="Y36" s="3549"/>
      <c r="Z36" s="1334" t="str">
        <f t="shared" si="15"/>
        <v>内部装修</v>
      </c>
      <c r="AA36" s="1335">
        <f t="shared" si="3"/>
        <v>1</v>
      </c>
      <c r="AB36" s="1335">
        <f t="shared" si="4"/>
        <v>1</v>
      </c>
      <c r="AC36" s="1335">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549"/>
      <c r="Q37" s="1332" t="str">
        <f t="shared" si="11"/>
        <v>内部装修状况</v>
      </c>
      <c r="R37" s="631" t="s">
        <v>25</v>
      </c>
      <c r="S37" s="632">
        <f t="shared" si="12"/>
        <v>100</v>
      </c>
      <c r="T37" s="631" t="s">
        <v>25</v>
      </c>
      <c r="U37" s="632">
        <f t="shared" si="13"/>
        <v>100</v>
      </c>
      <c r="V37" s="631" t="s">
        <v>25</v>
      </c>
      <c r="W37" s="632">
        <f t="shared" si="14"/>
        <v>100</v>
      </c>
      <c r="X37" s="1333"/>
      <c r="Y37" s="3549"/>
      <c r="Z37" s="1334" t="str">
        <f t="shared" si="15"/>
        <v>内部装修状况</v>
      </c>
      <c r="AA37" s="1335">
        <f t="shared" si="3"/>
        <v>1</v>
      </c>
      <c r="AB37" s="1335">
        <f t="shared" si="4"/>
        <v>1</v>
      </c>
      <c r="AC37" s="1335">
        <f t="shared" si="5"/>
        <v>1</v>
      </c>
    </row>
    <row r="38" spans="1:29" s="359" customFormat="1" ht="15">
      <c r="A38" s="356"/>
      <c r="B38" s="1567">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549"/>
      <c r="Q38" s="633">
        <f t="shared" si="11"/>
        <v>111</v>
      </c>
      <c r="R38" s="634" t="s">
        <v>25</v>
      </c>
      <c r="S38" s="635">
        <f t="shared" si="12"/>
        <v>100</v>
      </c>
      <c r="T38" s="634" t="s">
        <v>25</v>
      </c>
      <c r="U38" s="635">
        <f t="shared" si="13"/>
        <v>100</v>
      </c>
      <c r="V38" s="634" t="s">
        <v>25</v>
      </c>
      <c r="W38" s="635">
        <f t="shared" si="14"/>
        <v>100</v>
      </c>
      <c r="X38" s="636"/>
      <c r="Y38" s="3549"/>
      <c r="Z38" s="637">
        <f t="shared" si="15"/>
        <v>111</v>
      </c>
      <c r="AA38" s="1335">
        <f t="shared" si="3"/>
        <v>1</v>
      </c>
      <c r="AB38" s="1335">
        <f t="shared" si="4"/>
        <v>1</v>
      </c>
      <c r="AC38" s="1335">
        <f t="shared" si="5"/>
        <v>1</v>
      </c>
    </row>
    <row r="39" spans="1:29" ht="15">
      <c r="A39" s="360"/>
      <c r="B39" s="1567">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549"/>
      <c r="Q39" s="1332">
        <f t="shared" si="11"/>
        <v>111</v>
      </c>
      <c r="R39" s="631" t="s">
        <v>25</v>
      </c>
      <c r="S39" s="632">
        <f t="shared" si="12"/>
        <v>100</v>
      </c>
      <c r="T39" s="631" t="s">
        <v>25</v>
      </c>
      <c r="U39" s="632">
        <f t="shared" si="13"/>
        <v>100</v>
      </c>
      <c r="V39" s="631" t="s">
        <v>25</v>
      </c>
      <c r="W39" s="632">
        <f t="shared" si="14"/>
        <v>100</v>
      </c>
      <c r="X39" s="1333"/>
      <c r="Y39" s="3549"/>
      <c r="Z39" s="1334">
        <f t="shared" si="15"/>
        <v>111</v>
      </c>
      <c r="AA39" s="1335">
        <f t="shared" si="3"/>
        <v>1</v>
      </c>
      <c r="AB39" s="1335">
        <f t="shared" si="4"/>
        <v>1</v>
      </c>
      <c r="AC39" s="1335">
        <f t="shared" si="5"/>
        <v>1</v>
      </c>
    </row>
    <row r="40" spans="1:29" ht="15.75" thickBot="1">
      <c r="A40" s="366"/>
      <c r="B40" s="1560">
        <v>111</v>
      </c>
      <c r="C40" s="1561">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550"/>
      <c r="Q40" s="1332">
        <f t="shared" si="11"/>
        <v>111</v>
      </c>
      <c r="R40" s="631" t="s">
        <v>25</v>
      </c>
      <c r="S40" s="632">
        <f t="shared" si="12"/>
        <v>100</v>
      </c>
      <c r="T40" s="631" t="s">
        <v>25</v>
      </c>
      <c r="U40" s="632">
        <f t="shared" si="13"/>
        <v>100</v>
      </c>
      <c r="V40" s="631" t="s">
        <v>25</v>
      </c>
      <c r="W40" s="632">
        <f t="shared" si="14"/>
        <v>100</v>
      </c>
      <c r="X40" s="1333"/>
      <c r="Y40" s="3550"/>
      <c r="Z40" s="1334">
        <f t="shared" si="15"/>
        <v>111</v>
      </c>
      <c r="AA40" s="1335">
        <f t="shared" si="3"/>
        <v>1</v>
      </c>
      <c r="AB40" s="1335">
        <f t="shared" si="4"/>
        <v>1</v>
      </c>
      <c r="AC40" s="1335">
        <f t="shared" si="5"/>
        <v>1</v>
      </c>
    </row>
    <row r="41" spans="1:29" ht="15">
      <c r="A41" s="367" t="s">
        <v>2286</v>
      </c>
      <c r="B41" s="368"/>
      <c r="C41" s="1151" t="s">
        <v>1</v>
      </c>
      <c r="D41" s="1152"/>
      <c r="E41" s="1153"/>
      <c r="F41" s="1154"/>
      <c r="G41" s="1155"/>
      <c r="H41" s="1156"/>
      <c r="I41" s="1153"/>
      <c r="J41" s="1156"/>
      <c r="K41" s="640"/>
      <c r="L41" s="3031"/>
      <c r="N41" s="3020"/>
      <c r="P41" s="3517" t="str">
        <f>A41</f>
        <v>成交单价（元/平方米）</v>
      </c>
      <c r="Q41" s="3517"/>
      <c r="R41" s="3551">
        <f>E41</f>
        <v>0</v>
      </c>
      <c r="S41" s="3551"/>
      <c r="T41" s="3551">
        <f>G41</f>
        <v>0</v>
      </c>
      <c r="U41" s="3551"/>
      <c r="V41" s="3551">
        <f>I41</f>
        <v>0</v>
      </c>
      <c r="W41" s="3551"/>
      <c r="X41" s="618"/>
      <c r="Y41" s="638"/>
      <c r="Z41" s="618"/>
      <c r="AA41" s="618"/>
      <c r="AB41" s="618"/>
      <c r="AC41" s="618"/>
    </row>
    <row r="42" spans="1:29" ht="15.75" thickBot="1">
      <c r="A42" s="374" t="s">
        <v>2369</v>
      </c>
      <c r="B42" s="375"/>
      <c r="C42" s="1157" t="e">
        <f>R43</f>
        <v>#DIV/0!</v>
      </c>
      <c r="D42" s="1792" t="s">
        <v>2742</v>
      </c>
      <c r="E42" s="1158" t="e">
        <f>R42</f>
        <v>#DIV/0!</v>
      </c>
      <c r="F42" s="1794"/>
      <c r="G42" s="1157" t="e">
        <f>T42</f>
        <v>#DIV/0!</v>
      </c>
      <c r="H42" s="1794"/>
      <c r="I42" s="1158" t="e">
        <f>V42</f>
        <v>#DIV/0!</v>
      </c>
      <c r="J42" s="1794"/>
      <c r="K42" s="2506">
        <f>F42+H42+J42</f>
        <v>0</v>
      </c>
      <c r="L42" s="3031"/>
      <c r="N42" s="3020"/>
      <c r="P42" s="3517" t="str">
        <f>A42</f>
        <v>比较价值（元/平方米）</v>
      </c>
      <c r="Q42" s="3517"/>
      <c r="R42" s="3551" t="e">
        <f>IF(E1="售价",ROUND(PRODUCT(R41,AA7:AA40),0),ROUND(PRODUCT(R41,AA7:AA40),1))</f>
        <v>#DIV/0!</v>
      </c>
      <c r="S42" s="3551"/>
      <c r="T42" s="3551" t="e">
        <f>IF(E1="售价",ROUND(PRODUCT(T41,AB7:AB40),0),ROUND(PRODUCT(T41,AB7:AB40),1))</f>
        <v>#DIV/0!</v>
      </c>
      <c r="U42" s="3551"/>
      <c r="V42" s="3551" t="e">
        <f>IF(E1="售价",ROUND(PRODUCT(V41,AC7:AC40),0),ROUND(PRODUCT(V41,AC7:AC40),1))</f>
        <v>#DIV/0!</v>
      </c>
      <c r="W42" s="3551"/>
      <c r="X42" s="618"/>
      <c r="Y42" s="618"/>
      <c r="Z42" s="618"/>
      <c r="AA42" s="618"/>
      <c r="AB42" s="618"/>
      <c r="AC42" s="618"/>
    </row>
    <row r="43" spans="1:29" ht="15.75" thickBot="1">
      <c r="A43" s="378" t="s">
        <v>2392</v>
      </c>
      <c r="B43" s="379"/>
      <c r="C43" s="1159" t="e">
        <f>R43</f>
        <v>#DIV/0!</v>
      </c>
      <c r="D43" s="1159"/>
      <c r="E43" s="1159"/>
      <c r="F43" s="1159"/>
      <c r="G43" s="1159"/>
      <c r="H43" s="1159"/>
      <c r="I43" s="1159"/>
      <c r="J43" s="1159"/>
      <c r="K43" s="641"/>
      <c r="L43" s="3031"/>
      <c r="P43" s="3552" t="str">
        <f>A43</f>
        <v>估价对象XX用房的比较价值（楼面单价，元/平方米）</v>
      </c>
      <c r="Q43" s="3553"/>
      <c r="R43" s="3554" t="e">
        <f>IF(E1="售价",ROUND(IF(D42="简单平均",AVERAGE(R42:V42),R42*F42+T42*H42+V42*J42),0),ROUND(IF(D42="简单平均",AVERAGE(R42:V42),R42*F42+T42*H42+V42*J42),1))</f>
        <v>#DIV/0!</v>
      </c>
      <c r="S43" s="3554"/>
      <c r="T43" s="3554"/>
      <c r="U43" s="3554"/>
      <c r="V43" s="3554"/>
      <c r="W43" s="3554"/>
      <c r="X43" s="618"/>
      <c r="Y43" s="618"/>
      <c r="Z43" s="618"/>
      <c r="AA43" s="618"/>
      <c r="AB43" s="618"/>
      <c r="AC43" s="618"/>
    </row>
    <row r="44" spans="1:29">
      <c r="G44" s="3034"/>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2374</v>
      </c>
      <c r="B51" s="618"/>
      <c r="C51" s="621"/>
      <c r="D51" s="621"/>
      <c r="E51" s="621"/>
      <c r="F51" s="622"/>
      <c r="G51" s="622"/>
      <c r="H51" s="621"/>
      <c r="I51" s="621"/>
      <c r="J51" s="621"/>
      <c r="K51" s="623"/>
      <c r="L51" s="624"/>
      <c r="M51" s="621"/>
      <c r="N51" s="3037"/>
      <c r="O51" s="3037"/>
      <c r="P51" s="389"/>
      <c r="Q51" s="390"/>
    </row>
    <row r="52" spans="1:17" s="394" customFormat="1" ht="15">
      <c r="A52" s="391" t="s">
        <v>2256</v>
      </c>
      <c r="B52" s="392"/>
      <c r="C52" s="1185" t="str">
        <f>YEAR(C7)&amp;"-"&amp;MONTH(C7)</f>
        <v>2021-5</v>
      </c>
      <c r="D52" s="1186">
        <f>EDATE(C52,-1)</f>
        <v>44287</v>
      </c>
      <c r="E52" s="1187">
        <f t="shared" ref="E52:O52" si="16">EDATE(D52,-1)</f>
        <v>44256</v>
      </c>
      <c r="F52" s="1187">
        <f t="shared" si="16"/>
        <v>44228</v>
      </c>
      <c r="G52" s="1187">
        <f t="shared" si="16"/>
        <v>44197</v>
      </c>
      <c r="H52" s="1187">
        <f t="shared" si="16"/>
        <v>44166</v>
      </c>
      <c r="I52" s="1187">
        <f t="shared" si="16"/>
        <v>44136</v>
      </c>
      <c r="J52" s="1187">
        <f t="shared" si="16"/>
        <v>44105</v>
      </c>
      <c r="K52" s="1187">
        <f t="shared" si="16"/>
        <v>44075</v>
      </c>
      <c r="L52" s="1187">
        <f t="shared" si="16"/>
        <v>44044</v>
      </c>
      <c r="M52" s="1187">
        <f t="shared" si="16"/>
        <v>44013</v>
      </c>
      <c r="N52" s="1187">
        <f t="shared" si="16"/>
        <v>43983</v>
      </c>
      <c r="O52" s="1187">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2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8"/>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8"/>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2403</v>
      </c>
      <c r="B1" s="1578"/>
      <c r="C1" s="1219"/>
      <c r="D1" s="1220"/>
      <c r="E1" s="1555"/>
      <c r="F1" s="1221" t="s">
        <v>2241</v>
      </c>
      <c r="G1" s="1220"/>
      <c r="H1" s="1220"/>
      <c r="I1" s="1220"/>
      <c r="J1" s="1220"/>
      <c r="K1" s="1222"/>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IF(D2="——",IF(B37="元/平方米",IF(C2="元",ROUND(C39*D3,0),ROUND(C39*D3/10000,0)),IF(C2="元",ROUND(F3*C39,0),ROUND(F3*C39/10000,0))),IF(B37="元/平方米",IF(C2="元",ROUND(C39*D3,0),ROUND(C39*D3/10000,0)),IF(C2="元",ROUND(F3*C39,0),ROUND(F3*C39/10000,0)))-E2)</f>
        <v>#DIV/0!</v>
      </c>
      <c r="C2" s="79" t="str">
        <f>'数据-取费表'!B3</f>
        <v>元</v>
      </c>
      <c r="D2" s="1556"/>
      <c r="E2" s="927" t="e">
        <f ca="1">SUMIF(INDIRECT("'"&amp;G2&amp;"'"&amp;"!A:A"),"承租人权益价值",INDIRECT("'"&amp;G2&amp;"'"&amp;"!c:c"))</f>
        <v>#REF!</v>
      </c>
      <c r="F2" s="1557" t="str">
        <f>C2</f>
        <v>元</v>
      </c>
      <c r="G2" s="1558"/>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2242</v>
      </c>
      <c r="D3" s="292">
        <f>IF(C1="仅计算典型户型",'数据-取费表'!E5,'数据-取费表'!B5)</f>
        <v>732.34</v>
      </c>
      <c r="E3" s="839" t="s">
        <v>2404</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2243</v>
      </c>
      <c r="B4" s="295"/>
      <c r="C4" s="3525" t="s">
        <v>2244</v>
      </c>
      <c r="D4" s="3526"/>
      <c r="E4" s="3527" t="s">
        <v>2245</v>
      </c>
      <c r="F4" s="3528"/>
      <c r="G4" s="3525" t="s">
        <v>2246</v>
      </c>
      <c r="H4" s="3526"/>
      <c r="I4" s="3525" t="s">
        <v>2247</v>
      </c>
      <c r="J4" s="3526"/>
      <c r="K4" s="496" t="s">
        <v>2248</v>
      </c>
      <c r="L4" s="3019"/>
      <c r="M4" s="3020"/>
      <c r="N4" s="3020"/>
      <c r="O4" s="3020"/>
      <c r="P4" s="3529" t="s">
        <v>2249</v>
      </c>
      <c r="Q4" s="3530"/>
      <c r="R4" s="3535" t="s">
        <v>2245</v>
      </c>
      <c r="S4" s="3536"/>
      <c r="T4" s="3535" t="s">
        <v>2246</v>
      </c>
      <c r="U4" s="3536"/>
      <c r="V4" s="3541" t="s">
        <v>2247</v>
      </c>
      <c r="W4" s="3541"/>
      <c r="X4" s="1333"/>
      <c r="Y4" s="3535" t="s">
        <v>2249</v>
      </c>
      <c r="Z4" s="3536"/>
      <c r="AA4" s="3522" t="s">
        <v>2245</v>
      </c>
      <c r="AB4" s="3523" t="s">
        <v>2246</v>
      </c>
      <c r="AC4" s="3522" t="s">
        <v>2247</v>
      </c>
    </row>
    <row r="5" spans="1:29" ht="15">
      <c r="A5" s="297"/>
      <c r="B5" s="298"/>
      <c r="C5" s="3518" t="s">
        <v>2250</v>
      </c>
      <c r="D5" s="3519"/>
      <c r="E5" s="3542" t="s">
        <v>2251</v>
      </c>
      <c r="F5" s="3543"/>
      <c r="G5" s="3518" t="s">
        <v>2252</v>
      </c>
      <c r="H5" s="3519"/>
      <c r="I5" s="3518" t="s">
        <v>2253</v>
      </c>
      <c r="J5" s="3519"/>
      <c r="K5" s="496"/>
      <c r="L5" s="3019"/>
      <c r="M5" s="3020"/>
      <c r="N5" s="3020"/>
      <c r="O5" s="3020"/>
      <c r="P5" s="3531"/>
      <c r="Q5" s="3532"/>
      <c r="R5" s="3537"/>
      <c r="S5" s="3538"/>
      <c r="T5" s="3537"/>
      <c r="U5" s="3538"/>
      <c r="V5" s="3541"/>
      <c r="W5" s="3541"/>
      <c r="X5" s="1333"/>
      <c r="Y5" s="3537"/>
      <c r="Z5" s="3538"/>
      <c r="AA5" s="3523"/>
      <c r="AB5" s="3523"/>
      <c r="AC5" s="3523"/>
    </row>
    <row r="6" spans="1:29" ht="15.75" thickBot="1">
      <c r="A6" s="299"/>
      <c r="B6" s="300"/>
      <c r="C6" s="3515" t="s">
        <v>2254</v>
      </c>
      <c r="D6" s="3516"/>
      <c r="E6" s="3513" t="s">
        <v>2254</v>
      </c>
      <c r="F6" s="3514"/>
      <c r="G6" s="3515" t="s">
        <v>2254</v>
      </c>
      <c r="H6" s="3516"/>
      <c r="I6" s="3515" t="s">
        <v>2254</v>
      </c>
      <c r="J6" s="3516"/>
      <c r="K6" s="496" t="s">
        <v>2255</v>
      </c>
      <c r="L6" s="3019"/>
      <c r="M6" s="3020"/>
      <c r="N6" s="3020"/>
      <c r="O6" s="3020"/>
      <c r="P6" s="3533"/>
      <c r="Q6" s="3534"/>
      <c r="R6" s="3537"/>
      <c r="S6" s="3538"/>
      <c r="T6" s="3539"/>
      <c r="U6" s="3540"/>
      <c r="V6" s="3541"/>
      <c r="W6" s="3541"/>
      <c r="X6" s="1333"/>
      <c r="Y6" s="3539"/>
      <c r="Z6" s="3540"/>
      <c r="AA6" s="3524"/>
      <c r="AB6" s="3524"/>
      <c r="AC6" s="3524"/>
    </row>
    <row r="7" spans="1:29" s="25" customFormat="1" ht="15.75" thickBot="1">
      <c r="A7" s="301" t="s">
        <v>2256</v>
      </c>
      <c r="B7" s="302"/>
      <c r="C7" s="303">
        <f>'数据-取费表'!B2</f>
        <v>44333</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20" t="s">
        <v>2257</v>
      </c>
      <c r="Q7" s="3544"/>
      <c r="R7" s="627" t="s">
        <v>25</v>
      </c>
      <c r="S7" s="628">
        <f t="shared" ref="S7:S14" si="0">F7</f>
        <v>0</v>
      </c>
      <c r="T7" s="627" t="s">
        <v>25</v>
      </c>
      <c r="U7" s="628">
        <f t="shared" ref="U7:U14" si="1">H7</f>
        <v>0</v>
      </c>
      <c r="V7" s="627" t="s">
        <v>25</v>
      </c>
      <c r="W7" s="628">
        <f t="shared" ref="W7:W14" si="2">J7</f>
        <v>0</v>
      </c>
      <c r="X7" s="629"/>
      <c r="Y7" s="3520" t="s">
        <v>2257</v>
      </c>
      <c r="Z7" s="3521"/>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20" t="s">
        <v>2260</v>
      </c>
      <c r="Q8" s="3521"/>
      <c r="R8" s="627" t="s">
        <v>25</v>
      </c>
      <c r="S8" s="628">
        <f t="shared" si="0"/>
        <v>0</v>
      </c>
      <c r="T8" s="627" t="s">
        <v>25</v>
      </c>
      <c r="U8" s="628">
        <f t="shared" si="1"/>
        <v>0</v>
      </c>
      <c r="V8" s="627" t="s">
        <v>25</v>
      </c>
      <c r="W8" s="628">
        <f t="shared" si="2"/>
        <v>0</v>
      </c>
      <c r="X8" s="629"/>
      <c r="Y8" s="3520" t="s">
        <v>2260</v>
      </c>
      <c r="Z8" s="3521"/>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17" t="s">
        <v>2263</v>
      </c>
      <c r="Q9" s="1325" t="str">
        <f t="shared" ref="Q9:Q14" si="6">B9</f>
        <v>用途</v>
      </c>
      <c r="R9" s="627" t="s">
        <v>25</v>
      </c>
      <c r="S9" s="628">
        <f t="shared" si="0"/>
        <v>100</v>
      </c>
      <c r="T9" s="627" t="s">
        <v>25</v>
      </c>
      <c r="U9" s="628">
        <f t="shared" si="1"/>
        <v>100</v>
      </c>
      <c r="V9" s="627" t="s">
        <v>25</v>
      </c>
      <c r="W9" s="628">
        <f t="shared" si="2"/>
        <v>100</v>
      </c>
      <c r="X9" s="629"/>
      <c r="Y9" s="3547"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17"/>
      <c r="Q10" s="1325" t="str">
        <f t="shared" si="6"/>
        <v>土地使用年限（年）</v>
      </c>
      <c r="R10" s="627" t="s">
        <v>25</v>
      </c>
      <c r="S10" s="628">
        <f t="shared" si="0"/>
        <v>100</v>
      </c>
      <c r="T10" s="627" t="s">
        <v>25</v>
      </c>
      <c r="U10" s="628">
        <f t="shared" si="1"/>
        <v>100</v>
      </c>
      <c r="V10" s="627" t="s">
        <v>25</v>
      </c>
      <c r="W10" s="628">
        <f t="shared" si="2"/>
        <v>100</v>
      </c>
      <c r="X10" s="629"/>
      <c r="Y10" s="354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17"/>
      <c r="Q11" s="1325">
        <f t="shared" si="6"/>
        <v>111</v>
      </c>
      <c r="R11" s="627" t="s">
        <v>25</v>
      </c>
      <c r="S11" s="628">
        <f t="shared" si="0"/>
        <v>100</v>
      </c>
      <c r="T11" s="627" t="s">
        <v>25</v>
      </c>
      <c r="U11" s="628">
        <f t="shared" si="1"/>
        <v>100</v>
      </c>
      <c r="V11" s="627" t="s">
        <v>25</v>
      </c>
      <c r="W11" s="628">
        <f t="shared" si="2"/>
        <v>100</v>
      </c>
      <c r="X11" s="629"/>
      <c r="Y11" s="354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17"/>
      <c r="Q12" s="1325">
        <f t="shared" si="6"/>
        <v>111</v>
      </c>
      <c r="R12" s="627" t="s">
        <v>25</v>
      </c>
      <c r="S12" s="628">
        <f t="shared" si="0"/>
        <v>100</v>
      </c>
      <c r="T12" s="627" t="s">
        <v>25</v>
      </c>
      <c r="U12" s="628">
        <f t="shared" si="1"/>
        <v>100</v>
      </c>
      <c r="V12" s="627" t="s">
        <v>25</v>
      </c>
      <c r="W12" s="628">
        <f t="shared" si="2"/>
        <v>100</v>
      </c>
      <c r="X12" s="629"/>
      <c r="Y12" s="354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17"/>
      <c r="Q13" s="1325">
        <f t="shared" si="6"/>
        <v>111</v>
      </c>
      <c r="R13" s="627" t="s">
        <v>25</v>
      </c>
      <c r="S13" s="628">
        <f t="shared" si="0"/>
        <v>100</v>
      </c>
      <c r="T13" s="627" t="s">
        <v>25</v>
      </c>
      <c r="U13" s="628">
        <f t="shared" si="1"/>
        <v>100</v>
      </c>
      <c r="V13" s="627" t="s">
        <v>25</v>
      </c>
      <c r="W13" s="628">
        <f t="shared" si="2"/>
        <v>100</v>
      </c>
      <c r="X13" s="629"/>
      <c r="Y13" s="3547"/>
      <c r="Z13" s="19">
        <f t="shared" si="7"/>
        <v>111</v>
      </c>
      <c r="AA13" s="630">
        <f t="shared" si="3"/>
        <v>1</v>
      </c>
      <c r="AB13" s="630">
        <f t="shared" si="4"/>
        <v>1</v>
      </c>
      <c r="AC13" s="630">
        <f t="shared" si="5"/>
        <v>1</v>
      </c>
    </row>
    <row r="14" spans="1:29" ht="85.5">
      <c r="A14" s="294" t="s">
        <v>2267</v>
      </c>
      <c r="B14" s="511" t="s">
        <v>2405</v>
      </c>
      <c r="C14" s="1141" t="str">
        <f>IF(B1="工业",估价对象房地状况!G4,估价对象房地状况!C6)</f>
        <v>估价对象周边道路状况、公共交通通达情况、停车便捷程度，综合评价交通便捷度较好</v>
      </c>
      <c r="D14" s="1135">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545" t="s">
        <v>2268</v>
      </c>
      <c r="Q14" s="1332" t="str">
        <f t="shared" si="6"/>
        <v>交通便捷度</v>
      </c>
      <c r="R14" s="631" t="s">
        <v>25</v>
      </c>
      <c r="S14" s="632">
        <f t="shared" si="0"/>
        <v>100</v>
      </c>
      <c r="T14" s="631" t="s">
        <v>25</v>
      </c>
      <c r="U14" s="632">
        <f t="shared" si="1"/>
        <v>100</v>
      </c>
      <c r="V14" s="631" t="s">
        <v>25</v>
      </c>
      <c r="W14" s="632">
        <f t="shared" si="2"/>
        <v>100</v>
      </c>
      <c r="X14" s="1333"/>
      <c r="Y14" s="3545" t="s">
        <v>2268</v>
      </c>
      <c r="Z14" s="1334" t="str">
        <f t="shared" si="7"/>
        <v>交通便捷度</v>
      </c>
      <c r="AA14" s="1335">
        <f t="shared" si="3"/>
        <v>1</v>
      </c>
      <c r="AB14" s="1335">
        <f t="shared" si="4"/>
        <v>1</v>
      </c>
      <c r="AC14" s="1335">
        <f t="shared" si="5"/>
        <v>1</v>
      </c>
    </row>
    <row r="15" spans="1:29" ht="15">
      <c r="A15" s="297"/>
      <c r="B15" s="529"/>
      <c r="C15" s="1142"/>
      <c r="D15" s="1136"/>
      <c r="E15" s="335"/>
      <c r="F15" s="336"/>
      <c r="G15" s="1133"/>
      <c r="H15" s="339"/>
      <c r="I15" s="335"/>
      <c r="J15" s="336"/>
      <c r="K15" s="501"/>
      <c r="L15" s="3029"/>
      <c r="M15" s="3020"/>
      <c r="N15" s="3020"/>
      <c r="O15" s="3028"/>
      <c r="P15" s="3546"/>
      <c r="Q15" s="1332"/>
      <c r="R15" s="631"/>
      <c r="S15" s="632"/>
      <c r="T15" s="631"/>
      <c r="U15" s="632"/>
      <c r="V15" s="631"/>
      <c r="W15" s="632"/>
      <c r="X15" s="1333"/>
      <c r="Y15" s="3546"/>
      <c r="Z15" s="1334"/>
      <c r="AA15" s="1335">
        <v>1</v>
      </c>
      <c r="AB15" s="1335">
        <v>1</v>
      </c>
      <c r="AC15" s="1335">
        <v>1</v>
      </c>
    </row>
    <row r="16" spans="1:29" ht="42.75">
      <c r="A16" s="297"/>
      <c r="B16" s="513" t="s">
        <v>2383</v>
      </c>
      <c r="C16" s="1143" t="str">
        <f>IF(B1="工业",估价对象房地状况!G5,估价对象房地状况!C7)</f>
        <v>估价对象所在区域公共配套设施齐备情况</v>
      </c>
      <c r="D16" s="1137">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46"/>
      <c r="Q16" s="1332" t="str">
        <f>B16</f>
        <v>公共配套设施</v>
      </c>
      <c r="R16" s="631" t="s">
        <v>25</v>
      </c>
      <c r="S16" s="632">
        <f>F16</f>
        <v>100</v>
      </c>
      <c r="T16" s="631" t="s">
        <v>25</v>
      </c>
      <c r="U16" s="632">
        <f>H16</f>
        <v>100</v>
      </c>
      <c r="V16" s="631" t="s">
        <v>25</v>
      </c>
      <c r="W16" s="632">
        <f>J16</f>
        <v>100</v>
      </c>
      <c r="X16" s="1333"/>
      <c r="Y16" s="3546"/>
      <c r="Z16" s="1334" t="str">
        <f>Q16</f>
        <v>公共配套设施</v>
      </c>
      <c r="AA16" s="1335">
        <f t="shared" si="3"/>
        <v>1</v>
      </c>
      <c r="AB16" s="1335">
        <f t="shared" si="4"/>
        <v>1</v>
      </c>
      <c r="AC16" s="1335">
        <f t="shared" si="5"/>
        <v>1</v>
      </c>
    </row>
    <row r="17" spans="1:29" ht="15">
      <c r="A17" s="297"/>
      <c r="B17" s="514"/>
      <c r="C17" s="1131"/>
      <c r="D17" s="1137"/>
      <c r="E17" s="337"/>
      <c r="F17" s="339"/>
      <c r="G17" s="337"/>
      <c r="H17" s="336"/>
      <c r="I17" s="337"/>
      <c r="J17" s="336"/>
      <c r="K17" s="501"/>
      <c r="L17" s="3029"/>
      <c r="M17" s="3020"/>
      <c r="N17" s="3020"/>
      <c r="O17" s="3028"/>
      <c r="P17" s="3546"/>
      <c r="Q17" s="1332"/>
      <c r="R17" s="631"/>
      <c r="S17" s="632"/>
      <c r="T17" s="631"/>
      <c r="U17" s="632"/>
      <c r="V17" s="631"/>
      <c r="W17" s="632"/>
      <c r="X17" s="1333"/>
      <c r="Y17" s="3546"/>
      <c r="Z17" s="1334"/>
      <c r="AA17" s="1335">
        <v>1</v>
      </c>
      <c r="AB17" s="1335">
        <v>1</v>
      </c>
      <c r="AC17" s="1335">
        <v>1</v>
      </c>
    </row>
    <row r="18" spans="1:29" ht="28.5">
      <c r="A18" s="297"/>
      <c r="B18" s="515" t="s">
        <v>2384</v>
      </c>
      <c r="C18" s="1143" t="str">
        <f>IF(B1="工业",估价对象房地状况!G6,估价对象房地状况!C8)</f>
        <v>估价对象所在区域基础设施水平</v>
      </c>
      <c r="D18" s="1137">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46"/>
      <c r="Q18" s="1332" t="str">
        <f>B18</f>
        <v>基础设施水平</v>
      </c>
      <c r="R18" s="631" t="s">
        <v>25</v>
      </c>
      <c r="S18" s="632">
        <f>F18</f>
        <v>100</v>
      </c>
      <c r="T18" s="631" t="s">
        <v>25</v>
      </c>
      <c r="U18" s="632">
        <f>H18</f>
        <v>100</v>
      </c>
      <c r="V18" s="631" t="s">
        <v>25</v>
      </c>
      <c r="W18" s="632">
        <f>J18</f>
        <v>100</v>
      </c>
      <c r="X18" s="1333"/>
      <c r="Y18" s="3546"/>
      <c r="Z18" s="1334" t="str">
        <f>Q18</f>
        <v>基础设施水平</v>
      </c>
      <c r="AA18" s="1335">
        <f t="shared" ref="AA18" si="8">D18/F18</f>
        <v>1</v>
      </c>
      <c r="AB18" s="1335">
        <f t="shared" ref="AB18" si="9">D18/H18</f>
        <v>1</v>
      </c>
      <c r="AC18" s="1335">
        <f t="shared" ref="AC18" si="10">D18/J18</f>
        <v>1</v>
      </c>
    </row>
    <row r="19" spans="1:29" ht="15">
      <c r="A19" s="297"/>
      <c r="B19" s="515"/>
      <c r="C19" s="1132"/>
      <c r="D19" s="1137"/>
      <c r="E19" s="1129"/>
      <c r="F19" s="339"/>
      <c r="G19" s="1129"/>
      <c r="H19" s="336"/>
      <c r="I19" s="337"/>
      <c r="J19" s="336"/>
      <c r="K19" s="1130"/>
      <c r="L19" s="3029"/>
      <c r="M19" s="3020"/>
      <c r="N19" s="3020"/>
      <c r="O19" s="3028"/>
      <c r="P19" s="3546"/>
      <c r="Q19" s="1332"/>
      <c r="R19" s="631"/>
      <c r="S19" s="632"/>
      <c r="T19" s="631"/>
      <c r="U19" s="632"/>
      <c r="V19" s="631"/>
      <c r="W19" s="632"/>
      <c r="X19" s="1333"/>
      <c r="Y19" s="3546"/>
      <c r="Z19" s="1334"/>
      <c r="AA19" s="1335">
        <v>1</v>
      </c>
      <c r="AB19" s="1335">
        <v>1</v>
      </c>
      <c r="AC19" s="1335">
        <v>1</v>
      </c>
    </row>
    <row r="20" spans="1:29" ht="57">
      <c r="A20" s="297"/>
      <c r="B20" s="513" t="s">
        <v>2406</v>
      </c>
      <c r="C20" s="1143" t="str">
        <f>IF(B1="工业",估价对象房地状况!G7,估价对象房地状况!C9)</f>
        <v>区域自然环境：；人文环境；综合评价环境状况一般</v>
      </c>
      <c r="D20" s="1138">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46"/>
      <c r="Q20" s="1332" t="str">
        <f>B20</f>
        <v>自然及人文环境</v>
      </c>
      <c r="R20" s="631" t="s">
        <v>25</v>
      </c>
      <c r="S20" s="632">
        <f>F20</f>
        <v>100</v>
      </c>
      <c r="T20" s="631" t="s">
        <v>25</v>
      </c>
      <c r="U20" s="632">
        <f>H20</f>
        <v>100</v>
      </c>
      <c r="V20" s="631" t="s">
        <v>25</v>
      </c>
      <c r="W20" s="632">
        <f>J20</f>
        <v>100</v>
      </c>
      <c r="X20" s="1333"/>
      <c r="Y20" s="3546"/>
      <c r="Z20" s="1334" t="str">
        <f>Q20</f>
        <v>自然及人文环境</v>
      </c>
      <c r="AA20" s="1335">
        <f t="shared" si="3"/>
        <v>1</v>
      </c>
      <c r="AB20" s="1335">
        <f t="shared" si="4"/>
        <v>1</v>
      </c>
      <c r="AC20" s="1335">
        <f t="shared" si="5"/>
        <v>1</v>
      </c>
    </row>
    <row r="21" spans="1:29" ht="15">
      <c r="A21" s="297"/>
      <c r="B21" s="514"/>
      <c r="C21" s="1142"/>
      <c r="D21" s="1136"/>
      <c r="E21" s="335"/>
      <c r="F21" s="336"/>
      <c r="G21" s="1133"/>
      <c r="H21" s="336"/>
      <c r="I21" s="335"/>
      <c r="J21" s="336"/>
      <c r="K21" s="501"/>
      <c r="L21" s="3029"/>
      <c r="M21" s="3020"/>
      <c r="N21" s="3020"/>
      <c r="O21" s="3028"/>
      <c r="P21" s="3546"/>
      <c r="Q21" s="1332"/>
      <c r="R21" s="631"/>
      <c r="S21" s="632"/>
      <c r="T21" s="631"/>
      <c r="U21" s="632"/>
      <c r="V21" s="631"/>
      <c r="W21" s="632"/>
      <c r="X21" s="1333"/>
      <c r="Y21" s="3546"/>
      <c r="Z21" s="1334"/>
      <c r="AA21" s="1335">
        <v>1</v>
      </c>
      <c r="AB21" s="1335">
        <v>1</v>
      </c>
      <c r="AC21" s="1335">
        <v>1</v>
      </c>
    </row>
    <row r="22" spans="1:29" ht="15">
      <c r="A22" s="297"/>
      <c r="B22" s="513" t="s">
        <v>2407</v>
      </c>
      <c r="C22" s="516"/>
      <c r="D22" s="1137">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46"/>
      <c r="Q22" s="1332" t="str">
        <f>B22</f>
        <v>楼层</v>
      </c>
      <c r="R22" s="631" t="s">
        <v>25</v>
      </c>
      <c r="S22" s="632">
        <f>F22</f>
        <v>100</v>
      </c>
      <c r="T22" s="631" t="s">
        <v>25</v>
      </c>
      <c r="U22" s="632">
        <f>H22</f>
        <v>100</v>
      </c>
      <c r="V22" s="631" t="s">
        <v>25</v>
      </c>
      <c r="W22" s="632">
        <f>J22</f>
        <v>100</v>
      </c>
      <c r="X22" s="1333"/>
      <c r="Y22" s="3546"/>
      <c r="Z22" s="1334" t="str">
        <f>Q22</f>
        <v>楼层</v>
      </c>
      <c r="AA22" s="1335">
        <f t="shared" si="3"/>
        <v>1</v>
      </c>
      <c r="AB22" s="1335">
        <f t="shared" si="4"/>
        <v>1</v>
      </c>
      <c r="AC22" s="1335">
        <f t="shared" si="5"/>
        <v>1</v>
      </c>
    </row>
    <row r="23" spans="1:29" ht="15">
      <c r="A23" s="297"/>
      <c r="B23" s="530">
        <v>111</v>
      </c>
      <c r="C23" s="1144"/>
      <c r="D23" s="1139">
        <v>100</v>
      </c>
      <c r="E23" s="322"/>
      <c r="F23" s="325">
        <f>SUMIF(73:73,E23,74:74)-SUMIF(73:73,C23,74:74)+100</f>
        <v>100</v>
      </c>
      <c r="G23" s="1134"/>
      <c r="H23" s="325">
        <f>SUMIF(73:73,G23,74:74)-SUMIF(73:73,C23,74:74)+100</f>
        <v>100</v>
      </c>
      <c r="I23" s="322"/>
      <c r="J23" s="325">
        <f>SUMIF(73:73,I23,74:74)-SUMIF(73:73,C23,74:74)+100</f>
        <v>100</v>
      </c>
      <c r="K23" s="499"/>
      <c r="L23" s="3029"/>
      <c r="M23" s="3020"/>
      <c r="N23" s="3020"/>
      <c r="O23" s="3028"/>
      <c r="P23" s="3546"/>
      <c r="Q23" s="1332">
        <f>B23</f>
        <v>111</v>
      </c>
      <c r="R23" s="631" t="s">
        <v>25</v>
      </c>
      <c r="S23" s="632">
        <f>F23</f>
        <v>100</v>
      </c>
      <c r="T23" s="631" t="s">
        <v>25</v>
      </c>
      <c r="U23" s="632">
        <f>H23</f>
        <v>100</v>
      </c>
      <c r="V23" s="631" t="s">
        <v>25</v>
      </c>
      <c r="W23" s="632">
        <f>J23</f>
        <v>100</v>
      </c>
      <c r="X23" s="1333"/>
      <c r="Y23" s="3546"/>
      <c r="Z23" s="1334">
        <f>Q23</f>
        <v>111</v>
      </c>
      <c r="AA23" s="1335">
        <f t="shared" si="3"/>
        <v>1</v>
      </c>
      <c r="AB23" s="1335">
        <f t="shared" si="4"/>
        <v>1</v>
      </c>
      <c r="AC23" s="1335">
        <f t="shared" si="5"/>
        <v>1</v>
      </c>
    </row>
    <row r="24" spans="1:29" ht="15">
      <c r="A24" s="297"/>
      <c r="B24" s="530">
        <v>111</v>
      </c>
      <c r="C24" s="1144"/>
      <c r="D24" s="1139">
        <v>100</v>
      </c>
      <c r="E24" s="322"/>
      <c r="F24" s="325">
        <f>SUMIF(75:75,E24,76:76)-SUMIF(75:75,C24,76:76)+100</f>
        <v>100</v>
      </c>
      <c r="G24" s="1134"/>
      <c r="H24" s="325">
        <f>SUMIF(75:75,G24,76:76)-SUMIF(75:75,C24,76:76)+100</f>
        <v>100</v>
      </c>
      <c r="I24" s="322"/>
      <c r="J24" s="325">
        <f>SUMIF(75:75,I24,76:76)-SUMIF(75:75,C24,76:76)+100</f>
        <v>100</v>
      </c>
      <c r="K24" s="499"/>
      <c r="L24" s="3029"/>
      <c r="M24" s="3020"/>
      <c r="N24" s="3020"/>
      <c r="O24" s="3028"/>
      <c r="P24" s="3546"/>
      <c r="Q24" s="1332">
        <f t="shared" ref="Q24:Q36" si="11">B24</f>
        <v>111</v>
      </c>
      <c r="R24" s="631" t="s">
        <v>25</v>
      </c>
      <c r="S24" s="632">
        <f>F24</f>
        <v>100</v>
      </c>
      <c r="T24" s="631" t="s">
        <v>25</v>
      </c>
      <c r="U24" s="632">
        <f>H24</f>
        <v>100</v>
      </c>
      <c r="V24" s="631" t="s">
        <v>25</v>
      </c>
      <c r="W24" s="632">
        <f>J24</f>
        <v>100</v>
      </c>
      <c r="X24" s="1333"/>
      <c r="Y24" s="3546"/>
      <c r="Z24" s="1334">
        <f>Q24</f>
        <v>111</v>
      </c>
      <c r="AA24" s="1335">
        <f t="shared" si="3"/>
        <v>1</v>
      </c>
      <c r="AB24" s="1335">
        <f t="shared" si="4"/>
        <v>1</v>
      </c>
      <c r="AC24" s="1335">
        <f t="shared" si="5"/>
        <v>1</v>
      </c>
    </row>
    <row r="25" spans="1:29" s="25" customFormat="1" ht="15.75" thickBot="1">
      <c r="A25" s="1146"/>
      <c r="B25" s="517">
        <v>111</v>
      </c>
      <c r="C25" s="1145"/>
      <c r="D25" s="1140">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46"/>
      <c r="Q25" s="1325">
        <f t="shared" si="11"/>
        <v>111</v>
      </c>
      <c r="R25" s="627" t="s">
        <v>25</v>
      </c>
      <c r="S25" s="628">
        <f>F25</f>
        <v>100</v>
      </c>
      <c r="T25" s="627" t="s">
        <v>25</v>
      </c>
      <c r="U25" s="628">
        <f>H25</f>
        <v>100</v>
      </c>
      <c r="V25" s="627" t="s">
        <v>25</v>
      </c>
      <c r="W25" s="628">
        <f>J25</f>
        <v>100</v>
      </c>
      <c r="X25" s="629"/>
      <c r="Y25" s="3546"/>
      <c r="Z25" s="19">
        <f>Q25</f>
        <v>111</v>
      </c>
      <c r="AA25" s="1335">
        <f>D25/F25</f>
        <v>1</v>
      </c>
      <c r="AB25" s="1335">
        <f>D25/H25</f>
        <v>1</v>
      </c>
      <c r="AC25" s="1335">
        <f>D25/J25</f>
        <v>1</v>
      </c>
    </row>
    <row r="26" spans="1:29" ht="28.5">
      <c r="A26" s="533" t="s">
        <v>2272</v>
      </c>
      <c r="B26" s="23" t="s">
        <v>2408</v>
      </c>
      <c r="C26" s="1579"/>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548" t="s">
        <v>2274</v>
      </c>
      <c r="Q26" s="1332" t="str">
        <f t="shared" si="11"/>
        <v>配套类型</v>
      </c>
      <c r="R26" s="631" t="s">
        <v>25</v>
      </c>
      <c r="S26" s="632">
        <f t="shared" ref="S26:S36" si="12">F26</f>
        <v>100</v>
      </c>
      <c r="T26" s="631" t="s">
        <v>25</v>
      </c>
      <c r="U26" s="632">
        <f t="shared" ref="U26:U36" si="13">H26</f>
        <v>100</v>
      </c>
      <c r="V26" s="631" t="s">
        <v>25</v>
      </c>
      <c r="W26" s="632">
        <f t="shared" ref="W26:W36" si="14">J26</f>
        <v>100</v>
      </c>
      <c r="X26" s="1333"/>
      <c r="Y26" s="3549" t="s">
        <v>2274</v>
      </c>
      <c r="Z26" s="1334" t="str">
        <f t="shared" ref="Z26:Z36" si="15">Q26</f>
        <v>配套类型</v>
      </c>
      <c r="AA26" s="1335">
        <f t="shared" si="3"/>
        <v>1</v>
      </c>
      <c r="AB26" s="1335">
        <f t="shared" si="4"/>
        <v>1</v>
      </c>
      <c r="AC26" s="1335">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549"/>
      <c r="Q27" s="633" t="str">
        <f t="shared" si="11"/>
        <v>项目停车位配比</v>
      </c>
      <c r="R27" s="634" t="s">
        <v>25</v>
      </c>
      <c r="S27" s="635">
        <f t="shared" si="12"/>
        <v>100</v>
      </c>
      <c r="T27" s="634" t="s">
        <v>25</v>
      </c>
      <c r="U27" s="635">
        <f t="shared" si="13"/>
        <v>100</v>
      </c>
      <c r="V27" s="634" t="s">
        <v>25</v>
      </c>
      <c r="W27" s="635">
        <f t="shared" si="14"/>
        <v>100</v>
      </c>
      <c r="X27" s="636"/>
      <c r="Y27" s="3549"/>
      <c r="Z27" s="637" t="str">
        <f t="shared" si="15"/>
        <v>项目停车位配比</v>
      </c>
      <c r="AA27" s="1335">
        <f t="shared" si="3"/>
        <v>1</v>
      </c>
      <c r="AB27" s="1335">
        <f t="shared" si="4"/>
        <v>1</v>
      </c>
      <c r="AC27" s="1335">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549"/>
      <c r="Q28" s="1332" t="str">
        <f t="shared" si="11"/>
        <v>公共部分装修</v>
      </c>
      <c r="R28" s="631" t="s">
        <v>25</v>
      </c>
      <c r="S28" s="632">
        <f t="shared" si="12"/>
        <v>100</v>
      </c>
      <c r="T28" s="631" t="s">
        <v>25</v>
      </c>
      <c r="U28" s="632">
        <f t="shared" si="13"/>
        <v>100</v>
      </c>
      <c r="V28" s="631" t="s">
        <v>25</v>
      </c>
      <c r="W28" s="632">
        <f t="shared" si="14"/>
        <v>100</v>
      </c>
      <c r="X28" s="1333"/>
      <c r="Y28" s="3549"/>
      <c r="Z28" s="1334" t="str">
        <f t="shared" si="15"/>
        <v>公共部分装修</v>
      </c>
      <c r="AA28" s="1335">
        <f t="shared" si="3"/>
        <v>1</v>
      </c>
      <c r="AB28" s="1335">
        <f t="shared" si="4"/>
        <v>1</v>
      </c>
      <c r="AC28" s="1335">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549"/>
      <c r="Q29" s="1332" t="str">
        <f t="shared" si="11"/>
        <v>成新率</v>
      </c>
      <c r="R29" s="631" t="s">
        <v>25</v>
      </c>
      <c r="S29" s="632" t="e">
        <f t="shared" si="12"/>
        <v>#N/A</v>
      </c>
      <c r="T29" s="631" t="s">
        <v>25</v>
      </c>
      <c r="U29" s="632" t="e">
        <f t="shared" si="13"/>
        <v>#N/A</v>
      </c>
      <c r="V29" s="631" t="s">
        <v>25</v>
      </c>
      <c r="W29" s="632" t="e">
        <f t="shared" si="14"/>
        <v>#N/A</v>
      </c>
      <c r="X29" s="1333"/>
      <c r="Y29" s="3549"/>
      <c r="Z29" s="1334" t="str">
        <f t="shared" si="15"/>
        <v>成新率</v>
      </c>
      <c r="AA29" s="1335" t="e">
        <f t="shared" si="3"/>
        <v>#N/A</v>
      </c>
      <c r="AB29" s="1335" t="e">
        <f t="shared" si="4"/>
        <v>#N/A</v>
      </c>
      <c r="AC29" s="1335"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549"/>
      <c r="Q30" s="1332" t="str">
        <f t="shared" si="11"/>
        <v>物业等级</v>
      </c>
      <c r="R30" s="631" t="s">
        <v>25</v>
      </c>
      <c r="S30" s="632">
        <f t="shared" si="12"/>
        <v>100</v>
      </c>
      <c r="T30" s="631" t="s">
        <v>25</v>
      </c>
      <c r="U30" s="632">
        <f t="shared" si="13"/>
        <v>100</v>
      </c>
      <c r="V30" s="631" t="s">
        <v>25</v>
      </c>
      <c r="W30" s="632">
        <f t="shared" si="14"/>
        <v>100</v>
      </c>
      <c r="X30" s="1333"/>
      <c r="Y30" s="3549"/>
      <c r="Z30" s="1334" t="str">
        <f t="shared" si="15"/>
        <v>物业等级</v>
      </c>
      <c r="AA30" s="1335">
        <f t="shared" si="3"/>
        <v>1</v>
      </c>
      <c r="AB30" s="1335">
        <f t="shared" si="4"/>
        <v>1</v>
      </c>
      <c r="AC30" s="1335">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549"/>
      <c r="Q31" s="1325" t="str">
        <f t="shared" si="11"/>
        <v>停车位面积</v>
      </c>
      <c r="R31" s="627" t="s">
        <v>25</v>
      </c>
      <c r="S31" s="628" t="e">
        <f t="shared" si="12"/>
        <v>#N/A</v>
      </c>
      <c r="T31" s="627" t="s">
        <v>25</v>
      </c>
      <c r="U31" s="628" t="e">
        <f t="shared" si="13"/>
        <v>#N/A</v>
      </c>
      <c r="V31" s="627" t="s">
        <v>25</v>
      </c>
      <c r="W31" s="628" t="e">
        <f t="shared" si="14"/>
        <v>#N/A</v>
      </c>
      <c r="X31" s="629"/>
      <c r="Y31" s="3549"/>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549" t="s">
        <v>2274</v>
      </c>
      <c r="Q32" s="1332" t="str">
        <f t="shared" si="11"/>
        <v>车位类型</v>
      </c>
      <c r="R32" s="631" t="s">
        <v>25</v>
      </c>
      <c r="S32" s="632">
        <f t="shared" si="12"/>
        <v>100</v>
      </c>
      <c r="T32" s="631" t="s">
        <v>25</v>
      </c>
      <c r="U32" s="632">
        <f t="shared" si="13"/>
        <v>100</v>
      </c>
      <c r="V32" s="631" t="s">
        <v>25</v>
      </c>
      <c r="W32" s="632">
        <f t="shared" si="14"/>
        <v>100</v>
      </c>
      <c r="X32" s="1333"/>
      <c r="Y32" s="3549" t="s">
        <v>2274</v>
      </c>
      <c r="Z32" s="1334" t="str">
        <f t="shared" si="15"/>
        <v>车位类型</v>
      </c>
      <c r="AA32" s="1335">
        <f t="shared" si="3"/>
        <v>1</v>
      </c>
      <c r="AB32" s="1335">
        <f t="shared" si="4"/>
        <v>1</v>
      </c>
      <c r="AC32" s="1335">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549"/>
      <c r="Q33" s="1332" t="str">
        <f t="shared" si="11"/>
        <v>是否直接入户</v>
      </c>
      <c r="R33" s="631" t="s">
        <v>25</v>
      </c>
      <c r="S33" s="632">
        <f t="shared" si="12"/>
        <v>100</v>
      </c>
      <c r="T33" s="631" t="s">
        <v>25</v>
      </c>
      <c r="U33" s="632">
        <f t="shared" si="13"/>
        <v>100</v>
      </c>
      <c r="V33" s="631" t="s">
        <v>25</v>
      </c>
      <c r="W33" s="632">
        <f t="shared" si="14"/>
        <v>100</v>
      </c>
      <c r="X33" s="1333"/>
      <c r="Y33" s="3549"/>
      <c r="Z33" s="1334" t="str">
        <f t="shared" si="15"/>
        <v>是否直接入户</v>
      </c>
      <c r="AA33" s="1335">
        <f t="shared" si="3"/>
        <v>1</v>
      </c>
      <c r="AB33" s="1335">
        <f t="shared" si="4"/>
        <v>1</v>
      </c>
      <c r="AC33" s="133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549"/>
      <c r="Q34" s="1332">
        <f t="shared" si="11"/>
        <v>111</v>
      </c>
      <c r="R34" s="631" t="s">
        <v>25</v>
      </c>
      <c r="S34" s="632">
        <f t="shared" si="12"/>
        <v>100</v>
      </c>
      <c r="T34" s="631" t="s">
        <v>25</v>
      </c>
      <c r="U34" s="632">
        <f t="shared" si="13"/>
        <v>100</v>
      </c>
      <c r="V34" s="631" t="s">
        <v>25</v>
      </c>
      <c r="W34" s="632">
        <f t="shared" si="14"/>
        <v>100</v>
      </c>
      <c r="X34" s="1333"/>
      <c r="Y34" s="3549"/>
      <c r="Z34" s="1334">
        <f t="shared" si="15"/>
        <v>111</v>
      </c>
      <c r="AA34" s="1335">
        <f t="shared" si="3"/>
        <v>1</v>
      </c>
      <c r="AB34" s="1335">
        <f t="shared" si="4"/>
        <v>1</v>
      </c>
      <c r="AC34" s="133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549"/>
      <c r="Q35" s="633">
        <f t="shared" si="11"/>
        <v>111</v>
      </c>
      <c r="R35" s="634" t="s">
        <v>25</v>
      </c>
      <c r="S35" s="635">
        <f t="shared" si="12"/>
        <v>100</v>
      </c>
      <c r="T35" s="634" t="s">
        <v>25</v>
      </c>
      <c r="U35" s="635">
        <f t="shared" si="13"/>
        <v>100</v>
      </c>
      <c r="V35" s="634" t="s">
        <v>25</v>
      </c>
      <c r="W35" s="635">
        <f t="shared" si="14"/>
        <v>100</v>
      </c>
      <c r="X35" s="636"/>
      <c r="Y35" s="3549"/>
      <c r="Z35" s="637">
        <f t="shared" si="15"/>
        <v>111</v>
      </c>
      <c r="AA35" s="1335">
        <f t="shared" si="3"/>
        <v>1</v>
      </c>
      <c r="AB35" s="1335">
        <f t="shared" si="4"/>
        <v>1</v>
      </c>
      <c r="AC35" s="133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549"/>
      <c r="Q36" s="1332">
        <f t="shared" si="11"/>
        <v>111</v>
      </c>
      <c r="R36" s="631" t="s">
        <v>25</v>
      </c>
      <c r="S36" s="632">
        <f t="shared" si="12"/>
        <v>100</v>
      </c>
      <c r="T36" s="631" t="s">
        <v>25</v>
      </c>
      <c r="U36" s="632">
        <f t="shared" si="13"/>
        <v>100</v>
      </c>
      <c r="V36" s="631" t="s">
        <v>25</v>
      </c>
      <c r="W36" s="632">
        <f t="shared" si="14"/>
        <v>100</v>
      </c>
      <c r="X36" s="1333"/>
      <c r="Y36" s="3549"/>
      <c r="Z36" s="1334">
        <f t="shared" si="15"/>
        <v>111</v>
      </c>
      <c r="AA36" s="1335">
        <f t="shared" si="3"/>
        <v>1</v>
      </c>
      <c r="AB36" s="1335">
        <f t="shared" si="4"/>
        <v>1</v>
      </c>
      <c r="AC36" s="1335">
        <f t="shared" si="5"/>
        <v>1</v>
      </c>
    </row>
    <row r="37" spans="1:29" ht="15">
      <c r="A37" s="367" t="s">
        <v>2416</v>
      </c>
      <c r="B37" s="840" t="s">
        <v>2417</v>
      </c>
      <c r="C37" s="1151" t="s">
        <v>1</v>
      </c>
      <c r="D37" s="1152"/>
      <c r="E37" s="1153"/>
      <c r="F37" s="1154"/>
      <c r="G37" s="1155"/>
      <c r="H37" s="1156"/>
      <c r="I37" s="1153"/>
      <c r="J37" s="1156"/>
      <c r="K37" s="503"/>
      <c r="L37" s="3031"/>
      <c r="N37" s="3020"/>
      <c r="P37" s="3517" t="str">
        <f>A37</f>
        <v>成交单价</v>
      </c>
      <c r="Q37" s="3517"/>
      <c r="R37" s="3551">
        <f>E37</f>
        <v>0</v>
      </c>
      <c r="S37" s="3551"/>
      <c r="T37" s="3551">
        <f>G37</f>
        <v>0</v>
      </c>
      <c r="U37" s="3551"/>
      <c r="V37" s="3551">
        <f>I37</f>
        <v>0</v>
      </c>
      <c r="W37" s="3551"/>
      <c r="X37" s="618"/>
      <c r="Y37" s="638"/>
      <c r="Z37" s="618"/>
      <c r="AA37" s="618"/>
      <c r="AB37" s="618"/>
      <c r="AC37" s="618"/>
    </row>
    <row r="38" spans="1:29" ht="15.75" thickBot="1">
      <c r="A38" s="374" t="s">
        <v>2418</v>
      </c>
      <c r="B38" s="375" t="str">
        <f>B37</f>
        <v>元/平方米</v>
      </c>
      <c r="C38" s="1157" t="e">
        <f>R39</f>
        <v>#DIV/0!</v>
      </c>
      <c r="D38" s="1792" t="s">
        <v>2742</v>
      </c>
      <c r="E38" s="1158" t="e">
        <f>R38</f>
        <v>#DIV/0!</v>
      </c>
      <c r="F38" s="1794"/>
      <c r="G38" s="1157" t="e">
        <f>T38</f>
        <v>#DIV/0!</v>
      </c>
      <c r="H38" s="1794"/>
      <c r="I38" s="1158" t="e">
        <f>V38</f>
        <v>#DIV/0!</v>
      </c>
      <c r="J38" s="1794"/>
      <c r="K38" s="2506">
        <f>F38+H38+J38</f>
        <v>0</v>
      </c>
      <c r="L38" s="3031"/>
      <c r="P38" s="3517" t="str">
        <f>A38</f>
        <v>比较价值</v>
      </c>
      <c r="Q38" s="3517"/>
      <c r="R38" s="3551" t="e">
        <f>IF(E1="售价",ROUND(PRODUCT(R37,AA7:AA36),0),ROUND(PRODUCT(R37,AA7:AA36),1))</f>
        <v>#DIV/0!</v>
      </c>
      <c r="S38" s="3551"/>
      <c r="T38" s="3551" t="e">
        <f>IF(E1="售价",ROUND(PRODUCT(T37,AB7:AB36),0),ROUND(PRODUCT(T37,AB7:AB36),1))</f>
        <v>#DIV/0!</v>
      </c>
      <c r="U38" s="3551"/>
      <c r="V38" s="3551" t="e">
        <f>IF(E1="售价",ROUND(PRODUCT(V37,AC7:AC36),0),ROUND(PRODUCT(V37,AC7:AC36),1))</f>
        <v>#DIV/0!</v>
      </c>
      <c r="W38" s="3551"/>
      <c r="X38" s="618"/>
      <c r="Y38" s="618"/>
      <c r="Z38" s="618"/>
      <c r="AA38" s="618"/>
      <c r="AB38" s="618"/>
      <c r="AC38" s="618"/>
    </row>
    <row r="39" spans="1:29" ht="15.75" thickBot="1">
      <c r="A39" s="378" t="s">
        <v>2419</v>
      </c>
      <c r="B39" s="379"/>
      <c r="C39" s="1159" t="e">
        <f>R39</f>
        <v>#DIV/0!</v>
      </c>
      <c r="D39" s="1159"/>
      <c r="E39" s="1159"/>
      <c r="F39" s="1159"/>
      <c r="G39" s="1159"/>
      <c r="H39" s="1159"/>
      <c r="I39" s="1159"/>
      <c r="J39" s="1159"/>
      <c r="K39" s="504"/>
      <c r="L39" s="3031"/>
      <c r="P39" s="3552" t="str">
        <f>A39</f>
        <v>估价对象XX用房的比较价值（楼面单价，元/平方米）</v>
      </c>
      <c r="Q39" s="3553"/>
      <c r="R39" s="3554" t="e">
        <f>IF(E1="售价",ROUND(IF(D38="简单平均",AVERAGE(R38:W38),R38*F38+T38*H38+V38*J38),0),ROUND(IF(D38="简单平均",AVERAGE(R38:V38),R38*F38+T38*H38+V38*J38),1))</f>
        <v>#DIV/0!</v>
      </c>
      <c r="S39" s="3554"/>
      <c r="T39" s="3554"/>
      <c r="U39" s="3554"/>
      <c r="V39" s="3554"/>
      <c r="W39" s="3554"/>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1" t="s">
        <v>2423</v>
      </c>
      <c r="B47" s="955"/>
      <c r="C47" s="963"/>
      <c r="D47" s="963"/>
      <c r="E47" s="963"/>
      <c r="F47" s="1162"/>
      <c r="G47" s="1162"/>
      <c r="H47" s="963"/>
      <c r="I47" s="963"/>
      <c r="J47" s="963"/>
      <c r="K47" s="961"/>
      <c r="L47" s="624"/>
      <c r="M47" s="621"/>
      <c r="N47" s="621"/>
      <c r="O47" s="621"/>
      <c r="P47" s="621"/>
      <c r="Q47" s="1160"/>
      <c r="R47" s="618"/>
      <c r="S47" s="618"/>
      <c r="T47" s="618"/>
      <c r="U47" s="618"/>
      <c r="V47" s="618"/>
      <c r="W47" s="618"/>
      <c r="X47" s="618"/>
      <c r="Y47" s="618"/>
      <c r="Z47" s="618"/>
      <c r="AA47" s="618"/>
      <c r="AB47" s="618"/>
      <c r="AC47" s="618"/>
    </row>
    <row r="48" spans="1:29" s="394" customFormat="1" ht="15">
      <c r="A48" s="391" t="s">
        <v>2424</v>
      </c>
      <c r="B48" s="392"/>
      <c r="C48" s="1185" t="str">
        <f>YEAR(C7)&amp;"-"&amp;MONTH(C7)</f>
        <v>2021-5</v>
      </c>
      <c r="D48" s="1186">
        <f>EDATE(C48,-1)</f>
        <v>44287</v>
      </c>
      <c r="E48" s="1186">
        <f t="shared" ref="E48:O48" si="16">EDATE(D48,-1)</f>
        <v>44256</v>
      </c>
      <c r="F48" s="1186">
        <f t="shared" si="16"/>
        <v>44228</v>
      </c>
      <c r="G48" s="1186">
        <f t="shared" si="16"/>
        <v>44197</v>
      </c>
      <c r="H48" s="1186">
        <f t="shared" si="16"/>
        <v>44166</v>
      </c>
      <c r="I48" s="1186">
        <f t="shared" si="16"/>
        <v>44136</v>
      </c>
      <c r="J48" s="1186">
        <f t="shared" si="16"/>
        <v>44105</v>
      </c>
      <c r="K48" s="1186">
        <f t="shared" si="16"/>
        <v>44075</v>
      </c>
      <c r="L48" s="1186">
        <f t="shared" si="16"/>
        <v>44044</v>
      </c>
      <c r="M48" s="1186">
        <f t="shared" si="16"/>
        <v>44013</v>
      </c>
      <c r="N48" s="1186">
        <f t="shared" si="16"/>
        <v>43983</v>
      </c>
      <c r="O48" s="1186">
        <f t="shared" si="16"/>
        <v>43952</v>
      </c>
      <c r="P48" s="393"/>
    </row>
    <row r="49" spans="1:17" s="25" customFormat="1" ht="15">
      <c r="A49" s="395"/>
      <c r="B49" s="396"/>
      <c r="C49" s="1184">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2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2403</v>
      </c>
      <c r="B1" s="1578"/>
      <c r="C1" s="1219"/>
      <c r="D1" s="1229"/>
      <c r="E1" s="1555" t="s">
        <v>2743</v>
      </c>
      <c r="F1" s="1230" t="s">
        <v>2241</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IF(D2="——",IF(C2="元",ROUND(C37*D3,0),ROUND(C37*D3/10000,0)),IF(C2="元",ROUND(C37*D3,0),ROUND(C37*D3/10000,0))-E2)</f>
        <v>#DIV/0!</v>
      </c>
      <c r="C2" s="79" t="str">
        <f>'数据-取费表'!B3</f>
        <v>元</v>
      </c>
      <c r="D2" s="1556"/>
      <c r="E2" s="1228" t="e">
        <f ca="1">SUMIF(INDIRECT("'"&amp;G2&amp;"'"&amp;"!A:A"),"承租人权益价值",INDIRECT("'"&amp;G2&amp;"'"&amp;"!c:c"))</f>
        <v>#REF!</v>
      </c>
      <c r="F2" s="1557" t="str">
        <f>C2</f>
        <v>元</v>
      </c>
      <c r="G2" s="1558"/>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2242</v>
      </c>
      <c r="D3" s="292">
        <f>IF(C1="仅计算典型户型",'数据-取费表'!E5,'数据-取费表'!B5)</f>
        <v>732.34</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2243</v>
      </c>
      <c r="B4" s="295"/>
      <c r="C4" s="3525" t="s">
        <v>2244</v>
      </c>
      <c r="D4" s="3526"/>
      <c r="E4" s="3527" t="s">
        <v>2245</v>
      </c>
      <c r="F4" s="3528"/>
      <c r="G4" s="3525" t="s">
        <v>2246</v>
      </c>
      <c r="H4" s="3526"/>
      <c r="I4" s="3525" t="s">
        <v>2247</v>
      </c>
      <c r="J4" s="3526"/>
      <c r="K4" s="496" t="s">
        <v>2248</v>
      </c>
      <c r="L4" s="3019"/>
      <c r="M4" s="3020"/>
      <c r="N4" s="3020"/>
      <c r="O4" s="3020"/>
      <c r="P4" s="3529" t="s">
        <v>2249</v>
      </c>
      <c r="Q4" s="3530"/>
      <c r="R4" s="3535" t="s">
        <v>2245</v>
      </c>
      <c r="S4" s="3536"/>
      <c r="T4" s="3535" t="s">
        <v>2246</v>
      </c>
      <c r="U4" s="3536"/>
      <c r="V4" s="3541" t="s">
        <v>2247</v>
      </c>
      <c r="W4" s="3541"/>
      <c r="X4" s="1333"/>
      <c r="Y4" s="3535" t="s">
        <v>2249</v>
      </c>
      <c r="Z4" s="3536"/>
      <c r="AA4" s="3522" t="s">
        <v>2245</v>
      </c>
      <c r="AB4" s="3523" t="s">
        <v>2246</v>
      </c>
      <c r="AC4" s="3522" t="s">
        <v>2247</v>
      </c>
    </row>
    <row r="5" spans="1:29" ht="15">
      <c r="A5" s="297"/>
      <c r="B5" s="298"/>
      <c r="C5" s="3518" t="s">
        <v>2250</v>
      </c>
      <c r="D5" s="3519"/>
      <c r="E5" s="3542" t="s">
        <v>2251</v>
      </c>
      <c r="F5" s="3543"/>
      <c r="G5" s="3518" t="s">
        <v>2252</v>
      </c>
      <c r="H5" s="3519"/>
      <c r="I5" s="3518" t="s">
        <v>2253</v>
      </c>
      <c r="J5" s="3519"/>
      <c r="K5" s="496"/>
      <c r="L5" s="3019"/>
      <c r="M5" s="3020"/>
      <c r="N5" s="3020"/>
      <c r="O5" s="3020"/>
      <c r="P5" s="3531"/>
      <c r="Q5" s="3532"/>
      <c r="R5" s="3537"/>
      <c r="S5" s="3538"/>
      <c r="T5" s="3537"/>
      <c r="U5" s="3538"/>
      <c r="V5" s="3541"/>
      <c r="W5" s="3541"/>
      <c r="X5" s="1333"/>
      <c r="Y5" s="3537"/>
      <c r="Z5" s="3538"/>
      <c r="AA5" s="3523"/>
      <c r="AB5" s="3523"/>
      <c r="AC5" s="3523"/>
    </row>
    <row r="6" spans="1:29" ht="15.75" thickBot="1">
      <c r="A6" s="299"/>
      <c r="B6" s="300"/>
      <c r="C6" s="3515" t="s">
        <v>2254</v>
      </c>
      <c r="D6" s="3516"/>
      <c r="E6" s="3513" t="s">
        <v>2254</v>
      </c>
      <c r="F6" s="3514"/>
      <c r="G6" s="3515" t="s">
        <v>2254</v>
      </c>
      <c r="H6" s="3516"/>
      <c r="I6" s="3515" t="s">
        <v>2254</v>
      </c>
      <c r="J6" s="3516"/>
      <c r="K6" s="496" t="s">
        <v>2255</v>
      </c>
      <c r="L6" s="3019"/>
      <c r="M6" s="3020"/>
      <c r="N6" s="3020"/>
      <c r="O6" s="3020"/>
      <c r="P6" s="3533"/>
      <c r="Q6" s="3534"/>
      <c r="R6" s="3537"/>
      <c r="S6" s="3538"/>
      <c r="T6" s="3539"/>
      <c r="U6" s="3540"/>
      <c r="V6" s="3541"/>
      <c r="W6" s="3541"/>
      <c r="X6" s="1333"/>
      <c r="Y6" s="3539"/>
      <c r="Z6" s="3540"/>
      <c r="AA6" s="3524"/>
      <c r="AB6" s="3524"/>
      <c r="AC6" s="3524"/>
    </row>
    <row r="7" spans="1:29" s="25" customFormat="1" ht="15.75" thickBot="1">
      <c r="A7" s="301" t="s">
        <v>2256</v>
      </c>
      <c r="B7" s="302"/>
      <c r="C7" s="303">
        <f>'数据-取费表'!B2</f>
        <v>44333</v>
      </c>
      <c r="D7" s="304">
        <v>100</v>
      </c>
      <c r="E7" s="1571"/>
      <c r="F7" s="304">
        <f>SUMIF(46:46,YEAR(E7)&amp;"-"&amp;MONTH(E7),47:47)</f>
        <v>0</v>
      </c>
      <c r="G7" s="305"/>
      <c r="H7" s="304">
        <f>SUMIF(46:46,YEAR(G7)&amp;"-"&amp;MONTH(G7),47:47)</f>
        <v>0</v>
      </c>
      <c r="I7" s="305"/>
      <c r="J7" s="304">
        <f>SUMIF(46:46,YEAR(I7)&amp;"-"&amp;MONTH(I7),47:47)</f>
        <v>0</v>
      </c>
      <c r="K7" s="497"/>
      <c r="L7" s="3021"/>
      <c r="M7" s="3022"/>
      <c r="N7" s="3022"/>
      <c r="O7" s="3022"/>
      <c r="P7" s="3520" t="s">
        <v>2257</v>
      </c>
      <c r="Q7" s="3544"/>
      <c r="R7" s="627" t="s">
        <v>25</v>
      </c>
      <c r="S7" s="628">
        <f t="shared" ref="S7:S14" si="0">F7</f>
        <v>0</v>
      </c>
      <c r="T7" s="627" t="s">
        <v>25</v>
      </c>
      <c r="U7" s="628">
        <f t="shared" ref="U7:U14" si="1">H7</f>
        <v>0</v>
      </c>
      <c r="V7" s="627" t="s">
        <v>25</v>
      </c>
      <c r="W7" s="628">
        <f t="shared" ref="W7:W14" si="2">J7</f>
        <v>0</v>
      </c>
      <c r="X7" s="629"/>
      <c r="Y7" s="3520" t="s">
        <v>2257</v>
      </c>
      <c r="Z7" s="3521"/>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20" t="s">
        <v>2260</v>
      </c>
      <c r="Q8" s="3521"/>
      <c r="R8" s="627" t="s">
        <v>25</v>
      </c>
      <c r="S8" s="628">
        <f t="shared" si="0"/>
        <v>0</v>
      </c>
      <c r="T8" s="627" t="s">
        <v>25</v>
      </c>
      <c r="U8" s="628">
        <f t="shared" si="1"/>
        <v>0</v>
      </c>
      <c r="V8" s="627" t="s">
        <v>25</v>
      </c>
      <c r="W8" s="628">
        <f t="shared" si="2"/>
        <v>0</v>
      </c>
      <c r="X8" s="629"/>
      <c r="Y8" s="3520" t="s">
        <v>2260</v>
      </c>
      <c r="Z8" s="3521"/>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17" t="s">
        <v>2263</v>
      </c>
      <c r="Q9" s="1325" t="str">
        <f t="shared" ref="Q9:Q14" si="6">B9</f>
        <v>用途</v>
      </c>
      <c r="R9" s="627" t="s">
        <v>25</v>
      </c>
      <c r="S9" s="628">
        <f t="shared" si="0"/>
        <v>100</v>
      </c>
      <c r="T9" s="627" t="s">
        <v>25</v>
      </c>
      <c r="U9" s="628">
        <f t="shared" si="1"/>
        <v>100</v>
      </c>
      <c r="V9" s="627" t="s">
        <v>25</v>
      </c>
      <c r="W9" s="628">
        <f t="shared" si="2"/>
        <v>100</v>
      </c>
      <c r="X9" s="629"/>
      <c r="Y9" s="3547"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17"/>
      <c r="Q10" s="1325" t="str">
        <f t="shared" si="6"/>
        <v>土地使用年限（年）</v>
      </c>
      <c r="R10" s="627" t="s">
        <v>25</v>
      </c>
      <c r="S10" s="628">
        <f t="shared" si="0"/>
        <v>100</v>
      </c>
      <c r="T10" s="627" t="s">
        <v>25</v>
      </c>
      <c r="U10" s="628">
        <f t="shared" si="1"/>
        <v>100</v>
      </c>
      <c r="V10" s="627" t="s">
        <v>25</v>
      </c>
      <c r="W10" s="628">
        <f t="shared" si="2"/>
        <v>100</v>
      </c>
      <c r="X10" s="629"/>
      <c r="Y10" s="3547"/>
      <c r="Z10" s="19" t="str">
        <f t="shared" si="7"/>
        <v>土地使用年限（年）</v>
      </c>
      <c r="AA10" s="630">
        <f t="shared" si="3"/>
        <v>1</v>
      </c>
      <c r="AB10" s="630">
        <f t="shared" si="4"/>
        <v>1</v>
      </c>
      <c r="AC10" s="630">
        <f t="shared" si="5"/>
        <v>1</v>
      </c>
    </row>
    <row r="11" spans="1:29" ht="15">
      <c r="A11" s="318"/>
      <c r="B11" s="1559">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17"/>
      <c r="Q11" s="1325">
        <f t="shared" si="6"/>
        <v>111</v>
      </c>
      <c r="R11" s="627" t="s">
        <v>25</v>
      </c>
      <c r="S11" s="628">
        <f t="shared" si="0"/>
        <v>100</v>
      </c>
      <c r="T11" s="627" t="s">
        <v>25</v>
      </c>
      <c r="U11" s="628">
        <f t="shared" si="1"/>
        <v>100</v>
      </c>
      <c r="V11" s="627" t="s">
        <v>25</v>
      </c>
      <c r="W11" s="628">
        <f t="shared" si="2"/>
        <v>100</v>
      </c>
      <c r="X11" s="629"/>
      <c r="Y11" s="3547"/>
      <c r="Z11" s="19">
        <f t="shared" si="7"/>
        <v>111</v>
      </c>
      <c r="AA11" s="630">
        <f t="shared" si="3"/>
        <v>1</v>
      </c>
      <c r="AB11" s="630">
        <f t="shared" si="4"/>
        <v>1</v>
      </c>
      <c r="AC11" s="630">
        <f t="shared" si="5"/>
        <v>1</v>
      </c>
    </row>
    <row r="12" spans="1:29" s="25" customFormat="1" ht="15">
      <c r="A12" s="321"/>
      <c r="B12" s="1559">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17"/>
      <c r="Q12" s="1325">
        <f t="shared" si="6"/>
        <v>111</v>
      </c>
      <c r="R12" s="627" t="s">
        <v>25</v>
      </c>
      <c r="S12" s="628">
        <f t="shared" si="0"/>
        <v>100</v>
      </c>
      <c r="T12" s="627" t="s">
        <v>25</v>
      </c>
      <c r="U12" s="628">
        <f t="shared" si="1"/>
        <v>100</v>
      </c>
      <c r="V12" s="627" t="s">
        <v>25</v>
      </c>
      <c r="W12" s="628">
        <f t="shared" si="2"/>
        <v>100</v>
      </c>
      <c r="X12" s="629"/>
      <c r="Y12" s="3547"/>
      <c r="Z12" s="19">
        <f t="shared" si="7"/>
        <v>111</v>
      </c>
      <c r="AA12" s="630">
        <f>D12/F12</f>
        <v>1</v>
      </c>
      <c r="AB12" s="630">
        <f>D12/H12</f>
        <v>1</v>
      </c>
      <c r="AC12" s="630">
        <f>D12/J12</f>
        <v>1</v>
      </c>
    </row>
    <row r="13" spans="1:29" ht="15.75" thickBot="1">
      <c r="A13" s="318"/>
      <c r="B13" s="1559">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17"/>
      <c r="Q13" s="1325">
        <f t="shared" si="6"/>
        <v>111</v>
      </c>
      <c r="R13" s="627" t="s">
        <v>25</v>
      </c>
      <c r="S13" s="628">
        <f t="shared" si="0"/>
        <v>100</v>
      </c>
      <c r="T13" s="627" t="s">
        <v>25</v>
      </c>
      <c r="U13" s="628">
        <f t="shared" si="1"/>
        <v>100</v>
      </c>
      <c r="V13" s="627" t="s">
        <v>25</v>
      </c>
      <c r="W13" s="628">
        <f t="shared" si="2"/>
        <v>100</v>
      </c>
      <c r="X13" s="629"/>
      <c r="Y13" s="3547"/>
      <c r="Z13" s="19">
        <f t="shared" si="7"/>
        <v>111</v>
      </c>
      <c r="AA13" s="630">
        <f t="shared" si="3"/>
        <v>1</v>
      </c>
      <c r="AB13" s="630">
        <f t="shared" si="4"/>
        <v>1</v>
      </c>
      <c r="AC13" s="630">
        <f t="shared" si="5"/>
        <v>1</v>
      </c>
    </row>
    <row r="14" spans="1:29" ht="85.5">
      <c r="A14" s="329" t="s">
        <v>2267</v>
      </c>
      <c r="B14" s="22" t="s">
        <v>2405</v>
      </c>
      <c r="C14" s="1577"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545" t="s">
        <v>2268</v>
      </c>
      <c r="Q14" s="1332" t="str">
        <f t="shared" si="6"/>
        <v>交通便捷度</v>
      </c>
      <c r="R14" s="631" t="s">
        <v>25</v>
      </c>
      <c r="S14" s="632">
        <f t="shared" si="0"/>
        <v>100</v>
      </c>
      <c r="T14" s="631" t="s">
        <v>25</v>
      </c>
      <c r="U14" s="632">
        <f t="shared" si="1"/>
        <v>100</v>
      </c>
      <c r="V14" s="631" t="s">
        <v>25</v>
      </c>
      <c r="W14" s="632">
        <f t="shared" si="2"/>
        <v>100</v>
      </c>
      <c r="X14" s="1333"/>
      <c r="Y14" s="3545" t="s">
        <v>2268</v>
      </c>
      <c r="Z14" s="1334" t="str">
        <f t="shared" si="7"/>
        <v>交通便捷度</v>
      </c>
      <c r="AA14" s="1335">
        <f t="shared" si="3"/>
        <v>1</v>
      </c>
      <c r="AB14" s="1335">
        <f t="shared" si="4"/>
        <v>1</v>
      </c>
      <c r="AC14" s="1335">
        <f t="shared" si="5"/>
        <v>1</v>
      </c>
    </row>
    <row r="15" spans="1:29" ht="15">
      <c r="A15" s="318"/>
      <c r="B15" s="334"/>
      <c r="C15" s="335"/>
      <c r="D15" s="336"/>
      <c r="E15" s="335"/>
      <c r="F15" s="338"/>
      <c r="G15" s="335"/>
      <c r="H15" s="339"/>
      <c r="I15" s="335"/>
      <c r="J15" s="336"/>
      <c r="K15" s="501"/>
      <c r="L15" s="3029"/>
      <c r="M15" s="3020"/>
      <c r="N15" s="3020"/>
      <c r="O15" s="3028"/>
      <c r="P15" s="3546"/>
      <c r="Q15" s="1332"/>
      <c r="R15" s="631"/>
      <c r="S15" s="632"/>
      <c r="T15" s="631"/>
      <c r="U15" s="632"/>
      <c r="V15" s="631"/>
      <c r="W15" s="632"/>
      <c r="X15" s="1333"/>
      <c r="Y15" s="3546"/>
      <c r="Z15" s="1334"/>
      <c r="AA15" s="1335">
        <v>1</v>
      </c>
      <c r="AB15" s="1335">
        <v>1</v>
      </c>
      <c r="AC15" s="1335">
        <v>1</v>
      </c>
    </row>
    <row r="16" spans="1:29" ht="42.75">
      <c r="A16" s="318"/>
      <c r="B16" s="513" t="s">
        <v>2383</v>
      </c>
      <c r="C16" s="1563"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46"/>
      <c r="Q16" s="1332" t="str">
        <f>B16</f>
        <v>公共配套设施</v>
      </c>
      <c r="R16" s="631" t="s">
        <v>25</v>
      </c>
      <c r="S16" s="632">
        <f>F16</f>
        <v>100</v>
      </c>
      <c r="T16" s="631" t="s">
        <v>25</v>
      </c>
      <c r="U16" s="632">
        <f>H16</f>
        <v>100</v>
      </c>
      <c r="V16" s="631" t="s">
        <v>25</v>
      </c>
      <c r="W16" s="632">
        <f>J16</f>
        <v>100</v>
      </c>
      <c r="X16" s="1333"/>
      <c r="Y16" s="3546"/>
      <c r="Z16" s="1334" t="str">
        <f>Q16</f>
        <v>公共配套设施</v>
      </c>
      <c r="AA16" s="1335">
        <f t="shared" si="3"/>
        <v>1</v>
      </c>
      <c r="AB16" s="1335">
        <f t="shared" si="4"/>
        <v>1</v>
      </c>
      <c r="AC16" s="1335">
        <f t="shared" si="5"/>
        <v>1</v>
      </c>
    </row>
    <row r="17" spans="1:29" ht="15">
      <c r="A17" s="318"/>
      <c r="B17" s="514"/>
      <c r="C17" s="346"/>
      <c r="D17" s="336"/>
      <c r="E17" s="335"/>
      <c r="F17" s="338"/>
      <c r="G17" s="335"/>
      <c r="H17" s="336"/>
      <c r="I17" s="335"/>
      <c r="J17" s="336"/>
      <c r="K17" s="501"/>
      <c r="L17" s="3029"/>
      <c r="M17" s="3020"/>
      <c r="N17" s="3020"/>
      <c r="O17" s="3028"/>
      <c r="P17" s="3546"/>
      <c r="Q17" s="1332"/>
      <c r="R17" s="631"/>
      <c r="S17" s="632"/>
      <c r="T17" s="631"/>
      <c r="U17" s="632"/>
      <c r="V17" s="631"/>
      <c r="W17" s="632"/>
      <c r="X17" s="1333"/>
      <c r="Y17" s="3546"/>
      <c r="Z17" s="1334"/>
      <c r="AA17" s="1335">
        <v>1</v>
      </c>
      <c r="AB17" s="1335">
        <v>1</v>
      </c>
      <c r="AC17" s="1335">
        <v>1</v>
      </c>
    </row>
    <row r="18" spans="1:29" ht="28.5">
      <c r="A18" s="318"/>
      <c r="B18" s="515" t="s">
        <v>2384</v>
      </c>
      <c r="C18" s="1563"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46"/>
      <c r="Q18" s="1332" t="str">
        <f>B18</f>
        <v>基础设施水平</v>
      </c>
      <c r="R18" s="631" t="s">
        <v>25</v>
      </c>
      <c r="S18" s="632">
        <f>F18</f>
        <v>100</v>
      </c>
      <c r="T18" s="631" t="s">
        <v>25</v>
      </c>
      <c r="U18" s="632">
        <f>H18</f>
        <v>100</v>
      </c>
      <c r="V18" s="631" t="s">
        <v>25</v>
      </c>
      <c r="W18" s="632">
        <f>J18</f>
        <v>100</v>
      </c>
      <c r="X18" s="1333"/>
      <c r="Y18" s="3546"/>
      <c r="Z18" s="1334" t="str">
        <f>Q18</f>
        <v>基础设施水平</v>
      </c>
      <c r="AA18" s="1335">
        <f t="shared" ref="AA18" si="8">D18/F18</f>
        <v>1</v>
      </c>
      <c r="AB18" s="1335">
        <f t="shared" ref="AB18" si="9">D18/H18</f>
        <v>1</v>
      </c>
      <c r="AC18" s="1335">
        <f t="shared" ref="AC18" si="10">D18/J18</f>
        <v>1</v>
      </c>
    </row>
    <row r="19" spans="1:29" ht="15">
      <c r="A19" s="318"/>
      <c r="B19" s="515"/>
      <c r="C19" s="346"/>
      <c r="D19" s="336"/>
      <c r="E19" s="346"/>
      <c r="F19" s="342"/>
      <c r="G19" s="346"/>
      <c r="H19" s="336"/>
      <c r="I19" s="335"/>
      <c r="J19" s="336"/>
      <c r="K19" s="1130"/>
      <c r="L19" s="3029"/>
      <c r="M19" s="3020"/>
      <c r="N19" s="3020"/>
      <c r="O19" s="3028"/>
      <c r="P19" s="3546"/>
      <c r="Q19" s="1332"/>
      <c r="R19" s="631"/>
      <c r="S19" s="632"/>
      <c r="T19" s="631"/>
      <c r="U19" s="632"/>
      <c r="V19" s="631"/>
      <c r="W19" s="632"/>
      <c r="X19" s="1333"/>
      <c r="Y19" s="3546"/>
      <c r="Z19" s="1334"/>
      <c r="AA19" s="1335">
        <v>1</v>
      </c>
      <c r="AB19" s="1335">
        <v>1</v>
      </c>
      <c r="AC19" s="1335">
        <v>1</v>
      </c>
    </row>
    <row r="20" spans="1:29" ht="57">
      <c r="A20" s="318"/>
      <c r="B20" s="340" t="s">
        <v>2406</v>
      </c>
      <c r="C20" s="1563"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46"/>
      <c r="Q20" s="1332" t="str">
        <f>B20</f>
        <v>自然及人文环境</v>
      </c>
      <c r="R20" s="631" t="s">
        <v>25</v>
      </c>
      <c r="S20" s="632">
        <f>F20</f>
        <v>100</v>
      </c>
      <c r="T20" s="631" t="s">
        <v>25</v>
      </c>
      <c r="U20" s="632">
        <f>H20</f>
        <v>100</v>
      </c>
      <c r="V20" s="631" t="s">
        <v>25</v>
      </c>
      <c r="W20" s="632">
        <f>J20</f>
        <v>100</v>
      </c>
      <c r="X20" s="1333"/>
      <c r="Y20" s="3546"/>
      <c r="Z20" s="1334" t="str">
        <f>Q20</f>
        <v>自然及人文环境</v>
      </c>
      <c r="AA20" s="1335">
        <f t="shared" si="3"/>
        <v>1</v>
      </c>
      <c r="AB20" s="1335">
        <f t="shared" si="4"/>
        <v>1</v>
      </c>
      <c r="AC20" s="1335">
        <f t="shared" si="5"/>
        <v>1</v>
      </c>
    </row>
    <row r="21" spans="1:29" ht="15">
      <c r="A21" s="318"/>
      <c r="B21" s="345"/>
      <c r="C21" s="335"/>
      <c r="D21" s="336"/>
      <c r="E21" s="335"/>
      <c r="F21" s="338"/>
      <c r="G21" s="335"/>
      <c r="H21" s="336"/>
      <c r="I21" s="335"/>
      <c r="J21" s="336"/>
      <c r="K21" s="501"/>
      <c r="L21" s="3029"/>
      <c r="M21" s="3020"/>
      <c r="N21" s="3020"/>
      <c r="O21" s="3028"/>
      <c r="P21" s="3546"/>
      <c r="Q21" s="1332"/>
      <c r="R21" s="631"/>
      <c r="S21" s="632"/>
      <c r="T21" s="631"/>
      <c r="U21" s="632"/>
      <c r="V21" s="631"/>
      <c r="W21" s="632"/>
      <c r="X21" s="1333"/>
      <c r="Y21" s="3546"/>
      <c r="Z21" s="1334"/>
      <c r="AA21" s="1335">
        <v>1</v>
      </c>
      <c r="AB21" s="1335">
        <v>1</v>
      </c>
      <c r="AC21" s="1335">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46"/>
      <c r="Q22" s="1332" t="str">
        <f>B22</f>
        <v>楼层</v>
      </c>
      <c r="R22" s="631" t="s">
        <v>25</v>
      </c>
      <c r="S22" s="632">
        <f>F22</f>
        <v>100</v>
      </c>
      <c r="T22" s="631" t="s">
        <v>25</v>
      </c>
      <c r="U22" s="632">
        <f>H22</f>
        <v>100</v>
      </c>
      <c r="V22" s="631" t="s">
        <v>25</v>
      </c>
      <c r="W22" s="632">
        <f>J22</f>
        <v>100</v>
      </c>
      <c r="X22" s="1333"/>
      <c r="Y22" s="3546"/>
      <c r="Z22" s="1334" t="str">
        <f>Q22</f>
        <v>楼层</v>
      </c>
      <c r="AA22" s="1335">
        <f t="shared" si="3"/>
        <v>1</v>
      </c>
      <c r="AB22" s="1335">
        <f t="shared" si="4"/>
        <v>1</v>
      </c>
      <c r="AC22" s="1335">
        <f t="shared" si="5"/>
        <v>1</v>
      </c>
    </row>
    <row r="23" spans="1:29" ht="15">
      <c r="A23" s="297"/>
      <c r="B23" s="1559">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46"/>
      <c r="Q23" s="1332">
        <f>B23</f>
        <v>111</v>
      </c>
      <c r="R23" s="631" t="s">
        <v>25</v>
      </c>
      <c r="S23" s="632">
        <f>F23</f>
        <v>100</v>
      </c>
      <c r="T23" s="631" t="s">
        <v>25</v>
      </c>
      <c r="U23" s="632">
        <f>H23</f>
        <v>100</v>
      </c>
      <c r="V23" s="631" t="s">
        <v>25</v>
      </c>
      <c r="W23" s="632">
        <f>J23</f>
        <v>100</v>
      </c>
      <c r="X23" s="1333"/>
      <c r="Y23" s="3546"/>
      <c r="Z23" s="1334">
        <f>Q23</f>
        <v>111</v>
      </c>
      <c r="AA23" s="1335">
        <f t="shared" si="3"/>
        <v>1</v>
      </c>
      <c r="AB23" s="1335">
        <f t="shared" si="4"/>
        <v>1</v>
      </c>
      <c r="AC23" s="1335">
        <f t="shared" si="5"/>
        <v>1</v>
      </c>
    </row>
    <row r="24" spans="1:29" ht="15">
      <c r="A24" s="318"/>
      <c r="B24" s="1559">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46"/>
      <c r="Q24" s="1332">
        <f t="shared" ref="Q24:Q34" si="11">B24</f>
        <v>111</v>
      </c>
      <c r="R24" s="631" t="s">
        <v>25</v>
      </c>
      <c r="S24" s="632">
        <f>F24</f>
        <v>100</v>
      </c>
      <c r="T24" s="631" t="s">
        <v>25</v>
      </c>
      <c r="U24" s="632">
        <f>H24</f>
        <v>100</v>
      </c>
      <c r="V24" s="631" t="s">
        <v>25</v>
      </c>
      <c r="W24" s="632">
        <f>J24</f>
        <v>100</v>
      </c>
      <c r="X24" s="1333"/>
      <c r="Y24" s="3546"/>
      <c r="Z24" s="1334">
        <f>Q24</f>
        <v>111</v>
      </c>
      <c r="AA24" s="1335">
        <f t="shared" si="3"/>
        <v>1</v>
      </c>
      <c r="AB24" s="1335">
        <f t="shared" si="4"/>
        <v>1</v>
      </c>
      <c r="AC24" s="1335">
        <f t="shared" si="5"/>
        <v>1</v>
      </c>
    </row>
    <row r="25" spans="1:29" s="25" customFormat="1" ht="15.75" thickBot="1">
      <c r="A25" s="321"/>
      <c r="B25" s="1559">
        <v>111</v>
      </c>
      <c r="C25" s="1580"/>
      <c r="D25" s="546">
        <v>100</v>
      </c>
      <c r="E25" s="1580"/>
      <c r="F25" s="547">
        <f>SUMIF(75:75,E25,76:76)-SUMIF(75:75,C25,76:76)+100</f>
        <v>100</v>
      </c>
      <c r="G25" s="1580"/>
      <c r="H25" s="546">
        <f>SUMIF(75:75,G25,76:76)-SUMIF(75:75,C25,76:76)+100</f>
        <v>100</v>
      </c>
      <c r="I25" s="1580"/>
      <c r="J25" s="546">
        <f>SUMIF(75:75,I25,76:76)-SUMIF(75:75,C25,76:76)+100</f>
        <v>100</v>
      </c>
      <c r="K25" s="499"/>
      <c r="L25" s="3021"/>
      <c r="M25" s="3022"/>
      <c r="N25" s="3022"/>
      <c r="O25" s="3023"/>
      <c r="P25" s="3546"/>
      <c r="Q25" s="1325">
        <f t="shared" si="11"/>
        <v>111</v>
      </c>
      <c r="R25" s="627" t="s">
        <v>25</v>
      </c>
      <c r="S25" s="628">
        <f>F25</f>
        <v>100</v>
      </c>
      <c r="T25" s="627" t="s">
        <v>25</v>
      </c>
      <c r="U25" s="628">
        <f>H25</f>
        <v>100</v>
      </c>
      <c r="V25" s="627" t="s">
        <v>25</v>
      </c>
      <c r="W25" s="628">
        <f>J25</f>
        <v>100</v>
      </c>
      <c r="X25" s="629"/>
      <c r="Y25" s="3546"/>
      <c r="Z25" s="19">
        <f>Q25</f>
        <v>111</v>
      </c>
      <c r="AA25" s="1335">
        <f>D25/F25</f>
        <v>1</v>
      </c>
      <c r="AB25" s="1335">
        <f>D25/H25</f>
        <v>1</v>
      </c>
      <c r="AC25" s="1335">
        <f>D25/J25</f>
        <v>1</v>
      </c>
    </row>
    <row r="26" spans="1:29" ht="28.5">
      <c r="A26" s="354" t="s">
        <v>2272</v>
      </c>
      <c r="B26" s="24" t="s">
        <v>2410</v>
      </c>
      <c r="C26" s="1573"/>
      <c r="D26" s="355">
        <v>100</v>
      </c>
      <c r="E26" s="1573"/>
      <c r="F26" s="548">
        <f>SUMIF(77:77,E26,78:78)-SUMIF(77:77,C26,78:78)+100</f>
        <v>100</v>
      </c>
      <c r="G26" s="1573"/>
      <c r="H26" s="355">
        <f>SUMIF(77:77,G26,78:78)-SUMIF(77:77,C26,78:78)+100</f>
        <v>100</v>
      </c>
      <c r="I26" s="1573"/>
      <c r="J26" s="355">
        <f>SUMIF(77:77,I26,78:78)-SUMIF(77:77,C26,78:78)+100</f>
        <v>100</v>
      </c>
      <c r="K26" s="498"/>
      <c r="L26" s="3029"/>
      <c r="M26" s="3020"/>
      <c r="N26" s="3020"/>
      <c r="O26" s="3028"/>
      <c r="P26" s="3548" t="s">
        <v>2274</v>
      </c>
      <c r="Q26" s="1332" t="str">
        <f t="shared" si="11"/>
        <v>公共部分装修</v>
      </c>
      <c r="R26" s="631" t="s">
        <v>25</v>
      </c>
      <c r="S26" s="632">
        <f t="shared" ref="S26:S34" si="12">F26</f>
        <v>100</v>
      </c>
      <c r="T26" s="631" t="s">
        <v>25</v>
      </c>
      <c r="U26" s="632">
        <f t="shared" ref="U26:U34" si="13">H26</f>
        <v>100</v>
      </c>
      <c r="V26" s="631" t="s">
        <v>25</v>
      </c>
      <c r="W26" s="632">
        <f t="shared" ref="W26:W34" si="14">J26</f>
        <v>100</v>
      </c>
      <c r="X26" s="1333"/>
      <c r="Y26" s="3549" t="s">
        <v>2274</v>
      </c>
      <c r="Z26" s="1334" t="str">
        <f t="shared" ref="Z26:Z34" si="15">Q26</f>
        <v>公共部分装修</v>
      </c>
      <c r="AA26" s="1335">
        <f t="shared" si="3"/>
        <v>1</v>
      </c>
      <c r="AB26" s="1335">
        <f t="shared" si="4"/>
        <v>1</v>
      </c>
      <c r="AC26" s="1335">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549"/>
      <c r="Q27" s="633" t="str">
        <f t="shared" si="11"/>
        <v>成新率</v>
      </c>
      <c r="R27" s="634" t="s">
        <v>25</v>
      </c>
      <c r="S27" s="635" t="e">
        <f t="shared" si="12"/>
        <v>#N/A</v>
      </c>
      <c r="T27" s="634" t="s">
        <v>25</v>
      </c>
      <c r="U27" s="635" t="e">
        <f t="shared" si="13"/>
        <v>#N/A</v>
      </c>
      <c r="V27" s="634" t="s">
        <v>25</v>
      </c>
      <c r="W27" s="635" t="e">
        <f t="shared" si="14"/>
        <v>#N/A</v>
      </c>
      <c r="X27" s="636"/>
      <c r="Y27" s="3549"/>
      <c r="Z27" s="637" t="str">
        <f t="shared" si="15"/>
        <v>成新率</v>
      </c>
      <c r="AA27" s="1335" t="e">
        <f t="shared" si="3"/>
        <v>#N/A</v>
      </c>
      <c r="AB27" s="1335" t="e">
        <f t="shared" si="4"/>
        <v>#N/A</v>
      </c>
      <c r="AC27" s="1335"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549"/>
      <c r="Q28" s="1332" t="str">
        <f t="shared" si="11"/>
        <v>物业等级</v>
      </c>
      <c r="R28" s="631" t="s">
        <v>25</v>
      </c>
      <c r="S28" s="632">
        <f t="shared" si="12"/>
        <v>100</v>
      </c>
      <c r="T28" s="631" t="s">
        <v>25</v>
      </c>
      <c r="U28" s="632">
        <f t="shared" si="13"/>
        <v>100</v>
      </c>
      <c r="V28" s="631" t="s">
        <v>25</v>
      </c>
      <c r="W28" s="632">
        <f t="shared" si="14"/>
        <v>100</v>
      </c>
      <c r="X28" s="1333"/>
      <c r="Y28" s="3549"/>
      <c r="Z28" s="1334" t="str">
        <f t="shared" si="15"/>
        <v>物业等级</v>
      </c>
      <c r="AA28" s="1335">
        <f t="shared" si="3"/>
        <v>1</v>
      </c>
      <c r="AB28" s="1335">
        <f t="shared" si="4"/>
        <v>1</v>
      </c>
      <c r="AC28" s="1335">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549"/>
      <c r="Q29" s="1332" t="str">
        <f t="shared" si="11"/>
        <v>有无电梯</v>
      </c>
      <c r="R29" s="631" t="s">
        <v>25</v>
      </c>
      <c r="S29" s="632">
        <f t="shared" si="12"/>
        <v>100</v>
      </c>
      <c r="T29" s="631" t="s">
        <v>25</v>
      </c>
      <c r="U29" s="632">
        <f t="shared" si="13"/>
        <v>100</v>
      </c>
      <c r="V29" s="631" t="s">
        <v>25</v>
      </c>
      <c r="W29" s="632">
        <f t="shared" si="14"/>
        <v>100</v>
      </c>
      <c r="X29" s="1333"/>
      <c r="Y29" s="3549"/>
      <c r="Z29" s="1334" t="str">
        <f t="shared" si="15"/>
        <v>有无电梯</v>
      </c>
      <c r="AA29" s="1335">
        <f t="shared" si="3"/>
        <v>1</v>
      </c>
      <c r="AB29" s="1335">
        <f t="shared" si="4"/>
        <v>1</v>
      </c>
      <c r="AC29" s="1335">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549"/>
      <c r="Q30" s="1332" t="str">
        <f t="shared" si="11"/>
        <v>建筑面积</v>
      </c>
      <c r="R30" s="631" t="s">
        <v>25</v>
      </c>
      <c r="S30" s="632" t="e">
        <f t="shared" si="12"/>
        <v>#N/A</v>
      </c>
      <c r="T30" s="631" t="s">
        <v>25</v>
      </c>
      <c r="U30" s="632" t="e">
        <f t="shared" si="13"/>
        <v>#N/A</v>
      </c>
      <c r="V30" s="631" t="s">
        <v>25</v>
      </c>
      <c r="W30" s="632" t="e">
        <f t="shared" si="14"/>
        <v>#N/A</v>
      </c>
      <c r="X30" s="1333"/>
      <c r="Y30" s="3549"/>
      <c r="Z30" s="1334" t="str">
        <f t="shared" si="15"/>
        <v>建筑面积</v>
      </c>
      <c r="AA30" s="1335" t="e">
        <f t="shared" si="3"/>
        <v>#N/A</v>
      </c>
      <c r="AB30" s="1335" t="e">
        <f t="shared" si="4"/>
        <v>#N/A</v>
      </c>
      <c r="AC30" s="1335"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549"/>
      <c r="Q31" s="1325" t="str">
        <f t="shared" si="11"/>
        <v>是否封闭</v>
      </c>
      <c r="R31" s="627" t="s">
        <v>25</v>
      </c>
      <c r="S31" s="628">
        <f t="shared" si="12"/>
        <v>100</v>
      </c>
      <c r="T31" s="627" t="s">
        <v>25</v>
      </c>
      <c r="U31" s="628">
        <f t="shared" si="13"/>
        <v>100</v>
      </c>
      <c r="V31" s="627" t="s">
        <v>25</v>
      </c>
      <c r="W31" s="628">
        <f t="shared" si="14"/>
        <v>100</v>
      </c>
      <c r="X31" s="629"/>
      <c r="Y31" s="3549"/>
      <c r="Z31" s="19" t="str">
        <f t="shared" si="15"/>
        <v>是否封闭</v>
      </c>
      <c r="AA31" s="630">
        <f t="shared" si="3"/>
        <v>1</v>
      </c>
      <c r="AB31" s="630">
        <f t="shared" si="4"/>
        <v>1</v>
      </c>
      <c r="AC31" s="630">
        <f t="shared" si="5"/>
        <v>1</v>
      </c>
    </row>
    <row r="32" spans="1:29" ht="15">
      <c r="A32" s="360"/>
      <c r="B32" s="1559">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549" t="s">
        <v>2274</v>
      </c>
      <c r="Q32" s="1332">
        <f t="shared" si="11"/>
        <v>111</v>
      </c>
      <c r="R32" s="631" t="s">
        <v>25</v>
      </c>
      <c r="S32" s="632">
        <f t="shared" si="12"/>
        <v>100</v>
      </c>
      <c r="T32" s="631" t="s">
        <v>25</v>
      </c>
      <c r="U32" s="632">
        <f t="shared" si="13"/>
        <v>100</v>
      </c>
      <c r="V32" s="631" t="s">
        <v>25</v>
      </c>
      <c r="W32" s="632">
        <f t="shared" si="14"/>
        <v>100</v>
      </c>
      <c r="X32" s="1333"/>
      <c r="Y32" s="3549" t="s">
        <v>2274</v>
      </c>
      <c r="Z32" s="1334">
        <f t="shared" si="15"/>
        <v>111</v>
      </c>
      <c r="AA32" s="1335">
        <f t="shared" si="3"/>
        <v>1</v>
      </c>
      <c r="AB32" s="1335">
        <f t="shared" si="4"/>
        <v>1</v>
      </c>
      <c r="AC32" s="1335">
        <f t="shared" si="5"/>
        <v>1</v>
      </c>
    </row>
    <row r="33" spans="1:29" ht="15">
      <c r="A33" s="360"/>
      <c r="B33" s="1559">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549"/>
      <c r="Q33" s="1332">
        <f t="shared" si="11"/>
        <v>111</v>
      </c>
      <c r="R33" s="631" t="s">
        <v>25</v>
      </c>
      <c r="S33" s="632">
        <f t="shared" si="12"/>
        <v>100</v>
      </c>
      <c r="T33" s="631" t="s">
        <v>25</v>
      </c>
      <c r="U33" s="632">
        <f t="shared" si="13"/>
        <v>100</v>
      </c>
      <c r="V33" s="631" t="s">
        <v>25</v>
      </c>
      <c r="W33" s="632">
        <f t="shared" si="14"/>
        <v>100</v>
      </c>
      <c r="X33" s="1333"/>
      <c r="Y33" s="3549"/>
      <c r="Z33" s="1334">
        <f t="shared" si="15"/>
        <v>111</v>
      </c>
      <c r="AA33" s="1335">
        <f t="shared" si="3"/>
        <v>1</v>
      </c>
      <c r="AB33" s="1335">
        <f t="shared" si="4"/>
        <v>1</v>
      </c>
      <c r="AC33" s="1335">
        <f t="shared" si="5"/>
        <v>1</v>
      </c>
    </row>
    <row r="34" spans="1:29" ht="15.75" thickBot="1">
      <c r="A34" s="366"/>
      <c r="B34" s="1560">
        <v>111</v>
      </c>
      <c r="C34" s="1561"/>
      <c r="D34" s="327">
        <v>100</v>
      </c>
      <c r="E34" s="1581"/>
      <c r="F34" s="328">
        <f>SUMIF(95:95,E34,96:96)-SUMIF(95:95,C34,96:96)+100</f>
        <v>100</v>
      </c>
      <c r="G34" s="1581"/>
      <c r="H34" s="327">
        <f>SUMIF(95:95,G34,96:96)-SUMIF(95:95,C34,96:96)+100</f>
        <v>100</v>
      </c>
      <c r="I34" s="1581"/>
      <c r="J34" s="327">
        <f>SUMIF(95:95,I34,96:96)-SUMIF(95:95,C34,96:96)+100</f>
        <v>100</v>
      </c>
      <c r="K34" s="499"/>
      <c r="L34" s="3029"/>
      <c r="M34" s="3020"/>
      <c r="N34" s="3020"/>
      <c r="O34" s="3028"/>
      <c r="P34" s="3549"/>
      <c r="Q34" s="1332">
        <f t="shared" si="11"/>
        <v>111</v>
      </c>
      <c r="R34" s="631" t="s">
        <v>25</v>
      </c>
      <c r="S34" s="632">
        <f t="shared" si="12"/>
        <v>100</v>
      </c>
      <c r="T34" s="631" t="s">
        <v>25</v>
      </c>
      <c r="U34" s="632">
        <f t="shared" si="13"/>
        <v>100</v>
      </c>
      <c r="V34" s="631" t="s">
        <v>25</v>
      </c>
      <c r="W34" s="632">
        <f t="shared" si="14"/>
        <v>100</v>
      </c>
      <c r="X34" s="1333"/>
      <c r="Y34" s="3549"/>
      <c r="Z34" s="1334">
        <f t="shared" si="15"/>
        <v>111</v>
      </c>
      <c r="AA34" s="1335">
        <f t="shared" si="3"/>
        <v>1</v>
      </c>
      <c r="AB34" s="1335">
        <f t="shared" si="4"/>
        <v>1</v>
      </c>
      <c r="AC34" s="1335">
        <f t="shared" si="5"/>
        <v>1</v>
      </c>
    </row>
    <row r="35" spans="1:29" ht="15">
      <c r="A35" s="367" t="s">
        <v>2286</v>
      </c>
      <c r="B35" s="368"/>
      <c r="C35" s="1151" t="s">
        <v>1</v>
      </c>
      <c r="D35" s="1152"/>
      <c r="E35" s="1153"/>
      <c r="F35" s="1154"/>
      <c r="G35" s="1155"/>
      <c r="H35" s="1156"/>
      <c r="I35" s="1153"/>
      <c r="J35" s="1156"/>
      <c r="K35" s="640"/>
      <c r="L35" s="3031"/>
      <c r="N35" s="3020"/>
      <c r="P35" s="3517" t="str">
        <f>A35</f>
        <v>成交单价（元/平方米）</v>
      </c>
      <c r="Q35" s="3517"/>
      <c r="R35" s="3551">
        <f>E35</f>
        <v>0</v>
      </c>
      <c r="S35" s="3551"/>
      <c r="T35" s="3551">
        <f>G35</f>
        <v>0</v>
      </c>
      <c r="U35" s="3551"/>
      <c r="V35" s="3551">
        <f>I35</f>
        <v>0</v>
      </c>
      <c r="W35" s="3551"/>
      <c r="X35" s="618"/>
      <c r="Y35" s="638"/>
      <c r="Z35" s="618"/>
      <c r="AA35" s="618"/>
      <c r="AB35" s="618"/>
      <c r="AC35" s="618"/>
    </row>
    <row r="36" spans="1:29" ht="15.75" thickBot="1">
      <c r="A36" s="374" t="s">
        <v>2369</v>
      </c>
      <c r="B36" s="375"/>
      <c r="C36" s="1157" t="e">
        <f>R37</f>
        <v>#DIV/0!</v>
      </c>
      <c r="D36" s="1792" t="s">
        <v>2742</v>
      </c>
      <c r="E36" s="1158" t="e">
        <f>R36</f>
        <v>#DIV/0!</v>
      </c>
      <c r="F36" s="1794"/>
      <c r="G36" s="1157" t="e">
        <f>T36</f>
        <v>#DIV/0!</v>
      </c>
      <c r="H36" s="1794"/>
      <c r="I36" s="1158" t="e">
        <f>V36</f>
        <v>#DIV/0!</v>
      </c>
      <c r="J36" s="1794"/>
      <c r="K36" s="2506">
        <f>F36+H36+J36</f>
        <v>0</v>
      </c>
      <c r="L36" s="3031"/>
      <c r="N36" s="3020"/>
      <c r="P36" s="3517" t="str">
        <f>A36</f>
        <v>比较价值（元/平方米）</v>
      </c>
      <c r="Q36" s="3517"/>
      <c r="R36" s="3551" t="e">
        <f>IF(E1="售价",ROUND(PRODUCT(R35,AA7:AA34),0),ROUND(PRODUCT(R35,AA7:AA34),1))</f>
        <v>#DIV/0!</v>
      </c>
      <c r="S36" s="3551"/>
      <c r="T36" s="3551" t="e">
        <f>IF(E1="售价",ROUND(PRODUCT(T35,AB7:AB34),0),ROUND(PRODUCT(T35,AB7:AB34),1))</f>
        <v>#DIV/0!</v>
      </c>
      <c r="U36" s="3551"/>
      <c r="V36" s="3551" t="e">
        <f>IF(E1="售价",ROUND(PRODUCT(V35,AC7:AC34),0),ROUND(PRODUCT(V35,AC7:AC34),1))</f>
        <v>#DIV/0!</v>
      </c>
      <c r="W36" s="3551"/>
      <c r="X36" s="618"/>
      <c r="Y36" s="618"/>
      <c r="Z36" s="618"/>
      <c r="AA36" s="618"/>
      <c r="AB36" s="618"/>
      <c r="AC36" s="618"/>
    </row>
    <row r="37" spans="1:29" ht="15.75" thickBot="1">
      <c r="A37" s="378" t="s">
        <v>2392</v>
      </c>
      <c r="B37" s="379"/>
      <c r="C37" s="1159" t="e">
        <f>R37</f>
        <v>#DIV/0!</v>
      </c>
      <c r="D37" s="1159"/>
      <c r="E37" s="1159"/>
      <c r="F37" s="1159"/>
      <c r="G37" s="1159"/>
      <c r="H37" s="1159"/>
      <c r="I37" s="1159"/>
      <c r="J37" s="1159"/>
      <c r="K37" s="641"/>
      <c r="L37" s="3031"/>
      <c r="P37" s="3552" t="str">
        <f>A37</f>
        <v>估价对象XX用房的比较价值（楼面单价，元/平方米）</v>
      </c>
      <c r="Q37" s="3553"/>
      <c r="R37" s="3554" t="e">
        <f>IF(E1="售价",ROUND(IF(D36="简单平均",AVERAGE(R36:W36),R36*F36+T36*H36+V36*J36),0),ROUND(IF(D36="简单平均",AVERAGE(R36:V36),R36*F36+T36*H36+V36*J36),1))</f>
        <v>#DIV/0!</v>
      </c>
      <c r="S37" s="3554"/>
      <c r="T37" s="3554"/>
      <c r="U37" s="3554"/>
      <c r="V37" s="3554"/>
      <c r="W37" s="3554"/>
      <c r="X37" s="618"/>
      <c r="Y37" s="618"/>
      <c r="Z37" s="618"/>
      <c r="AA37" s="618"/>
      <c r="AB37" s="618"/>
      <c r="AC37" s="618"/>
    </row>
    <row r="38" spans="1:29">
      <c r="G38" s="3034"/>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2374</v>
      </c>
      <c r="B45" s="618"/>
      <c r="C45" s="621"/>
      <c r="D45" s="621"/>
      <c r="E45" s="621"/>
      <c r="F45" s="622"/>
      <c r="G45" s="622"/>
      <c r="H45" s="621"/>
      <c r="I45" s="621"/>
      <c r="J45" s="621"/>
      <c r="K45" s="623"/>
      <c r="L45" s="624"/>
      <c r="M45" s="621"/>
      <c r="N45" s="3037"/>
      <c r="O45" s="3037"/>
      <c r="P45" s="389"/>
      <c r="Q45" s="390"/>
    </row>
    <row r="46" spans="1:29" s="394" customFormat="1" ht="15">
      <c r="A46" s="391" t="s">
        <v>2256</v>
      </c>
      <c r="B46" s="392"/>
      <c r="C46" s="1185" t="str">
        <f>YEAR(C7)&amp;"-"&amp;MONTH(C7)</f>
        <v>2021-5</v>
      </c>
      <c r="D46" s="1186">
        <f>EDATE(C46,-1)</f>
        <v>44287</v>
      </c>
      <c r="E46" s="1186">
        <f t="shared" ref="E46:O46" si="16">EDATE(D46,-1)</f>
        <v>44256</v>
      </c>
      <c r="F46" s="1186">
        <f t="shared" si="16"/>
        <v>44228</v>
      </c>
      <c r="G46" s="1186">
        <f t="shared" si="16"/>
        <v>44197</v>
      </c>
      <c r="H46" s="1186">
        <f t="shared" si="16"/>
        <v>44166</v>
      </c>
      <c r="I46" s="1186">
        <f t="shared" si="16"/>
        <v>44136</v>
      </c>
      <c r="J46" s="1186">
        <f t="shared" si="16"/>
        <v>44105</v>
      </c>
      <c r="K46" s="1186">
        <f t="shared" si="16"/>
        <v>44075</v>
      </c>
      <c r="L46" s="1186">
        <f t="shared" si="16"/>
        <v>44044</v>
      </c>
      <c r="M46" s="1186">
        <f t="shared" si="16"/>
        <v>44013</v>
      </c>
      <c r="N46" s="1186">
        <f t="shared" si="16"/>
        <v>43983</v>
      </c>
      <c r="O46" s="1186">
        <f t="shared" si="16"/>
        <v>43952</v>
      </c>
      <c r="P46" s="393"/>
    </row>
    <row r="47" spans="1:29" s="25" customFormat="1" ht="15">
      <c r="A47" s="395"/>
      <c r="B47" s="396"/>
      <c r="C47" s="1184">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2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2" customWidth="1"/>
    <col min="2" max="3" width="12.5" style="1342" customWidth="1"/>
    <col min="4" max="6" width="8.125" style="1342"/>
    <col min="7" max="7" width="17.5" style="1342" customWidth="1"/>
    <col min="8" max="16384" width="8.125" style="1342"/>
  </cols>
  <sheetData>
    <row r="1" spans="1:7" ht="23.25">
      <c r="A1" s="1340" t="s">
        <v>1254</v>
      </c>
      <c r="B1" s="1341"/>
      <c r="C1" s="1341"/>
      <c r="D1" s="1341"/>
      <c r="E1" s="1341"/>
      <c r="F1" s="1341"/>
      <c r="G1" s="1341"/>
    </row>
    <row r="2" spans="1:7">
      <c r="A2" s="1343"/>
    </row>
    <row r="3" spans="1:7" s="1346" customFormat="1" ht="18">
      <c r="A3" s="1344" t="str">
        <f>IF(ISNUMBER(FIND("公司",项目基本情况!B4)),项目基本情况!B4&amp;"：",项目基本情况!B4&amp;"  先生/女士：")</f>
        <v>韩亚银行（中国）有限公司北京分行：</v>
      </c>
      <c r="B3" s="1345"/>
      <c r="C3" s="1345"/>
      <c r="D3" s="1345"/>
      <c r="E3" s="1345"/>
      <c r="F3" s="1345"/>
      <c r="G3" s="1345"/>
    </row>
    <row r="4" spans="1:7" ht="18">
      <c r="A4" s="1347" t="str">
        <f>IF(ISNUMBER(FIND("公司",A3)),"受贵公司委托，我公司对"&amp;项目基本情况!I1&amp;"进行了预评估。","受您的委托，我公司对"&amp;项目基本情况!I1&amp;"进行了预评估。")</f>
        <v>受贵公司委托，我公司对北京市房地产进行了预评估。</v>
      </c>
      <c r="B4" s="1347"/>
      <c r="C4" s="1347"/>
      <c r="D4" s="1347"/>
      <c r="E4" s="1347"/>
      <c r="F4" s="1347"/>
      <c r="G4" s="1347"/>
    </row>
    <row r="5" spans="1:7" ht="18.75">
      <c r="A5" s="1348" t="s">
        <v>1255</v>
      </c>
    </row>
    <row r="6" spans="1:7" s="1349" customFormat="1" ht="54">
      <c r="A6" s="13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韩亚银行（中国）有限公司北京分行所有。根据《》[]，估价对象建筑面积为732.34平方米。根据《》[]，估价对象（分摊）出让国有建设用地使用权面积为平方米。估价对象用途为住宅。</v>
      </c>
      <c r="B6" s="1347"/>
      <c r="C6" s="1347"/>
      <c r="D6" s="1347"/>
      <c r="E6" s="1347"/>
      <c r="F6" s="1347"/>
      <c r="G6" s="1347"/>
    </row>
    <row r="7" spans="1:7" ht="18.75">
      <c r="A7" s="1348" t="s">
        <v>1256</v>
      </c>
    </row>
    <row r="8" spans="1:7" ht="18">
      <c r="A8" s="1350" t="str">
        <f>IF(项目基本情况!D4="抵押",IF(项目基本情况!B4=项目基本情况!B5,定义!C51,定义!B51),定义!D51)</f>
        <v>为估价委托人了解估价对象房地产市场价值提供参考依据。</v>
      </c>
      <c r="B8" s="1351"/>
      <c r="C8" s="1347"/>
      <c r="D8" s="1347"/>
      <c r="E8" s="1347"/>
      <c r="F8" s="1347"/>
      <c r="G8" s="1347"/>
    </row>
    <row r="9" spans="1:7" ht="18.75">
      <c r="A9" s="1345" t="s">
        <v>1257</v>
      </c>
      <c r="B9" s="1352"/>
    </row>
    <row r="10" spans="1:7" ht="18">
      <c r="A10" s="1353" t="str">
        <f>TEXT(项目基本情况!D2,"yyyy年m月d日;;")&amp;IF(项目基本情况!B2=项目基本情况!D2,"（评估专业人员实地查勘之日）","")</f>
        <v>2021年5月17日</v>
      </c>
      <c r="B10" s="1354"/>
      <c r="C10" s="1354"/>
      <c r="D10" s="1354"/>
      <c r="E10" s="1354"/>
      <c r="F10" s="1354"/>
      <c r="G10" s="1354"/>
    </row>
    <row r="11" spans="1:7" ht="18.75">
      <c r="A11" s="1345" t="s">
        <v>1258</v>
      </c>
    </row>
    <row r="12" spans="1:7" ht="75">
      <c r="A12" s="1347" t="s">
        <v>1259</v>
      </c>
      <c r="B12" s="1347"/>
      <c r="C12" s="1347"/>
      <c r="D12" s="1347"/>
      <c r="E12" s="1347"/>
      <c r="F12" s="1347"/>
      <c r="G12" s="1347"/>
    </row>
    <row r="13" spans="1:7" ht="36">
      <c r="A13" s="134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本次估价的“房地产价值”是指在正常市场情况下，在价值时点2021年5月17日，估价对象规划用途为住宅，假定未设立法定优先受偿款下的房地产市场价值。</v>
      </c>
      <c r="B13" s="1347"/>
      <c r="C13" s="1347"/>
      <c r="D13" s="1347"/>
      <c r="E13" s="1347"/>
      <c r="F13" s="1347"/>
      <c r="G13" s="1347"/>
    </row>
    <row r="14" spans="1:7" ht="18">
      <c r="A14" s="1350" t="str">
        <f>IF(项目基本情况!D5="房地产市场价值","——",IF(项目基本情况!F5="房地产抵押价值",定义!C54,IF(项目基本情况!F5="已注销",定义!C55,定义!C56)))</f>
        <v>——</v>
      </c>
      <c r="B14" s="1355"/>
      <c r="C14" s="1355"/>
      <c r="D14" s="1355"/>
      <c r="E14" s="1355"/>
      <c r="F14" s="1355"/>
      <c r="G14" s="1355"/>
    </row>
    <row r="15" spans="1:7" ht="56.25">
      <c r="A15" s="1347" t="s">
        <v>1253</v>
      </c>
      <c r="B15" s="1347"/>
      <c r="C15" s="1347"/>
      <c r="D15" s="1347"/>
      <c r="E15" s="1347"/>
      <c r="F15" s="1347"/>
      <c r="G15" s="1347"/>
    </row>
    <row r="16" spans="1:7" ht="18">
      <c r="A16" s="1351" t="str">
        <f>IF(项目基本情况!D5="房地产市场价值","——",IF(项目基本情况!G5="——","",定义!C57))</f>
        <v>——</v>
      </c>
      <c r="B16" s="1355"/>
      <c r="C16" s="1355"/>
      <c r="D16" s="1355"/>
      <c r="E16" s="1355"/>
      <c r="F16" s="1355"/>
      <c r="G16" s="1355"/>
    </row>
    <row r="17" spans="1:1" ht="18.75">
      <c r="A17" s="1345" t="s">
        <v>1252</v>
      </c>
    </row>
    <row r="18" spans="1:1" ht="18">
      <c r="A18" s="1356"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3" customWidth="1"/>
    <col min="2" max="2" width="15.75" style="1663" customWidth="1"/>
    <col min="3" max="3" width="14.375" style="1663" customWidth="1"/>
    <col min="4" max="4" width="12.25" style="1663" customWidth="1"/>
    <col min="5" max="5" width="14.375" style="1663" customWidth="1"/>
    <col min="6" max="6" width="12.25" style="1663" customWidth="1"/>
    <col min="7" max="7" width="14.5" style="1663" customWidth="1"/>
    <col min="8" max="8" width="12.25" style="1663" customWidth="1"/>
    <col min="9" max="9" width="14.5" style="1663" customWidth="1"/>
    <col min="10" max="10" width="12.25" style="1663" customWidth="1"/>
    <col min="11" max="11" width="12.25" style="1905" customWidth="1"/>
    <col min="12" max="12" width="12.25" style="1906" customWidth="1"/>
    <col min="13" max="15" width="12.25" style="1663" customWidth="1"/>
    <col min="16" max="16" width="4.75" style="1663" customWidth="1"/>
    <col min="17" max="17" width="19.5" style="1663" customWidth="1"/>
    <col min="18" max="22" width="6.125" style="1663" customWidth="1"/>
    <col min="23" max="23" width="5.75" style="1663" customWidth="1"/>
    <col min="24" max="24" width="4.25" style="1663" customWidth="1"/>
    <col min="25" max="25" width="3.5" style="1663" customWidth="1"/>
    <col min="26" max="26" width="19.75" style="1663" customWidth="1"/>
    <col min="27" max="28" width="9.375" style="1663" customWidth="1"/>
    <col min="29" max="16384" width="9" style="1663"/>
  </cols>
  <sheetData>
    <row r="1" spans="1:30" s="1955" customFormat="1" ht="28.5" customHeight="1">
      <c r="A1" s="1946" t="s">
        <v>2439</v>
      </c>
      <c r="B1" s="1947"/>
      <c r="C1" s="1948" t="s">
        <v>2440</v>
      </c>
      <c r="D1" s="1947"/>
      <c r="E1" s="1947"/>
      <c r="F1" s="1949" t="s">
        <v>2241</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1914</v>
      </c>
      <c r="B2" s="1957" t="e">
        <f>F66</f>
        <v>#DIV/0!</v>
      </c>
      <c r="C2" s="1653" t="s">
        <v>2441</v>
      </c>
      <c r="D2" s="3006"/>
      <c r="E2" s="3006"/>
      <c r="F2" s="3005"/>
      <c r="G2" s="3006"/>
      <c r="H2" s="3006"/>
      <c r="I2" s="3006"/>
      <c r="J2" s="3006"/>
      <c r="K2" s="3007"/>
      <c r="L2" s="3008"/>
      <c r="M2" s="3006"/>
      <c r="N2" s="3006"/>
      <c r="O2" s="3006"/>
      <c r="P2" s="1952"/>
      <c r="Q2" s="1952"/>
      <c r="R2" s="1952"/>
      <c r="S2" s="1952"/>
      <c r="T2" s="1952"/>
      <c r="U2" s="1952"/>
      <c r="V2" s="1952"/>
      <c r="W2" s="1952"/>
      <c r="X2" s="1952"/>
      <c r="Y2" s="1952"/>
      <c r="Z2" s="1952"/>
      <c r="AA2" s="1952"/>
      <c r="AB2" s="1952"/>
      <c r="AC2" s="1953"/>
      <c r="AD2" s="1954"/>
    </row>
    <row r="3" spans="1:30" s="1955" customFormat="1" ht="28.5" customHeight="1" thickBot="1">
      <c r="A3" s="1655" t="s">
        <v>1915</v>
      </c>
      <c r="B3" s="1958" t="e">
        <f>ROUND(B2/'数据-取费表'!B5,0)</f>
        <v>#DIV/0!</v>
      </c>
      <c r="C3" s="1653" t="s">
        <v>2442</v>
      </c>
      <c r="D3" s="3006"/>
      <c r="E3" s="3006"/>
      <c r="F3" s="3005"/>
      <c r="G3" s="3006"/>
      <c r="H3" s="3006"/>
      <c r="I3" s="3006"/>
      <c r="J3" s="3006"/>
      <c r="K3" s="3007"/>
      <c r="L3" s="3008"/>
      <c r="M3" s="3006"/>
      <c r="N3" s="3006"/>
      <c r="O3" s="3006"/>
      <c r="P3" s="1952"/>
      <c r="Q3" s="1952"/>
      <c r="R3" s="1952"/>
      <c r="S3" s="1952"/>
      <c r="T3" s="1952"/>
      <c r="U3" s="1952"/>
      <c r="V3" s="1952"/>
      <c r="W3" s="1952"/>
      <c r="X3" s="1952"/>
      <c r="Y3" s="1952"/>
      <c r="Z3" s="1952"/>
      <c r="AA3" s="1952"/>
      <c r="AB3" s="1959"/>
      <c r="AC3" s="1960"/>
    </row>
    <row r="4" spans="1:30" ht="15">
      <c r="A4" s="1659" t="s">
        <v>2243</v>
      </c>
      <c r="B4" s="1660"/>
      <c r="C4" s="3408" t="s">
        <v>2244</v>
      </c>
      <c r="D4" s="3409"/>
      <c r="E4" s="3410" t="s">
        <v>2245</v>
      </c>
      <c r="F4" s="3411"/>
      <c r="G4" s="3408" t="s">
        <v>2246</v>
      </c>
      <c r="H4" s="3409"/>
      <c r="I4" s="3408" t="s">
        <v>2247</v>
      </c>
      <c r="J4" s="3409"/>
      <c r="K4" s="1961" t="s">
        <v>2248</v>
      </c>
      <c r="L4" s="2991"/>
      <c r="M4" s="2992"/>
      <c r="N4" s="2992"/>
      <c r="O4" s="2992"/>
      <c r="P4" s="3412" t="s">
        <v>2249</v>
      </c>
      <c r="Q4" s="3413"/>
      <c r="R4" s="3418" t="s">
        <v>2245</v>
      </c>
      <c r="S4" s="3419"/>
      <c r="T4" s="3418" t="s">
        <v>2246</v>
      </c>
      <c r="U4" s="3419"/>
      <c r="V4" s="3424" t="s">
        <v>2247</v>
      </c>
      <c r="W4" s="3424"/>
      <c r="X4" s="1662"/>
      <c r="Y4" s="3418" t="s">
        <v>2249</v>
      </c>
      <c r="Z4" s="3419"/>
      <c r="AA4" s="3405" t="s">
        <v>2245</v>
      </c>
      <c r="AB4" s="3406" t="s">
        <v>2246</v>
      </c>
      <c r="AC4" s="3405" t="s">
        <v>2247</v>
      </c>
    </row>
    <row r="5" spans="1:30" ht="15">
      <c r="A5" s="1664"/>
      <c r="B5" s="1665"/>
      <c r="C5" s="3427" t="s">
        <v>2250</v>
      </c>
      <c r="D5" s="3428"/>
      <c r="E5" s="3511" t="s">
        <v>2251</v>
      </c>
      <c r="F5" s="3426"/>
      <c r="G5" s="3427" t="s">
        <v>2252</v>
      </c>
      <c r="H5" s="3428"/>
      <c r="I5" s="3427" t="s">
        <v>2253</v>
      </c>
      <c r="J5" s="3428"/>
      <c r="K5" s="1961"/>
      <c r="L5" s="2991"/>
      <c r="M5" s="2992"/>
      <c r="N5" s="2992"/>
      <c r="O5" s="2992"/>
      <c r="P5" s="3414"/>
      <c r="Q5" s="3415"/>
      <c r="R5" s="3420"/>
      <c r="S5" s="3421"/>
      <c r="T5" s="3420"/>
      <c r="U5" s="3421"/>
      <c r="V5" s="3424"/>
      <c r="W5" s="3424"/>
      <c r="X5" s="1662"/>
      <c r="Y5" s="3420"/>
      <c r="Z5" s="3421"/>
      <c r="AA5" s="3406"/>
      <c r="AB5" s="3406"/>
      <c r="AC5" s="3406"/>
    </row>
    <row r="6" spans="1:30" ht="15.75" thickBot="1">
      <c r="A6" s="1667"/>
      <c r="B6" s="1668"/>
      <c r="C6" s="3429" t="s">
        <v>2254</v>
      </c>
      <c r="D6" s="3430"/>
      <c r="E6" s="3432" t="s">
        <v>2254</v>
      </c>
      <c r="F6" s="3433"/>
      <c r="G6" s="3429" t="s">
        <v>2254</v>
      </c>
      <c r="H6" s="3430"/>
      <c r="I6" s="3429" t="s">
        <v>2254</v>
      </c>
      <c r="J6" s="3430"/>
      <c r="K6" s="1961" t="s">
        <v>2255</v>
      </c>
      <c r="L6" s="2991"/>
      <c r="M6" s="2992"/>
      <c r="N6" s="2992"/>
      <c r="O6" s="2992"/>
      <c r="P6" s="3416"/>
      <c r="Q6" s="3417"/>
      <c r="R6" s="3420"/>
      <c r="S6" s="3421"/>
      <c r="T6" s="3422"/>
      <c r="U6" s="3423"/>
      <c r="V6" s="3424"/>
      <c r="W6" s="3424"/>
      <c r="X6" s="1662"/>
      <c r="Y6" s="3422"/>
      <c r="Z6" s="3423"/>
      <c r="AA6" s="3407"/>
      <c r="AB6" s="3407"/>
      <c r="AC6" s="3407"/>
    </row>
    <row r="7" spans="1:30" s="1681" customFormat="1" ht="15.75" thickBot="1">
      <c r="A7" s="1669" t="s">
        <v>2256</v>
      </c>
      <c r="B7" s="1670"/>
      <c r="C7" s="1671">
        <f>'数据-取费表'!B2</f>
        <v>44333</v>
      </c>
      <c r="D7" s="1672">
        <v>100</v>
      </c>
      <c r="E7" s="1673"/>
      <c r="F7" s="1674">
        <f>SUMIF(70:70,YEAR(E7)&amp;"-"&amp;INT((MONTH(E7)+2)/3),71:71)</f>
        <v>0</v>
      </c>
      <c r="G7" s="1962"/>
      <c r="H7" s="1672">
        <f>SUMIF(70:70,YEAR(G7)&amp;"-"&amp;INT((MONTH(G7)+2)/3),71:71)</f>
        <v>0</v>
      </c>
      <c r="I7" s="1962"/>
      <c r="J7" s="1672">
        <f>SUMIF(70:70,YEAR(I7)&amp;"-"&amp;INT((MONTH(I7)+2)/3),71:71)</f>
        <v>0</v>
      </c>
      <c r="K7" s="1963"/>
      <c r="L7" s="2991"/>
      <c r="M7" s="2964"/>
      <c r="N7" s="2964"/>
      <c r="O7" s="2964"/>
      <c r="P7" s="3441" t="s">
        <v>2257</v>
      </c>
      <c r="Q7" s="3443"/>
      <c r="R7" s="1677" t="s">
        <v>25</v>
      </c>
      <c r="S7" s="1678">
        <f t="shared" ref="S7:S15" si="0">F7</f>
        <v>0</v>
      </c>
      <c r="T7" s="1677" t="s">
        <v>25</v>
      </c>
      <c r="U7" s="1678">
        <f t="shared" ref="U7:U15" si="1">H7</f>
        <v>0</v>
      </c>
      <c r="V7" s="1677" t="s">
        <v>25</v>
      </c>
      <c r="W7" s="1678">
        <f t="shared" ref="W7:W15" si="2">J7</f>
        <v>0</v>
      </c>
      <c r="X7" s="1679"/>
      <c r="Y7" s="3441" t="s">
        <v>2257</v>
      </c>
      <c r="Z7" s="3442"/>
      <c r="AA7" s="1680" t="e">
        <f>D7/F7</f>
        <v>#DIV/0!</v>
      </c>
      <c r="AB7" s="1680" t="e">
        <f>D7/H7</f>
        <v>#DIV/0!</v>
      </c>
      <c r="AC7" s="1680" t="e">
        <f>D7/J7</f>
        <v>#DIV/0!</v>
      </c>
    </row>
    <row r="8" spans="1:30" s="1681" customFormat="1" ht="15.75" thickBot="1">
      <c r="A8" s="1669" t="s">
        <v>2258</v>
      </c>
      <c r="B8" s="1670"/>
      <c r="C8" s="1682" t="s">
        <v>2443</v>
      </c>
      <c r="D8" s="1672">
        <v>100</v>
      </c>
      <c r="E8" s="1682"/>
      <c r="F8" s="1674">
        <f>SUMIF(73:73,E8,74:74)-SUMIF(73:73,C8,74:74)+100</f>
        <v>0</v>
      </c>
      <c r="G8" s="1682"/>
      <c r="H8" s="1672">
        <f>SUMIF(73:73,G8,74:74)-SUMIF(73:73,C8,74:74)+100</f>
        <v>0</v>
      </c>
      <c r="I8" s="1682"/>
      <c r="J8" s="1672">
        <f>SUMIF(73:73,I8,74:74)-SUMIF(73:73,C8,74:74)+100</f>
        <v>0</v>
      </c>
      <c r="K8" s="1963"/>
      <c r="L8" s="2991"/>
      <c r="M8" s="2964"/>
      <c r="N8" s="2964"/>
      <c r="O8" s="2964"/>
      <c r="P8" s="3441" t="s">
        <v>2260</v>
      </c>
      <c r="Q8" s="3442"/>
      <c r="R8" s="1677" t="s">
        <v>25</v>
      </c>
      <c r="S8" s="1678">
        <f t="shared" si="0"/>
        <v>0</v>
      </c>
      <c r="T8" s="1677" t="s">
        <v>25</v>
      </c>
      <c r="U8" s="1678">
        <f t="shared" si="1"/>
        <v>0</v>
      </c>
      <c r="V8" s="1677" t="s">
        <v>25</v>
      </c>
      <c r="W8" s="1678">
        <f t="shared" si="2"/>
        <v>0</v>
      </c>
      <c r="X8" s="1679"/>
      <c r="Y8" s="3441" t="s">
        <v>2260</v>
      </c>
      <c r="Z8" s="3442"/>
      <c r="AA8" s="1680" t="e">
        <f t="shared" ref="AA8:AA45" si="3">D8/F8</f>
        <v>#DIV/0!</v>
      </c>
      <c r="AB8" s="1680" t="e">
        <f t="shared" ref="AB8:AB45" si="4">D8/H8</f>
        <v>#DIV/0!</v>
      </c>
      <c r="AC8" s="1680" t="e">
        <f t="shared" ref="AC8:AC45" si="5">D8/J8</f>
        <v>#DIV/0!</v>
      </c>
    </row>
    <row r="9" spans="1:30" s="1681" customFormat="1">
      <c r="A9" s="1632" t="s">
        <v>2261</v>
      </c>
      <c r="B9" s="1683" t="s">
        <v>2262</v>
      </c>
      <c r="C9" s="1964"/>
      <c r="D9" s="1685">
        <v>100</v>
      </c>
      <c r="E9" s="1964"/>
      <c r="F9" s="1685">
        <f>SUMIF(75:75,E9,76:76)-SUMIF(75:75,C9,76:76)+100</f>
        <v>100</v>
      </c>
      <c r="G9" s="1964"/>
      <c r="H9" s="1685">
        <f>SUMIF(75:75,G9,76:76)-SUMIF(75:75,C9,76:76)+100</f>
        <v>100</v>
      </c>
      <c r="I9" s="1964"/>
      <c r="J9" s="1685">
        <f>SUMIF(75:75,I9,76:76)-SUMIF(75:75,C9,76:76)+100</f>
        <v>100</v>
      </c>
      <c r="K9" s="1963"/>
      <c r="L9" s="2991"/>
      <c r="M9" s="2964"/>
      <c r="N9" s="2964"/>
      <c r="O9" s="3038"/>
      <c r="P9" s="3445" t="s">
        <v>2263</v>
      </c>
      <c r="Q9" s="1631" t="str">
        <f t="shared" ref="Q9:Q15" si="6">B9</f>
        <v>用途</v>
      </c>
      <c r="R9" s="1677" t="s">
        <v>25</v>
      </c>
      <c r="S9" s="1678">
        <f t="shared" si="0"/>
        <v>100</v>
      </c>
      <c r="T9" s="1677" t="s">
        <v>25</v>
      </c>
      <c r="U9" s="1678">
        <f t="shared" si="1"/>
        <v>100</v>
      </c>
      <c r="V9" s="1677" t="s">
        <v>25</v>
      </c>
      <c r="W9" s="1678">
        <f t="shared" si="2"/>
        <v>100</v>
      </c>
      <c r="X9" s="1679"/>
      <c r="Y9" s="3338" t="s">
        <v>2264</v>
      </c>
      <c r="Z9" s="1689" t="str">
        <f t="shared" ref="Z9:Z15" si="7">Q9</f>
        <v>用途</v>
      </c>
      <c r="AA9" s="1680">
        <f t="shared" si="3"/>
        <v>1</v>
      </c>
      <c r="AB9" s="1680">
        <f t="shared" si="4"/>
        <v>1</v>
      </c>
      <c r="AC9" s="1680">
        <f t="shared" si="5"/>
        <v>1</v>
      </c>
    </row>
    <row r="10" spans="1:30" s="1697" customFormat="1" ht="27">
      <c r="A10" s="1690"/>
      <c r="B10" s="1691" t="s">
        <v>2265</v>
      </c>
      <c r="C10" s="1703"/>
      <c r="D10" s="1693">
        <v>100</v>
      </c>
      <c r="E10" s="1755"/>
      <c r="F10" s="1693">
        <f>ROUND(100/'数据-取费表'!B14,0)</f>
        <v>104</v>
      </c>
      <c r="G10" s="1753"/>
      <c r="H10" s="1693">
        <f>ROUND(100/'数据-取费表'!B14,0)</f>
        <v>104</v>
      </c>
      <c r="I10" s="1753"/>
      <c r="J10" s="1693">
        <f>ROUND(100/'数据-取费表'!B14,0)</f>
        <v>104</v>
      </c>
      <c r="K10" s="1965"/>
      <c r="L10" s="2993"/>
      <c r="M10" s="2994"/>
      <c r="N10" s="2994"/>
      <c r="O10" s="3039"/>
      <c r="P10" s="3445"/>
      <c r="Q10" s="1631" t="str">
        <f t="shared" si="6"/>
        <v>土地使用年限（年）</v>
      </c>
      <c r="R10" s="1677" t="s">
        <v>25</v>
      </c>
      <c r="S10" s="1678">
        <f t="shared" si="0"/>
        <v>104</v>
      </c>
      <c r="T10" s="1677" t="s">
        <v>25</v>
      </c>
      <c r="U10" s="1678">
        <f t="shared" si="1"/>
        <v>104</v>
      </c>
      <c r="V10" s="1677" t="s">
        <v>25</v>
      </c>
      <c r="W10" s="1678">
        <f t="shared" si="2"/>
        <v>104</v>
      </c>
      <c r="X10" s="1679"/>
      <c r="Y10" s="3338"/>
      <c r="Z10" s="1689" t="str">
        <f t="shared" si="7"/>
        <v>土地使用年限（年）</v>
      </c>
      <c r="AA10" s="1680">
        <f t="shared" si="3"/>
        <v>0.96153846153846156</v>
      </c>
      <c r="AB10" s="1680">
        <f t="shared" si="4"/>
        <v>0.96153846153846156</v>
      </c>
      <c r="AC10" s="1680">
        <f t="shared" si="5"/>
        <v>0.96153846153846156</v>
      </c>
    </row>
    <row r="11" spans="1:30" ht="15">
      <c r="A11" s="1698"/>
      <c r="B11" s="1691" t="s">
        <v>2266</v>
      </c>
      <c r="C11" s="1699"/>
      <c r="D11" s="1693">
        <v>100</v>
      </c>
      <c r="E11" s="1699"/>
      <c r="F11" s="1693" t="e">
        <f>LOOKUP(E11,80:80,81:81)-LOOKUP(C11,80:80,81:81)+100</f>
        <v>#N/A</v>
      </c>
      <c r="G11" s="1700"/>
      <c r="H11" s="1693" t="e">
        <f>LOOKUP(G11,80:80,81:81)-LOOKUP(C11,80:80,81:81)+100</f>
        <v>#N/A</v>
      </c>
      <c r="I11" s="1699"/>
      <c r="J11" s="1693" t="e">
        <f>LOOKUP(I11,80:80,81:81)-LOOKUP(C11,80:80,81:81)+100</f>
        <v>#N/A</v>
      </c>
      <c r="K11" s="1966"/>
      <c r="L11" s="2995"/>
      <c r="M11" s="2992"/>
      <c r="N11" s="2992"/>
      <c r="O11" s="3040"/>
      <c r="P11" s="3445"/>
      <c r="Q11" s="1631" t="str">
        <f t="shared" si="6"/>
        <v>容积率</v>
      </c>
      <c r="R11" s="1677" t="s">
        <v>25</v>
      </c>
      <c r="S11" s="1678" t="e">
        <f t="shared" si="0"/>
        <v>#N/A</v>
      </c>
      <c r="T11" s="1677" t="s">
        <v>25</v>
      </c>
      <c r="U11" s="1678" t="e">
        <f t="shared" si="1"/>
        <v>#N/A</v>
      </c>
      <c r="V11" s="1677" t="s">
        <v>25</v>
      </c>
      <c r="W11" s="1678" t="e">
        <f t="shared" si="2"/>
        <v>#N/A</v>
      </c>
      <c r="X11" s="1679"/>
      <c r="Y11" s="3338"/>
      <c r="Z11" s="1689" t="str">
        <f t="shared" si="7"/>
        <v>容积率</v>
      </c>
      <c r="AA11" s="1680" t="e">
        <f t="shared" si="3"/>
        <v>#N/A</v>
      </c>
      <c r="AB11" s="1680" t="e">
        <f t="shared" si="4"/>
        <v>#N/A</v>
      </c>
      <c r="AC11" s="1680" t="e">
        <f t="shared" si="5"/>
        <v>#N/A</v>
      </c>
    </row>
    <row r="12" spans="1:30" s="1681" customFormat="1" ht="15">
      <c r="A12" s="1701"/>
      <c r="B12" s="1702" t="s">
        <v>2444</v>
      </c>
      <c r="C12" s="1703"/>
      <c r="D12" s="1704">
        <v>100</v>
      </c>
      <c r="E12" s="1755"/>
      <c r="F12" s="1693">
        <f>SUMIF(82:82,E12,83:83)-SUMIF(82:82,C12,83:83)+100</f>
        <v>100</v>
      </c>
      <c r="G12" s="1753"/>
      <c r="H12" s="1693">
        <f>SUMIF(82:82,G12,83:83)-SUMIF(82:82,C12,83:83)+100</f>
        <v>100</v>
      </c>
      <c r="I12" s="1755"/>
      <c r="J12" s="1693">
        <f>SUMIF(82:82,I12,83:83)-SUMIF(82:82,C12,83:83)+100</f>
        <v>100</v>
      </c>
      <c r="K12" s="1965"/>
      <c r="L12" s="2991"/>
      <c r="M12" s="2964"/>
      <c r="N12" s="2964"/>
      <c r="O12" s="3038"/>
      <c r="P12" s="3445"/>
      <c r="Q12" s="1631" t="str">
        <f t="shared" si="6"/>
        <v>配建</v>
      </c>
      <c r="R12" s="1677" t="s">
        <v>25</v>
      </c>
      <c r="S12" s="1678">
        <f t="shared" si="0"/>
        <v>100</v>
      </c>
      <c r="T12" s="1677" t="s">
        <v>25</v>
      </c>
      <c r="U12" s="1678">
        <f t="shared" si="1"/>
        <v>100</v>
      </c>
      <c r="V12" s="1677" t="s">
        <v>25</v>
      </c>
      <c r="W12" s="1678">
        <f t="shared" si="2"/>
        <v>100</v>
      </c>
      <c r="X12" s="1679"/>
      <c r="Y12" s="3338"/>
      <c r="Z12" s="1689" t="str">
        <f t="shared" si="7"/>
        <v>配建</v>
      </c>
      <c r="AA12" s="1680">
        <f>D12/F12</f>
        <v>1</v>
      </c>
      <c r="AB12" s="1680">
        <f>D12/H12</f>
        <v>1</v>
      </c>
      <c r="AC12" s="1680">
        <f>D12/J12</f>
        <v>1</v>
      </c>
    </row>
    <row r="13" spans="1:30" ht="15">
      <c r="A13" s="1698"/>
      <c r="B13" s="1702">
        <v>111</v>
      </c>
      <c r="C13" s="1706"/>
      <c r="D13" s="1707">
        <v>100</v>
      </c>
      <c r="E13" s="1863"/>
      <c r="F13" s="1693">
        <f>SUMIF(84:84,E13,85:85)-SUMIF(84:84,C13,85:85)+100</f>
        <v>100</v>
      </c>
      <c r="G13" s="1967"/>
      <c r="H13" s="1707">
        <f>SUMIF(84:84,G13,85:85)-SUMIF(84:84,C13,85:85)+100</f>
        <v>100</v>
      </c>
      <c r="I13" s="1967"/>
      <c r="J13" s="1707">
        <f>SUMIF(84:84,I13,85:85)-SUMIF(84:84,C13,85:85)+100</f>
        <v>100</v>
      </c>
      <c r="K13" s="1965"/>
      <c r="L13" s="2996"/>
      <c r="M13" s="2992"/>
      <c r="N13" s="2992"/>
      <c r="O13" s="3040"/>
      <c r="P13" s="3445"/>
      <c r="Q13" s="1631">
        <f t="shared" si="6"/>
        <v>111</v>
      </c>
      <c r="R13" s="1677" t="s">
        <v>25</v>
      </c>
      <c r="S13" s="1678">
        <f t="shared" si="0"/>
        <v>100</v>
      </c>
      <c r="T13" s="1677" t="s">
        <v>25</v>
      </c>
      <c r="U13" s="1678">
        <f t="shared" si="1"/>
        <v>100</v>
      </c>
      <c r="V13" s="1677" t="s">
        <v>25</v>
      </c>
      <c r="W13" s="1678">
        <f t="shared" si="2"/>
        <v>100</v>
      </c>
      <c r="X13" s="1679"/>
      <c r="Y13" s="3338"/>
      <c r="Z13" s="1689">
        <f t="shared" si="7"/>
        <v>111</v>
      </c>
      <c r="AA13" s="1680">
        <f>D13/F13</f>
        <v>1</v>
      </c>
      <c r="AB13" s="1680">
        <f>D13/H13</f>
        <v>1</v>
      </c>
      <c r="AC13" s="1680">
        <f>D13/J13</f>
        <v>1</v>
      </c>
    </row>
    <row r="14" spans="1:30" ht="15.75" thickBot="1">
      <c r="A14" s="1708"/>
      <c r="B14" s="1709">
        <v>111</v>
      </c>
      <c r="C14" s="1710"/>
      <c r="D14" s="1711">
        <v>100</v>
      </c>
      <c r="E14" s="1863"/>
      <c r="F14" s="1711">
        <f>SUMIF(86:86,E14,87:87)-SUMIF(86:86,C14,87:87)+100</f>
        <v>100</v>
      </c>
      <c r="G14" s="1967"/>
      <c r="H14" s="1711">
        <f>SUMIF(86:86,G14,87:87)-SUMIF(86:86,C14,87:87)+100</f>
        <v>100</v>
      </c>
      <c r="I14" s="1967"/>
      <c r="J14" s="1711">
        <f>SUMIF(86:86,I14,87:87)-SUMIF(86:86,C14,87:87)+100</f>
        <v>100</v>
      </c>
      <c r="K14" s="1965"/>
      <c r="L14" s="2996"/>
      <c r="M14" s="2992"/>
      <c r="N14" s="2992"/>
      <c r="O14" s="3040"/>
      <c r="P14" s="3445"/>
      <c r="Q14" s="1631">
        <f t="shared" si="6"/>
        <v>111</v>
      </c>
      <c r="R14" s="1677" t="s">
        <v>25</v>
      </c>
      <c r="S14" s="1678">
        <f t="shared" si="0"/>
        <v>100</v>
      </c>
      <c r="T14" s="1677" t="s">
        <v>25</v>
      </c>
      <c r="U14" s="1678">
        <f t="shared" si="1"/>
        <v>100</v>
      </c>
      <c r="V14" s="1677" t="s">
        <v>25</v>
      </c>
      <c r="W14" s="1678">
        <f t="shared" si="2"/>
        <v>100</v>
      </c>
      <c r="X14" s="1679"/>
      <c r="Y14" s="3338"/>
      <c r="Z14" s="1689">
        <f t="shared" si="7"/>
        <v>111</v>
      </c>
      <c r="AA14" s="1680">
        <f>D14/F14</f>
        <v>1</v>
      </c>
      <c r="AB14" s="1680">
        <f>D14/H14</f>
        <v>1</v>
      </c>
      <c r="AC14" s="1680">
        <f>D14/J14</f>
        <v>1</v>
      </c>
    </row>
    <row r="15" spans="1:30" ht="99.75">
      <c r="A15" s="1659" t="s">
        <v>2267</v>
      </c>
      <c r="B15" s="1968" t="s">
        <v>1704</v>
      </c>
      <c r="C15" s="1969" t="str">
        <f>估价对象房地状况!C15</f>
        <v>估价对象周边居住用地比例、居住小区规模和社区发展完善程度，综合评价居住社区成熟度一般</v>
      </c>
      <c r="D15" s="1716">
        <v>100</v>
      </c>
      <c r="E15" s="1717"/>
      <c r="F15" s="1716">
        <f>SUMIF(88:88,E16,89:89)-SUMIF(88:88,C16,89:89)+100</f>
        <v>100</v>
      </c>
      <c r="G15" s="1717"/>
      <c r="H15" s="1716">
        <f>SUMIF(88:88,G16,89:89)-SUMIF(88:88,C16,89:89)+100</f>
        <v>100</v>
      </c>
      <c r="I15" s="1719"/>
      <c r="J15" s="1716">
        <f>SUMIF(88:88,I16,89:89)-SUMIF(88:88,C16,89:89)+100</f>
        <v>100</v>
      </c>
      <c r="K15" s="1966"/>
      <c r="L15" s="2996"/>
      <c r="M15" s="2992"/>
      <c r="N15" s="2992"/>
      <c r="O15" s="3040"/>
      <c r="P15" s="3434" t="s">
        <v>2268</v>
      </c>
      <c r="Q15" s="1612" t="str">
        <f t="shared" si="6"/>
        <v>居住社区成熟度</v>
      </c>
      <c r="R15" s="1721" t="s">
        <v>25</v>
      </c>
      <c r="S15" s="1722">
        <f t="shared" si="0"/>
        <v>100</v>
      </c>
      <c r="T15" s="1721" t="s">
        <v>25</v>
      </c>
      <c r="U15" s="1722">
        <f t="shared" si="1"/>
        <v>100</v>
      </c>
      <c r="V15" s="1721" t="s">
        <v>25</v>
      </c>
      <c r="W15" s="1722">
        <f t="shared" si="2"/>
        <v>100</v>
      </c>
      <c r="X15" s="1662"/>
      <c r="Y15" s="3434" t="s">
        <v>2268</v>
      </c>
      <c r="Z15" s="1723" t="str">
        <f t="shared" si="7"/>
        <v>居住社区成熟度</v>
      </c>
      <c r="AA15" s="1724">
        <f t="shared" si="3"/>
        <v>1</v>
      </c>
      <c r="AB15" s="1724">
        <f t="shared" si="4"/>
        <v>1</v>
      </c>
      <c r="AC15" s="1724">
        <f t="shared" si="5"/>
        <v>1</v>
      </c>
    </row>
    <row r="16" spans="1:30" ht="15">
      <c r="A16" s="1664"/>
      <c r="B16" s="1970"/>
      <c r="C16" s="1971"/>
      <c r="D16" s="1727"/>
      <c r="E16" s="1728"/>
      <c r="F16" s="1727"/>
      <c r="G16" s="1728"/>
      <c r="H16" s="1731"/>
      <c r="I16" s="1730"/>
      <c r="J16" s="1727"/>
      <c r="K16" s="1965"/>
      <c r="L16" s="2996"/>
      <c r="M16" s="2992"/>
      <c r="N16" s="2992"/>
      <c r="O16" s="3040"/>
      <c r="P16" s="3435"/>
      <c r="Q16" s="1612"/>
      <c r="R16" s="1721"/>
      <c r="S16" s="1722"/>
      <c r="T16" s="1721"/>
      <c r="U16" s="1722"/>
      <c r="V16" s="1721"/>
      <c r="W16" s="1722"/>
      <c r="X16" s="1662"/>
      <c r="Y16" s="3435"/>
      <c r="Z16" s="1723"/>
      <c r="AA16" s="1724">
        <v>1</v>
      </c>
      <c r="AB16" s="1724">
        <v>1</v>
      </c>
      <c r="AC16" s="1724">
        <v>1</v>
      </c>
    </row>
    <row r="17" spans="1:29" ht="71.25">
      <c r="A17" s="1664"/>
      <c r="B17" s="1972" t="s">
        <v>2353</v>
      </c>
      <c r="C17" s="1973" t="str">
        <f>估价对象房地状况!C16</f>
        <v>估价对象位于XX商圈，周边商业氛围成熟，人流量大，商业繁华度好</v>
      </c>
      <c r="D17" s="1731">
        <v>100</v>
      </c>
      <c r="E17" s="1735"/>
      <c r="F17" s="1731">
        <f>SUMIF(90:90,E18,91:91)-SUMIF(90:90,C18,91:91)+100</f>
        <v>100</v>
      </c>
      <c r="G17" s="1735"/>
      <c r="H17" s="1738">
        <f>SUMIF(90:90,G18,91:91)-SUMIF(90:90,C18,91:91)+100</f>
        <v>100</v>
      </c>
      <c r="I17" s="1737"/>
      <c r="J17" s="1738">
        <f>SUMIF(90:90,I18,91:91)-SUMIF(90:90,C18,91:91)+100</f>
        <v>100</v>
      </c>
      <c r="K17" s="1966"/>
      <c r="L17" s="2996"/>
      <c r="M17" s="2992"/>
      <c r="N17" s="2992"/>
      <c r="O17" s="3040"/>
      <c r="P17" s="3435"/>
      <c r="Q17" s="1612" t="str">
        <f>B17</f>
        <v>商业繁华度</v>
      </c>
      <c r="R17" s="1721" t="s">
        <v>25</v>
      </c>
      <c r="S17" s="1722">
        <f>F17</f>
        <v>100</v>
      </c>
      <c r="T17" s="1721" t="s">
        <v>25</v>
      </c>
      <c r="U17" s="1722">
        <f>H17</f>
        <v>100</v>
      </c>
      <c r="V17" s="1721" t="s">
        <v>25</v>
      </c>
      <c r="W17" s="1722">
        <f>J17</f>
        <v>100</v>
      </c>
      <c r="X17" s="1662"/>
      <c r="Y17" s="3435"/>
      <c r="Z17" s="1723" t="str">
        <f>Q17</f>
        <v>商业繁华度</v>
      </c>
      <c r="AA17" s="1724">
        <f t="shared" si="3"/>
        <v>1</v>
      </c>
      <c r="AB17" s="1724">
        <f t="shared" si="4"/>
        <v>1</v>
      </c>
      <c r="AC17" s="1724">
        <f t="shared" si="5"/>
        <v>1</v>
      </c>
    </row>
    <row r="18" spans="1:29" ht="15">
      <c r="A18" s="1664"/>
      <c r="B18" s="1974"/>
      <c r="C18" s="1975"/>
      <c r="D18" s="1731"/>
      <c r="E18" s="1741"/>
      <c r="F18" s="1731"/>
      <c r="G18" s="1741"/>
      <c r="H18" s="1727"/>
      <c r="I18" s="1742"/>
      <c r="J18" s="1727"/>
      <c r="K18" s="1965"/>
      <c r="L18" s="2996"/>
      <c r="M18" s="2992"/>
      <c r="N18" s="2992"/>
      <c r="O18" s="3040"/>
      <c r="P18" s="3435"/>
      <c r="Q18" s="1612"/>
      <c r="R18" s="1721"/>
      <c r="S18" s="1722"/>
      <c r="T18" s="1721"/>
      <c r="U18" s="1722"/>
      <c r="V18" s="1721"/>
      <c r="W18" s="1722"/>
      <c r="X18" s="1662"/>
      <c r="Y18" s="3435"/>
      <c r="Z18" s="1723"/>
      <c r="AA18" s="1724">
        <v>1</v>
      </c>
      <c r="AB18" s="1724">
        <v>1</v>
      </c>
      <c r="AC18" s="1724">
        <v>1</v>
      </c>
    </row>
    <row r="19" spans="1:29" ht="71.25">
      <c r="A19" s="1664"/>
      <c r="B19" s="1972" t="s">
        <v>2382</v>
      </c>
      <c r="C19" s="1973" t="str">
        <f>估价对象房地状况!C17</f>
        <v>估价对象位于XX商圈，周边办公楼项目较多，入驻率高，办公集聚程度较好</v>
      </c>
      <c r="D19" s="1738">
        <v>100</v>
      </c>
      <c r="E19" s="1743"/>
      <c r="F19" s="1738">
        <f>SUMIF(92:92,E20,93:93)-SUMIF(92:92,C20,93:93)+100</f>
        <v>100</v>
      </c>
      <c r="G19" s="1743"/>
      <c r="H19" s="1731">
        <f>SUMIF(92:92,G20,93:93)-SUMIF(92:92,C20,93:93)+100</f>
        <v>100</v>
      </c>
      <c r="I19" s="1745"/>
      <c r="J19" s="1731">
        <f>SUMIF(92:92,I20,93:93)-SUMIF(92:92,C20,93:93)+100</f>
        <v>100</v>
      </c>
      <c r="K19" s="1966"/>
      <c r="L19" s="2996"/>
      <c r="M19" s="2992"/>
      <c r="N19" s="2992"/>
      <c r="O19" s="3040"/>
      <c r="P19" s="3435"/>
      <c r="Q19" s="1612" t="str">
        <f>B19</f>
        <v>办公集聚程度</v>
      </c>
      <c r="R19" s="1721" t="s">
        <v>25</v>
      </c>
      <c r="S19" s="1722">
        <f>F19</f>
        <v>100</v>
      </c>
      <c r="T19" s="1721" t="s">
        <v>25</v>
      </c>
      <c r="U19" s="1722">
        <f>H19</f>
        <v>100</v>
      </c>
      <c r="V19" s="1721" t="s">
        <v>25</v>
      </c>
      <c r="W19" s="1722">
        <f>J19</f>
        <v>100</v>
      </c>
      <c r="X19" s="1662"/>
      <c r="Y19" s="3435"/>
      <c r="Z19" s="1723" t="str">
        <f>Q19</f>
        <v>办公集聚程度</v>
      </c>
      <c r="AA19" s="1724">
        <f t="shared" si="3"/>
        <v>1</v>
      </c>
      <c r="AB19" s="1724">
        <f t="shared" si="4"/>
        <v>1</v>
      </c>
      <c r="AC19" s="1724">
        <f t="shared" si="5"/>
        <v>1</v>
      </c>
    </row>
    <row r="20" spans="1:29" ht="15">
      <c r="A20" s="1664"/>
      <c r="B20" s="1974"/>
      <c r="C20" s="1971"/>
      <c r="D20" s="1727"/>
      <c r="E20" s="1728"/>
      <c r="F20" s="1727"/>
      <c r="G20" s="1728"/>
      <c r="H20" s="1727"/>
      <c r="I20" s="1730"/>
      <c r="J20" s="1727"/>
      <c r="K20" s="1965"/>
      <c r="L20" s="2996"/>
      <c r="M20" s="2992"/>
      <c r="N20" s="2992"/>
      <c r="O20" s="3040"/>
      <c r="P20" s="3435"/>
      <c r="Q20" s="1612"/>
      <c r="R20" s="1721"/>
      <c r="S20" s="1722"/>
      <c r="T20" s="1721"/>
      <c r="U20" s="1722"/>
      <c r="V20" s="1721"/>
      <c r="W20" s="1722"/>
      <c r="X20" s="1662"/>
      <c r="Y20" s="3435"/>
      <c r="Z20" s="1723"/>
      <c r="AA20" s="1724">
        <v>1</v>
      </c>
      <c r="AB20" s="1724">
        <v>1</v>
      </c>
      <c r="AC20" s="1724">
        <v>1</v>
      </c>
    </row>
    <row r="21" spans="1:29" ht="85.5">
      <c r="A21" s="1664"/>
      <c r="B21" s="1972" t="s">
        <v>2405</v>
      </c>
      <c r="C21" s="1976" t="str">
        <f>估价对象房地状况!C18</f>
        <v>估价对象周边道路状况、公共交通通达情况、停车便捷程度，综合评价交通便捷度较好</v>
      </c>
      <c r="D21" s="1731">
        <v>100</v>
      </c>
      <c r="E21" s="1735"/>
      <c r="F21" s="1738">
        <f>SUMIF(94:94,E22,95:95)-SUMIF(94:94,C22,95:95)+100</f>
        <v>100</v>
      </c>
      <c r="G21" s="1735"/>
      <c r="H21" s="1731">
        <f>SUMIF(94:94,G22,95:95)-SUMIF(94:94,C22,95:95)+100</f>
        <v>100</v>
      </c>
      <c r="I21" s="1737"/>
      <c r="J21" s="1731">
        <f>SUMIF(94:94,I22,95:95)-SUMIF(94:94,C22,95:95)+100</f>
        <v>100</v>
      </c>
      <c r="K21" s="1966"/>
      <c r="L21" s="2996"/>
      <c r="M21" s="2992"/>
      <c r="N21" s="2992"/>
      <c r="O21" s="3040"/>
      <c r="P21" s="3435"/>
      <c r="Q21" s="1612" t="str">
        <f>B21</f>
        <v>交通便捷度</v>
      </c>
      <c r="R21" s="1721" t="s">
        <v>25</v>
      </c>
      <c r="S21" s="1722">
        <f>F21</f>
        <v>100</v>
      </c>
      <c r="T21" s="1721" t="s">
        <v>25</v>
      </c>
      <c r="U21" s="1722">
        <f>H21</f>
        <v>100</v>
      </c>
      <c r="V21" s="1721" t="s">
        <v>25</v>
      </c>
      <c r="W21" s="1722">
        <f>J21</f>
        <v>100</v>
      </c>
      <c r="X21" s="1662"/>
      <c r="Y21" s="3435"/>
      <c r="Z21" s="1723" t="str">
        <f>Q21</f>
        <v>交通便捷度</v>
      </c>
      <c r="AA21" s="1724">
        <f t="shared" si="3"/>
        <v>1</v>
      </c>
      <c r="AB21" s="1724">
        <f t="shared" si="4"/>
        <v>1</v>
      </c>
      <c r="AC21" s="1724">
        <f t="shared" si="5"/>
        <v>1</v>
      </c>
    </row>
    <row r="22" spans="1:29" ht="15">
      <c r="A22" s="1664"/>
      <c r="B22" s="1977"/>
      <c r="C22" s="1971"/>
      <c r="D22" s="1731"/>
      <c r="E22" s="1728"/>
      <c r="F22" s="1727"/>
      <c r="G22" s="1728"/>
      <c r="H22" s="1727"/>
      <c r="I22" s="1730"/>
      <c r="J22" s="1727"/>
      <c r="K22" s="1965"/>
      <c r="L22" s="2996"/>
      <c r="M22" s="2992"/>
      <c r="N22" s="2992"/>
      <c r="O22" s="3040"/>
      <c r="P22" s="3435"/>
      <c r="Q22" s="1612"/>
      <c r="R22" s="1721"/>
      <c r="S22" s="1722"/>
      <c r="T22" s="1721"/>
      <c r="U22" s="1722"/>
      <c r="V22" s="1721"/>
      <c r="W22" s="1722"/>
      <c r="X22" s="1662"/>
      <c r="Y22" s="3435"/>
      <c r="Z22" s="1723"/>
      <c r="AA22" s="1724">
        <v>1</v>
      </c>
      <c r="AB22" s="1724">
        <v>1</v>
      </c>
      <c r="AC22" s="1724">
        <v>1</v>
      </c>
    </row>
    <row r="23" spans="1:29" ht="15">
      <c r="A23" s="1664"/>
      <c r="B23" s="1454" t="s">
        <v>2445</v>
      </c>
      <c r="C23" s="1978">
        <f>估价对象房地状况!C19</f>
        <v>0</v>
      </c>
      <c r="D23" s="1738">
        <v>100</v>
      </c>
      <c r="E23" s="1735"/>
      <c r="F23" s="1738">
        <f>SUMIF(96:96,E24,97:97)-SUMIF(96:96,C24,97:97)+100</f>
        <v>100</v>
      </c>
      <c r="G23" s="1737"/>
      <c r="H23" s="1738">
        <f>SUMIF(96:96,G24,97:97)-SUMIF(96:96,C24,97:97)+100</f>
        <v>100</v>
      </c>
      <c r="I23" s="1737"/>
      <c r="J23" s="1738">
        <f>SUMIF(96:96,I24,97:97)-SUMIF(96:96,C24,97:97)+100</f>
        <v>100</v>
      </c>
      <c r="K23" s="1966"/>
      <c r="L23" s="2996"/>
      <c r="M23" s="2992"/>
      <c r="N23" s="2992"/>
      <c r="O23" s="3040"/>
      <c r="P23" s="3435"/>
      <c r="Q23" s="1612" t="str">
        <f t="shared" ref="Q23:Q37" si="8">B23</f>
        <v>区域土地利用方向</v>
      </c>
      <c r="R23" s="1721" t="s">
        <v>25</v>
      </c>
      <c r="S23" s="1722">
        <f>F23</f>
        <v>100</v>
      </c>
      <c r="T23" s="1721" t="s">
        <v>25</v>
      </c>
      <c r="U23" s="1722">
        <f>H23</f>
        <v>100</v>
      </c>
      <c r="V23" s="1721" t="s">
        <v>25</v>
      </c>
      <c r="W23" s="1722">
        <f>J23</f>
        <v>100</v>
      </c>
      <c r="X23" s="1662"/>
      <c r="Y23" s="3435"/>
      <c r="Z23" s="1723" t="str">
        <f>Q23</f>
        <v>区域土地利用方向</v>
      </c>
      <c r="AA23" s="1724">
        <f t="shared" si="3"/>
        <v>1</v>
      </c>
      <c r="AB23" s="1724">
        <f t="shared" si="4"/>
        <v>1</v>
      </c>
      <c r="AC23" s="1724">
        <f t="shared" si="5"/>
        <v>1</v>
      </c>
    </row>
    <row r="24" spans="1:29" ht="15">
      <c r="A24" s="1664"/>
      <c r="B24" s="1455"/>
      <c r="C24" s="1979"/>
      <c r="D24" s="1727"/>
      <c r="E24" s="1728"/>
      <c r="F24" s="1727"/>
      <c r="G24" s="1730"/>
      <c r="H24" s="1727"/>
      <c r="I24" s="1730"/>
      <c r="J24" s="1727"/>
      <c r="K24" s="1980"/>
      <c r="L24" s="2996"/>
      <c r="M24" s="2992"/>
      <c r="N24" s="2992"/>
      <c r="O24" s="3040"/>
      <c r="P24" s="3435"/>
      <c r="Q24" s="1612"/>
      <c r="R24" s="1721"/>
      <c r="S24" s="1722"/>
      <c r="T24" s="1721"/>
      <c r="U24" s="1722"/>
      <c r="V24" s="1721"/>
      <c r="W24" s="1722"/>
      <c r="X24" s="1662"/>
      <c r="Y24" s="3435"/>
      <c r="Z24" s="1723"/>
      <c r="AA24" s="1724"/>
      <c r="AB24" s="1724"/>
      <c r="AC24" s="1724"/>
    </row>
    <row r="25" spans="1:29" ht="57">
      <c r="A25" s="1664"/>
      <c r="B25" s="1977" t="s">
        <v>2446</v>
      </c>
      <c r="C25" s="1973" t="str">
        <f>估价对象房地状况!C20</f>
        <v>区域自然环境：；人文环境；综合评价环境状况一般</v>
      </c>
      <c r="D25" s="1731">
        <v>100</v>
      </c>
      <c r="E25" s="1735"/>
      <c r="F25" s="1731">
        <f>SUMIF(98:98,E26,99:99)-SUMIF(98:98,C26,99:99)+100</f>
        <v>100</v>
      </c>
      <c r="G25" s="1735"/>
      <c r="H25" s="1731">
        <f>SUMIF(98:98,G26,99:99)-SUMIF(98:98,C26,99:99)+100</f>
        <v>100</v>
      </c>
      <c r="I25" s="1737"/>
      <c r="J25" s="1731">
        <f>SUMIF(98:98,I26,99:99)-SUMIF(98:98,C26,99:99)+100</f>
        <v>100</v>
      </c>
      <c r="K25" s="1966"/>
      <c r="L25" s="2996"/>
      <c r="M25" s="2992"/>
      <c r="N25" s="2992"/>
      <c r="O25" s="3040"/>
      <c r="P25" s="3435"/>
      <c r="Q25" s="1612" t="str">
        <f t="shared" si="8"/>
        <v>自然及人文环境状况</v>
      </c>
      <c r="R25" s="1721" t="s">
        <v>25</v>
      </c>
      <c r="S25" s="1722">
        <f>F25</f>
        <v>100</v>
      </c>
      <c r="T25" s="1721" t="s">
        <v>25</v>
      </c>
      <c r="U25" s="1722">
        <f>H25</f>
        <v>100</v>
      </c>
      <c r="V25" s="1721" t="s">
        <v>25</v>
      </c>
      <c r="W25" s="1722">
        <f>J25</f>
        <v>100</v>
      </c>
      <c r="X25" s="1662"/>
      <c r="Y25" s="3435"/>
      <c r="Z25" s="1723" t="str">
        <f>Q25</f>
        <v>自然及人文环境状况</v>
      </c>
      <c r="AA25" s="1724">
        <f t="shared" si="3"/>
        <v>1</v>
      </c>
      <c r="AB25" s="1724">
        <f t="shared" si="4"/>
        <v>1</v>
      </c>
      <c r="AC25" s="1724">
        <f t="shared" si="5"/>
        <v>1</v>
      </c>
    </row>
    <row r="26" spans="1:29" ht="15">
      <c r="A26" s="1664"/>
      <c r="B26" s="1974"/>
      <c r="C26" s="1971"/>
      <c r="D26" s="1727"/>
      <c r="E26" s="1971"/>
      <c r="F26" s="1727"/>
      <c r="G26" s="1971"/>
      <c r="H26" s="1727"/>
      <c r="I26" s="1726"/>
      <c r="J26" s="1727"/>
      <c r="K26" s="1965"/>
      <c r="L26" s="2996"/>
      <c r="M26" s="2992"/>
      <c r="N26" s="2992"/>
      <c r="O26" s="3040"/>
      <c r="P26" s="3435"/>
      <c r="Q26" s="1612"/>
      <c r="R26" s="1721"/>
      <c r="S26" s="1722"/>
      <c r="T26" s="1721"/>
      <c r="U26" s="1722"/>
      <c r="V26" s="1721"/>
      <c r="W26" s="1722"/>
      <c r="X26" s="1662"/>
      <c r="Y26" s="3435"/>
      <c r="Z26" s="1723"/>
      <c r="AA26" s="1724">
        <v>1</v>
      </c>
      <c r="AB26" s="1724">
        <v>1</v>
      </c>
      <c r="AC26" s="1724">
        <v>1</v>
      </c>
    </row>
    <row r="27" spans="1:29" ht="42.75">
      <c r="A27" s="1664"/>
      <c r="B27" s="1977" t="s">
        <v>2354</v>
      </c>
      <c r="C27" s="1976" t="str">
        <f>估价对象房地状况!C21</f>
        <v>估价对象所在区域公共配套设施齐备情况</v>
      </c>
      <c r="D27" s="1731">
        <v>100</v>
      </c>
      <c r="E27" s="1735"/>
      <c r="F27" s="1731">
        <f>SUMIF(100:100,E28,101:101)-SUMIF(100:100,C28,101:101)+100</f>
        <v>100</v>
      </c>
      <c r="G27" s="1735"/>
      <c r="H27" s="1731">
        <f>SUMIF(100:100,G28,101:101)-SUMIF(100:100,C28,101:101)+100</f>
        <v>100</v>
      </c>
      <c r="I27" s="1737"/>
      <c r="J27" s="1731">
        <f>SUMIF(100:100,I28,101:101)-SUMIF(100:100,C28,101:101)+100</f>
        <v>100</v>
      </c>
      <c r="K27" s="1981"/>
      <c r="L27" s="2996"/>
      <c r="M27" s="2992"/>
      <c r="N27" s="2992"/>
      <c r="O27" s="3040"/>
      <c r="P27" s="3435"/>
      <c r="Q27" s="1631" t="str">
        <f t="shared" ref="Q27" si="9">B27</f>
        <v>公共配套设施</v>
      </c>
      <c r="R27" s="1677" t="s">
        <v>25</v>
      </c>
      <c r="S27" s="1678">
        <f>F27</f>
        <v>100</v>
      </c>
      <c r="T27" s="1677" t="s">
        <v>25</v>
      </c>
      <c r="U27" s="1678">
        <f>H27</f>
        <v>100</v>
      </c>
      <c r="V27" s="1677" t="s">
        <v>25</v>
      </c>
      <c r="W27" s="1678">
        <f>J27</f>
        <v>100</v>
      </c>
      <c r="X27" s="1662"/>
      <c r="Y27" s="3435"/>
      <c r="Z27" s="1689" t="str">
        <f>Q27</f>
        <v>公共配套设施</v>
      </c>
      <c r="AA27" s="1724">
        <f>D27/F27</f>
        <v>1</v>
      </c>
      <c r="AB27" s="1724">
        <f>D27/H27</f>
        <v>1</v>
      </c>
      <c r="AC27" s="1724">
        <f>D27/J27</f>
        <v>1</v>
      </c>
    </row>
    <row r="28" spans="1:29" ht="15">
      <c r="A28" s="1664"/>
      <c r="B28" s="1974"/>
      <c r="C28" s="1982"/>
      <c r="D28" s="1727"/>
      <c r="E28" s="1982"/>
      <c r="F28" s="1727"/>
      <c r="G28" s="1982"/>
      <c r="H28" s="1727"/>
      <c r="I28" s="1982"/>
      <c r="J28" s="1727"/>
      <c r="K28" s="1965"/>
      <c r="L28" s="2996"/>
      <c r="M28" s="2992"/>
      <c r="N28" s="2992"/>
      <c r="O28" s="3040"/>
      <c r="P28" s="3435"/>
      <c r="Q28" s="1612"/>
      <c r="R28" s="1721"/>
      <c r="S28" s="1722"/>
      <c r="T28" s="1721"/>
      <c r="U28" s="1722"/>
      <c r="V28" s="1721"/>
      <c r="W28" s="1722"/>
      <c r="X28" s="1662"/>
      <c r="Y28" s="3435"/>
      <c r="Z28" s="1689"/>
      <c r="AA28" s="1724">
        <v>1</v>
      </c>
      <c r="AB28" s="1724">
        <v>1</v>
      </c>
      <c r="AC28" s="1724">
        <v>1</v>
      </c>
    </row>
    <row r="29" spans="1:29" s="1681" customFormat="1" ht="28.5">
      <c r="A29" s="1983"/>
      <c r="B29" s="1977" t="s">
        <v>2355</v>
      </c>
      <c r="C29" s="1984" t="str">
        <f>估价对象房地状况!C22</f>
        <v>估价对象所在区域基础设施水平</v>
      </c>
      <c r="D29" s="1731">
        <v>100</v>
      </c>
      <c r="E29" s="1735"/>
      <c r="F29" s="1731">
        <f>SUMIF(102:102,E30,103:103)-SUMIF(102:102,C30,103:103)+100</f>
        <v>100</v>
      </c>
      <c r="G29" s="1735"/>
      <c r="H29" s="1731">
        <f>SUMIF(102:102,G30,103:103)-SUMIF(102:102,C30,103:103)+100</f>
        <v>100</v>
      </c>
      <c r="I29" s="1737"/>
      <c r="J29" s="1731">
        <f>SUMIF(102:102,I30,103:103)-SUMIF(102:102,C30,103:103)+100</f>
        <v>100</v>
      </c>
      <c r="K29" s="1981"/>
      <c r="L29" s="2991"/>
      <c r="M29" s="2964"/>
      <c r="N29" s="2964"/>
      <c r="O29" s="3038"/>
      <c r="P29" s="3435"/>
      <c r="Q29" s="1631" t="str">
        <f t="shared" si="8"/>
        <v>基础设施水平</v>
      </c>
      <c r="R29" s="1677" t="s">
        <v>25</v>
      </c>
      <c r="S29" s="1678">
        <f>F29</f>
        <v>100</v>
      </c>
      <c r="T29" s="1677" t="s">
        <v>25</v>
      </c>
      <c r="U29" s="1678">
        <f>H29</f>
        <v>100</v>
      </c>
      <c r="V29" s="1677" t="s">
        <v>25</v>
      </c>
      <c r="W29" s="1678">
        <f>J29</f>
        <v>100</v>
      </c>
      <c r="X29" s="1679"/>
      <c r="Y29" s="3435"/>
      <c r="Z29" s="1689" t="str">
        <f>Q29</f>
        <v>基础设施水平</v>
      </c>
      <c r="AA29" s="1724">
        <f>D29/F29</f>
        <v>1</v>
      </c>
      <c r="AB29" s="1724">
        <f>D29/H29</f>
        <v>1</v>
      </c>
      <c r="AC29" s="1724">
        <f>D29/J29</f>
        <v>1</v>
      </c>
    </row>
    <row r="30" spans="1:29" s="1681" customFormat="1" ht="15">
      <c r="A30" s="1983"/>
      <c r="B30" s="1974"/>
      <c r="C30" s="1982"/>
      <c r="D30" s="1727"/>
      <c r="E30" s="1982"/>
      <c r="F30" s="1727"/>
      <c r="G30" s="1982"/>
      <c r="H30" s="1727"/>
      <c r="I30" s="1982"/>
      <c r="J30" s="1727"/>
      <c r="K30" s="1965"/>
      <c r="L30" s="2991"/>
      <c r="M30" s="2964"/>
      <c r="N30" s="2964"/>
      <c r="O30" s="3038"/>
      <c r="P30" s="3435"/>
      <c r="Q30" s="1631"/>
      <c r="R30" s="1677"/>
      <c r="S30" s="1678"/>
      <c r="T30" s="1677"/>
      <c r="U30" s="1678"/>
      <c r="V30" s="1677"/>
      <c r="W30" s="1678"/>
      <c r="X30" s="1679"/>
      <c r="Y30" s="3435"/>
      <c r="Z30" s="1689"/>
      <c r="AA30" s="1724">
        <v>1</v>
      </c>
      <c r="AB30" s="1724">
        <v>1</v>
      </c>
      <c r="AC30" s="1724">
        <v>1</v>
      </c>
    </row>
    <row r="31" spans="1:29" ht="15">
      <c r="A31" s="1664"/>
      <c r="B31" s="1974" t="s">
        <v>2356</v>
      </c>
      <c r="C31" s="1979"/>
      <c r="D31" s="1707">
        <v>100</v>
      </c>
      <c r="E31" s="1979"/>
      <c r="F31" s="1707">
        <f>SUMIF(104:104,E31,105:105)-SUMIF(104:104,C31,105:105)+100</f>
        <v>100</v>
      </c>
      <c r="G31" s="1979"/>
      <c r="H31" s="1707">
        <f>SUMIF(104:104,G31,105:105)-SUMIF(104:104,C31,105:105)+100</f>
        <v>100</v>
      </c>
      <c r="I31" s="1979"/>
      <c r="J31" s="1707">
        <f>SUMIF(104:104,I31,105:105)-SUMIF(104:104,C31,105:105)+100</f>
        <v>100</v>
      </c>
      <c r="K31" s="1966"/>
      <c r="L31" s="2996"/>
      <c r="M31" s="2992"/>
      <c r="N31" s="2992"/>
      <c r="O31" s="3040"/>
      <c r="P31" s="3435"/>
      <c r="Q31" s="1612" t="str">
        <f t="shared" si="8"/>
        <v>临街状况</v>
      </c>
      <c r="R31" s="1721" t="s">
        <v>25</v>
      </c>
      <c r="S31" s="1722">
        <f t="shared" ref="S31:S45" si="10">F31</f>
        <v>100</v>
      </c>
      <c r="T31" s="1721" t="s">
        <v>25</v>
      </c>
      <c r="U31" s="1722">
        <f t="shared" ref="U31:U45" si="11">H31</f>
        <v>100</v>
      </c>
      <c r="V31" s="1721" t="s">
        <v>25</v>
      </c>
      <c r="W31" s="1722">
        <f t="shared" ref="W31:W45" si="12">J31</f>
        <v>100</v>
      </c>
      <c r="X31" s="1662"/>
      <c r="Y31" s="3435"/>
      <c r="Z31" s="1723" t="str">
        <f t="shared" ref="Z31:Z45" si="13">Q31</f>
        <v>临街状况</v>
      </c>
      <c r="AA31" s="1724">
        <f t="shared" si="3"/>
        <v>1</v>
      </c>
      <c r="AB31" s="1724">
        <f t="shared" si="4"/>
        <v>1</v>
      </c>
      <c r="AC31" s="1724">
        <f t="shared" si="5"/>
        <v>1</v>
      </c>
    </row>
    <row r="32" spans="1:29" ht="27">
      <c r="A32" s="1664"/>
      <c r="B32" s="1977" t="s">
        <v>2386</v>
      </c>
      <c r="C32" s="1735"/>
      <c r="D32" s="1731">
        <v>100</v>
      </c>
      <c r="E32" s="1735"/>
      <c r="F32" s="1731">
        <f>SUMIF(106:106,E33,107:107)-SUMIF(106:106,C33,107:107)+100</f>
        <v>100</v>
      </c>
      <c r="G32" s="1735"/>
      <c r="H32" s="1731">
        <f>SUMIF(106:106,G33,107:107)-SUMIF(106:106,C33,107:107)+100</f>
        <v>100</v>
      </c>
      <c r="I32" s="1737"/>
      <c r="J32" s="1731">
        <f>SUMIF(106:106,I33,107:107)-SUMIF(106:106,C33,107:107)+100</f>
        <v>100</v>
      </c>
      <c r="K32" s="1966"/>
      <c r="L32" s="2996"/>
      <c r="M32" s="2992"/>
      <c r="N32" s="2992"/>
      <c r="O32" s="3040"/>
      <c r="P32" s="3435"/>
      <c r="Q32" s="1612" t="str">
        <f t="shared" si="8"/>
        <v>毗邻道路的类型与等级</v>
      </c>
      <c r="R32" s="1721" t="s">
        <v>25</v>
      </c>
      <c r="S32" s="1722">
        <f t="shared" si="10"/>
        <v>100</v>
      </c>
      <c r="T32" s="1721" t="s">
        <v>25</v>
      </c>
      <c r="U32" s="1722">
        <f t="shared" si="11"/>
        <v>100</v>
      </c>
      <c r="V32" s="1721" t="s">
        <v>25</v>
      </c>
      <c r="W32" s="1722">
        <f t="shared" si="12"/>
        <v>100</v>
      </c>
      <c r="X32" s="1662"/>
      <c r="Y32" s="3435"/>
      <c r="Z32" s="1723" t="str">
        <f t="shared" si="13"/>
        <v>毗邻道路的类型与等级</v>
      </c>
      <c r="AA32" s="1724">
        <f t="shared" si="3"/>
        <v>1</v>
      </c>
      <c r="AB32" s="1724">
        <f t="shared" si="4"/>
        <v>1</v>
      </c>
      <c r="AC32" s="1724">
        <f t="shared" si="5"/>
        <v>1</v>
      </c>
    </row>
    <row r="33" spans="1:29" ht="15">
      <c r="A33" s="1664"/>
      <c r="B33" s="1974"/>
      <c r="C33" s="1971"/>
      <c r="D33" s="1727"/>
      <c r="E33" s="1971"/>
      <c r="F33" s="1727"/>
      <c r="G33" s="1971"/>
      <c r="H33" s="1727"/>
      <c r="I33" s="1726"/>
      <c r="J33" s="1727"/>
      <c r="K33" s="1985"/>
      <c r="L33" s="2996"/>
      <c r="M33" s="2992"/>
      <c r="N33" s="2992"/>
      <c r="O33" s="3040"/>
      <c r="P33" s="3435"/>
      <c r="Q33" s="1612"/>
      <c r="R33" s="1721"/>
      <c r="S33" s="1722"/>
      <c r="T33" s="1721"/>
      <c r="U33" s="1722"/>
      <c r="V33" s="1721"/>
      <c r="W33" s="1722"/>
      <c r="X33" s="1662"/>
      <c r="Y33" s="3435"/>
      <c r="Z33" s="1723"/>
      <c r="AA33" s="1724">
        <v>1</v>
      </c>
      <c r="AB33" s="1724">
        <v>1</v>
      </c>
      <c r="AC33" s="1724">
        <v>1</v>
      </c>
    </row>
    <row r="34" spans="1:29" ht="15">
      <c r="A34" s="1664"/>
      <c r="B34" s="1986" t="s">
        <v>2447</v>
      </c>
      <c r="C34" s="1979"/>
      <c r="D34" s="1707">
        <v>100</v>
      </c>
      <c r="E34" s="1979"/>
      <c r="F34" s="1707">
        <f>SUMIF(108:108,E34,109:109)-SUMIF(108:108,C34,109:109)+100</f>
        <v>100</v>
      </c>
      <c r="G34" s="1979"/>
      <c r="H34" s="1707">
        <f>SUMIF(108:108,G34,109:109)-SUMIF(108:108,C34,109:109)+100</f>
        <v>100</v>
      </c>
      <c r="I34" s="1987"/>
      <c r="J34" s="1707">
        <f>SUMIF(108:108,I34,109:109)-SUMIF(108:108,C34,109:109)+100</f>
        <v>100</v>
      </c>
      <c r="K34" s="1988"/>
      <c r="L34" s="2996"/>
      <c r="M34" s="2992"/>
      <c r="N34" s="2992"/>
      <c r="O34" s="3040"/>
      <c r="P34" s="3435"/>
      <c r="Q34" s="1612" t="str">
        <f t="shared" si="8"/>
        <v>土地级别</v>
      </c>
      <c r="R34" s="1721" t="s">
        <v>25</v>
      </c>
      <c r="S34" s="1722">
        <f t="shared" si="10"/>
        <v>100</v>
      </c>
      <c r="T34" s="1721" t="s">
        <v>25</v>
      </c>
      <c r="U34" s="1722">
        <f t="shared" si="11"/>
        <v>100</v>
      </c>
      <c r="V34" s="1721" t="s">
        <v>25</v>
      </c>
      <c r="W34" s="1722">
        <f t="shared" si="12"/>
        <v>100</v>
      </c>
      <c r="X34" s="1662"/>
      <c r="Y34" s="3435"/>
      <c r="Z34" s="1723" t="str">
        <f t="shared" si="13"/>
        <v>土地级别</v>
      </c>
      <c r="AA34" s="1724">
        <f t="shared" si="3"/>
        <v>1</v>
      </c>
      <c r="AB34" s="1724">
        <f t="shared" si="4"/>
        <v>1</v>
      </c>
      <c r="AC34" s="1724">
        <f t="shared" si="5"/>
        <v>1</v>
      </c>
    </row>
    <row r="35" spans="1:29" ht="15">
      <c r="A35" s="1664"/>
      <c r="B35" s="1989">
        <v>111</v>
      </c>
      <c r="C35" s="1775"/>
      <c r="D35" s="1707">
        <v>100</v>
      </c>
      <c r="E35" s="1775"/>
      <c r="F35" s="1707">
        <f>SUMIF(110:110,E35,111:111)-SUMIF(110:110,C35,111:111)+100</f>
        <v>100</v>
      </c>
      <c r="G35" s="1775"/>
      <c r="H35" s="1707">
        <f>SUMIF(110:110,G35,111:111)-SUMIF(110:110,C35,111:111)+100</f>
        <v>100</v>
      </c>
      <c r="I35" s="1967"/>
      <c r="J35" s="1707">
        <f>SUMIF(110:110,I35,111:111)-SUMIF(110:110,C35,111:111)+100</f>
        <v>100</v>
      </c>
      <c r="K35" s="1985"/>
      <c r="L35" s="2996"/>
      <c r="M35" s="2992"/>
      <c r="N35" s="2992"/>
      <c r="O35" s="3040"/>
      <c r="P35" s="3435"/>
      <c r="Q35" s="1612">
        <f t="shared" si="8"/>
        <v>111</v>
      </c>
      <c r="R35" s="1721" t="s">
        <v>25</v>
      </c>
      <c r="S35" s="1722">
        <f t="shared" si="10"/>
        <v>100</v>
      </c>
      <c r="T35" s="1721" t="s">
        <v>25</v>
      </c>
      <c r="U35" s="1722">
        <f t="shared" si="11"/>
        <v>100</v>
      </c>
      <c r="V35" s="1721" t="s">
        <v>25</v>
      </c>
      <c r="W35" s="1722">
        <f t="shared" si="12"/>
        <v>100</v>
      </c>
      <c r="X35" s="1662"/>
      <c r="Y35" s="3435"/>
      <c r="Z35" s="1723">
        <f t="shared" si="13"/>
        <v>111</v>
      </c>
      <c r="AA35" s="1724">
        <f t="shared" si="3"/>
        <v>1</v>
      </c>
      <c r="AB35" s="1724">
        <f t="shared" si="4"/>
        <v>1</v>
      </c>
      <c r="AC35" s="1724">
        <f t="shared" si="5"/>
        <v>1</v>
      </c>
    </row>
    <row r="36" spans="1:29" ht="15">
      <c r="A36" s="1990"/>
      <c r="B36" s="1991">
        <v>111</v>
      </c>
      <c r="C36" s="1775"/>
      <c r="D36" s="1707">
        <v>100</v>
      </c>
      <c r="E36" s="1775"/>
      <c r="F36" s="1707">
        <f>SUMIF(112:112,E37,113:113)-SUMIF(112:112,C37,113:113)+100</f>
        <v>100</v>
      </c>
      <c r="G36" s="1775"/>
      <c r="H36" s="1707">
        <f>SUMIF(112:112,G36,113:113)-SUMIF(112:112,C36,113:113)+100</f>
        <v>100</v>
      </c>
      <c r="I36" s="1967"/>
      <c r="J36" s="1707">
        <f>SUMIF(112:112,I36,113:113)-SUMIF(112:112,C36,113:113)+100</f>
        <v>100</v>
      </c>
      <c r="K36" s="1985"/>
      <c r="L36" s="2996"/>
      <c r="M36" s="2992"/>
      <c r="N36" s="2992"/>
      <c r="O36" s="3040"/>
      <c r="P36" s="3512" t="s">
        <v>2274</v>
      </c>
      <c r="Q36" s="1612">
        <f t="shared" si="8"/>
        <v>111</v>
      </c>
      <c r="R36" s="1721" t="s">
        <v>25</v>
      </c>
      <c r="S36" s="1722">
        <f t="shared" si="10"/>
        <v>100</v>
      </c>
      <c r="T36" s="1721" t="s">
        <v>25</v>
      </c>
      <c r="U36" s="1722">
        <f t="shared" si="11"/>
        <v>100</v>
      </c>
      <c r="V36" s="1721" t="s">
        <v>25</v>
      </c>
      <c r="W36" s="1722">
        <f t="shared" si="12"/>
        <v>100</v>
      </c>
      <c r="X36" s="1662"/>
      <c r="Y36" s="3439" t="s">
        <v>2274</v>
      </c>
      <c r="Z36" s="1723">
        <f t="shared" si="13"/>
        <v>111</v>
      </c>
      <c r="AA36" s="1724">
        <f t="shared" si="3"/>
        <v>1</v>
      </c>
      <c r="AB36" s="1724">
        <f t="shared" si="4"/>
        <v>1</v>
      </c>
      <c r="AC36" s="1724">
        <f t="shared" si="5"/>
        <v>1</v>
      </c>
    </row>
    <row r="37" spans="1:29" s="1767" customFormat="1" ht="15.75" thickBot="1">
      <c r="A37" s="1992"/>
      <c r="B37" s="1993">
        <v>111</v>
      </c>
      <c r="C37" s="1994"/>
      <c r="D37" s="1995">
        <v>100</v>
      </c>
      <c r="E37" s="1994"/>
      <c r="F37" s="1711">
        <f>SUMIF(114:114,E37,115:115)-SUMIF(114:114,C37,115:115)+100</f>
        <v>100</v>
      </c>
      <c r="G37" s="1994"/>
      <c r="H37" s="1711">
        <f>SUMIF(114:114,G37,115:115)-SUMIF(114:114,C37,115:115)+100</f>
        <v>100</v>
      </c>
      <c r="I37" s="1996"/>
      <c r="J37" s="1711">
        <f>SUMIF(114:114,I37,115:115)-SUMIF(114:114,C37,115:115)+100</f>
        <v>100</v>
      </c>
      <c r="K37" s="1985"/>
      <c r="L37" s="2995"/>
      <c r="M37" s="2055"/>
      <c r="N37" s="2055"/>
      <c r="O37" s="3041"/>
      <c r="P37" s="3439"/>
      <c r="Q37" s="1612">
        <f t="shared" si="8"/>
        <v>111</v>
      </c>
      <c r="R37" s="1763" t="s">
        <v>25</v>
      </c>
      <c r="S37" s="1764">
        <f t="shared" si="10"/>
        <v>100</v>
      </c>
      <c r="T37" s="1763" t="s">
        <v>25</v>
      </c>
      <c r="U37" s="1764">
        <f t="shared" si="11"/>
        <v>100</v>
      </c>
      <c r="V37" s="1763" t="s">
        <v>25</v>
      </c>
      <c r="W37" s="1764">
        <f t="shared" si="12"/>
        <v>100</v>
      </c>
      <c r="X37" s="1765"/>
      <c r="Y37" s="3439"/>
      <c r="Z37" s="1766">
        <f t="shared" si="13"/>
        <v>111</v>
      </c>
      <c r="AA37" s="1724">
        <f t="shared" si="3"/>
        <v>1</v>
      </c>
      <c r="AB37" s="1724">
        <f t="shared" si="4"/>
        <v>1</v>
      </c>
      <c r="AC37" s="1724">
        <f t="shared" si="5"/>
        <v>1</v>
      </c>
    </row>
    <row r="38" spans="1:29" ht="15">
      <c r="A38" s="1659" t="s">
        <v>2272</v>
      </c>
      <c r="B38" s="1739" t="s">
        <v>2448</v>
      </c>
      <c r="C38" s="1997"/>
      <c r="D38" s="1758">
        <v>100</v>
      </c>
      <c r="E38" s="1997"/>
      <c r="F38" s="1758" t="e">
        <f>LOOKUP(E38,117:117,118:118)-LOOKUP(C38,117:117,118:118)+100</f>
        <v>#N/A</v>
      </c>
      <c r="G38" s="1997"/>
      <c r="H38" s="1758" t="e">
        <f>LOOKUP(G38,117:117,118:118)-LOOKUP(C38,117:117,118:118)+100</f>
        <v>#N/A</v>
      </c>
      <c r="I38" s="1845"/>
      <c r="J38" s="1758" t="e">
        <f>LOOKUP(I38,117:117,118:118)-LOOKUP(C38,117:117,118:118)+100</f>
        <v>#N/A</v>
      </c>
      <c r="K38" s="1985"/>
      <c r="L38" s="2996"/>
      <c r="M38" s="2992"/>
      <c r="N38" s="2992"/>
      <c r="O38" s="3040"/>
      <c r="P38" s="3439"/>
      <c r="Q38" s="1612" t="str">
        <f>B38</f>
        <v>宗地面积</v>
      </c>
      <c r="R38" s="1721" t="s">
        <v>25</v>
      </c>
      <c r="S38" s="1722" t="e">
        <f t="shared" si="10"/>
        <v>#N/A</v>
      </c>
      <c r="T38" s="1721" t="s">
        <v>25</v>
      </c>
      <c r="U38" s="1722" t="e">
        <f t="shared" si="11"/>
        <v>#N/A</v>
      </c>
      <c r="V38" s="1721" t="s">
        <v>25</v>
      </c>
      <c r="W38" s="1722" t="e">
        <f t="shared" si="12"/>
        <v>#N/A</v>
      </c>
      <c r="X38" s="1662"/>
      <c r="Y38" s="3439"/>
      <c r="Z38" s="1723" t="str">
        <f t="shared" si="13"/>
        <v>宗地面积</v>
      </c>
      <c r="AA38" s="1724" t="e">
        <f t="shared" si="3"/>
        <v>#N/A</v>
      </c>
      <c r="AB38" s="1724" t="e">
        <f t="shared" si="4"/>
        <v>#N/A</v>
      </c>
      <c r="AC38" s="1724" t="e">
        <f t="shared" si="5"/>
        <v>#N/A</v>
      </c>
    </row>
    <row r="39" spans="1:29" ht="15">
      <c r="A39" s="1768"/>
      <c r="B39" s="1691" t="s">
        <v>2449</v>
      </c>
      <c r="C39" s="1751"/>
      <c r="D39" s="1707">
        <v>100</v>
      </c>
      <c r="E39" s="1751"/>
      <c r="F39" s="1707">
        <f>SUMIF(119:119,E39,120:120)-SUMIF(119:119,C39,120:120)+100</f>
        <v>100</v>
      </c>
      <c r="G39" s="1751"/>
      <c r="H39" s="1707">
        <f>SUMIF(119:119,G39,120:120)-SUMIF(119:119,C39,120:120)+100</f>
        <v>100</v>
      </c>
      <c r="I39" s="1751"/>
      <c r="J39" s="1707">
        <f>SUMIF(119:119,I39,120:120)-SUMIF(119:119,C39,120:120)+100</f>
        <v>100</v>
      </c>
      <c r="K39" s="1988"/>
      <c r="L39" s="2996"/>
      <c r="M39" s="2992"/>
      <c r="N39" s="2992"/>
      <c r="O39" s="3040"/>
      <c r="P39" s="3439"/>
      <c r="Q39" s="1612" t="str">
        <f t="shared" ref="Q39:Q45" si="14">B39</f>
        <v>宗地形状</v>
      </c>
      <c r="R39" s="1721" t="s">
        <v>25</v>
      </c>
      <c r="S39" s="1722">
        <f t="shared" si="10"/>
        <v>100</v>
      </c>
      <c r="T39" s="1721" t="s">
        <v>25</v>
      </c>
      <c r="U39" s="1722">
        <f t="shared" si="11"/>
        <v>100</v>
      </c>
      <c r="V39" s="1721" t="s">
        <v>25</v>
      </c>
      <c r="W39" s="1722">
        <f t="shared" si="12"/>
        <v>100</v>
      </c>
      <c r="X39" s="1662"/>
      <c r="Y39" s="3439"/>
      <c r="Z39" s="1723" t="str">
        <f t="shared" si="13"/>
        <v>宗地形状</v>
      </c>
      <c r="AA39" s="1724">
        <f t="shared" si="3"/>
        <v>1</v>
      </c>
      <c r="AB39" s="1724">
        <f t="shared" si="4"/>
        <v>1</v>
      </c>
      <c r="AC39" s="1724">
        <f t="shared" si="5"/>
        <v>1</v>
      </c>
    </row>
    <row r="40" spans="1:29" ht="15">
      <c r="A40" s="1768"/>
      <c r="B40" s="1691" t="s">
        <v>2450</v>
      </c>
      <c r="C40" s="1751"/>
      <c r="D40" s="1707">
        <v>100</v>
      </c>
      <c r="E40" s="1751"/>
      <c r="F40" s="1707">
        <f>SUMIF(121:121,E40,122:122)-SUMIF(121:121,C40,122:122)+100</f>
        <v>100</v>
      </c>
      <c r="G40" s="1751"/>
      <c r="H40" s="1707">
        <f>SUMIF(121:121,G40,122:122)-SUMIF(121:121,C40,122:122)+100</f>
        <v>100</v>
      </c>
      <c r="I40" s="1751"/>
      <c r="J40" s="1707">
        <f>SUMIF(121:121,I40,122:122)-SUMIF(121:121,C40,122:122)+100</f>
        <v>100</v>
      </c>
      <c r="K40" s="1988"/>
      <c r="L40" s="2996"/>
      <c r="M40" s="2992"/>
      <c r="N40" s="2992"/>
      <c r="O40" s="3040"/>
      <c r="P40" s="3439"/>
      <c r="Q40" s="1612" t="str">
        <f t="shared" si="14"/>
        <v>临街宽度及深度</v>
      </c>
      <c r="R40" s="1721" t="s">
        <v>25</v>
      </c>
      <c r="S40" s="1722">
        <f t="shared" si="10"/>
        <v>100</v>
      </c>
      <c r="T40" s="1721" t="s">
        <v>25</v>
      </c>
      <c r="U40" s="1722">
        <f t="shared" si="11"/>
        <v>100</v>
      </c>
      <c r="V40" s="1721" t="s">
        <v>25</v>
      </c>
      <c r="W40" s="1722">
        <f t="shared" si="12"/>
        <v>100</v>
      </c>
      <c r="X40" s="1662"/>
      <c r="Y40" s="3439"/>
      <c r="Z40" s="1723" t="str">
        <f t="shared" si="13"/>
        <v>临街宽度及深度</v>
      </c>
      <c r="AA40" s="1724">
        <f t="shared" si="3"/>
        <v>1</v>
      </c>
      <c r="AB40" s="1724">
        <f t="shared" si="4"/>
        <v>1</v>
      </c>
      <c r="AC40" s="1724">
        <f t="shared" si="5"/>
        <v>1</v>
      </c>
    </row>
    <row r="41" spans="1:29" s="1681" customFormat="1" ht="15">
      <c r="A41" s="1771"/>
      <c r="B41" s="1691" t="s">
        <v>2451</v>
      </c>
      <c r="C41" s="1998"/>
      <c r="D41" s="1693">
        <v>100</v>
      </c>
      <c r="E41" s="1998"/>
      <c r="F41" s="1707">
        <f>SUMIF(123:123,E41,124:124)-SUMIF(123:123,C41,124:124)+100</f>
        <v>100</v>
      </c>
      <c r="G41" s="1998"/>
      <c r="H41" s="1707">
        <f>SUMIF(123:123,G41,124:124)-SUMIF(123:123,C41,124:124)+100</f>
        <v>100</v>
      </c>
      <c r="I41" s="1998"/>
      <c r="J41" s="1707">
        <f>SUMIF(123:123,I41,124:124)-SUMIF(123:123,C41,124:124)+100</f>
        <v>100</v>
      </c>
      <c r="K41" s="1988"/>
      <c r="L41" s="2991"/>
      <c r="M41" s="2964"/>
      <c r="N41" s="2964"/>
      <c r="O41" s="3038"/>
      <c r="P41" s="3439"/>
      <c r="Q41" s="1612" t="str">
        <f t="shared" si="14"/>
        <v>宗地开发程度</v>
      </c>
      <c r="R41" s="1677" t="s">
        <v>25</v>
      </c>
      <c r="S41" s="1678">
        <f t="shared" si="10"/>
        <v>100</v>
      </c>
      <c r="T41" s="1677" t="s">
        <v>25</v>
      </c>
      <c r="U41" s="1678">
        <f t="shared" si="11"/>
        <v>100</v>
      </c>
      <c r="V41" s="1677" t="s">
        <v>25</v>
      </c>
      <c r="W41" s="1678">
        <f t="shared" si="12"/>
        <v>100</v>
      </c>
      <c r="X41" s="1679"/>
      <c r="Y41" s="3439"/>
      <c r="Z41" s="1689" t="str">
        <f t="shared" si="13"/>
        <v>宗地开发程度</v>
      </c>
      <c r="AA41" s="1680">
        <f t="shared" si="3"/>
        <v>1</v>
      </c>
      <c r="AB41" s="1680">
        <f t="shared" si="4"/>
        <v>1</v>
      </c>
      <c r="AC41" s="1680">
        <f t="shared" si="5"/>
        <v>1</v>
      </c>
    </row>
    <row r="42" spans="1:29" ht="15">
      <c r="A42" s="1768"/>
      <c r="B42" s="1691" t="s">
        <v>2452</v>
      </c>
      <c r="C42" s="1751"/>
      <c r="D42" s="1707">
        <v>100</v>
      </c>
      <c r="E42" s="1751"/>
      <c r="F42" s="1707">
        <f>SUMIF(125:125,E42,126:126)-SUMIF(125:125,C42,126:126)+100</f>
        <v>100</v>
      </c>
      <c r="G42" s="1751"/>
      <c r="H42" s="1707">
        <f>SUMIF(125:125,G42,126:126)-SUMIF(125:125,C42,126:126)+100</f>
        <v>100</v>
      </c>
      <c r="I42" s="1751"/>
      <c r="J42" s="1707">
        <f>SUMIF(125:125,I42,126:126)-SUMIF(125:125,C42,126:126)+100</f>
        <v>100</v>
      </c>
      <c r="K42" s="1988"/>
      <c r="L42" s="2996"/>
      <c r="M42" s="2992"/>
      <c r="N42" s="2992"/>
      <c r="O42" s="3040"/>
      <c r="P42" s="3439" t="s">
        <v>2274</v>
      </c>
      <c r="Q42" s="1612" t="str">
        <f t="shared" si="14"/>
        <v>工程地质条件</v>
      </c>
      <c r="R42" s="1721" t="s">
        <v>25</v>
      </c>
      <c r="S42" s="1722">
        <f t="shared" si="10"/>
        <v>100</v>
      </c>
      <c r="T42" s="1721" t="s">
        <v>25</v>
      </c>
      <c r="U42" s="1722">
        <f t="shared" si="11"/>
        <v>100</v>
      </c>
      <c r="V42" s="1721" t="s">
        <v>25</v>
      </c>
      <c r="W42" s="1722">
        <f t="shared" si="12"/>
        <v>100</v>
      </c>
      <c r="X42" s="1662"/>
      <c r="Y42" s="3439" t="s">
        <v>2274</v>
      </c>
      <c r="Z42" s="1723" t="str">
        <f t="shared" si="13"/>
        <v>工程地质条件</v>
      </c>
      <c r="AA42" s="1724">
        <f t="shared" si="3"/>
        <v>1</v>
      </c>
      <c r="AB42" s="1724">
        <f t="shared" si="4"/>
        <v>1</v>
      </c>
      <c r="AC42" s="1724">
        <f t="shared" si="5"/>
        <v>1</v>
      </c>
    </row>
    <row r="43" spans="1:29" ht="15">
      <c r="A43" s="1768"/>
      <c r="B43" s="1999">
        <v>111</v>
      </c>
      <c r="C43" s="1967"/>
      <c r="D43" s="1707">
        <v>100</v>
      </c>
      <c r="E43" s="1967"/>
      <c r="F43" s="1707">
        <f>SUMIF(127:127,E43,128:128)-SUMIF(127:127,C43,128:128)+100</f>
        <v>100</v>
      </c>
      <c r="G43" s="1967"/>
      <c r="H43" s="1707">
        <f>SUMIF(127:127,G43,128:128)-SUMIF(127:127,C43,128:128)+100</f>
        <v>100</v>
      </c>
      <c r="I43" s="1863"/>
      <c r="J43" s="1707">
        <f>SUMIF(127:127,I43,128:128)-SUMIF(127:127,C43,128:128)+100</f>
        <v>100</v>
      </c>
      <c r="K43" s="1985"/>
      <c r="L43" s="2996"/>
      <c r="M43" s="2992"/>
      <c r="N43" s="2992"/>
      <c r="O43" s="3040"/>
      <c r="P43" s="3439"/>
      <c r="Q43" s="1612">
        <f t="shared" si="14"/>
        <v>111</v>
      </c>
      <c r="R43" s="1721" t="s">
        <v>25</v>
      </c>
      <c r="S43" s="1722">
        <f t="shared" si="10"/>
        <v>100</v>
      </c>
      <c r="T43" s="1721" t="s">
        <v>25</v>
      </c>
      <c r="U43" s="1722">
        <f t="shared" si="11"/>
        <v>100</v>
      </c>
      <c r="V43" s="1721" t="s">
        <v>25</v>
      </c>
      <c r="W43" s="1722">
        <f t="shared" si="12"/>
        <v>100</v>
      </c>
      <c r="X43" s="1662"/>
      <c r="Y43" s="3439"/>
      <c r="Z43" s="1723">
        <f t="shared" si="13"/>
        <v>111</v>
      </c>
      <c r="AA43" s="1724">
        <f t="shared" si="3"/>
        <v>1</v>
      </c>
      <c r="AB43" s="1724">
        <f t="shared" si="4"/>
        <v>1</v>
      </c>
      <c r="AC43" s="1724">
        <f t="shared" si="5"/>
        <v>1</v>
      </c>
    </row>
    <row r="44" spans="1:29" ht="15">
      <c r="A44" s="1768"/>
      <c r="B44" s="1999">
        <v>111</v>
      </c>
      <c r="C44" s="1967"/>
      <c r="D44" s="1707">
        <v>100</v>
      </c>
      <c r="E44" s="1967"/>
      <c r="F44" s="1707">
        <f>SUMIF(129:129,E44,130:130)-SUMIF(129:129,C44,130:130)+100</f>
        <v>100</v>
      </c>
      <c r="G44" s="1967"/>
      <c r="H44" s="1707">
        <f>SUMIF(129:129,G44,130:130)-SUMIF(129:129,C44,130:130)+100</f>
        <v>100</v>
      </c>
      <c r="I44" s="1863"/>
      <c r="J44" s="1707">
        <f>SUMIF(129:129,I44,130:130)-SUMIF(129:129,C44,130:130)+100</f>
        <v>100</v>
      </c>
      <c r="K44" s="1985"/>
      <c r="L44" s="2996"/>
      <c r="M44" s="2992"/>
      <c r="N44" s="2992"/>
      <c r="O44" s="3040"/>
      <c r="P44" s="3439"/>
      <c r="Q44" s="1612">
        <f t="shared" si="14"/>
        <v>111</v>
      </c>
      <c r="R44" s="1721" t="s">
        <v>25</v>
      </c>
      <c r="S44" s="1722">
        <f t="shared" si="10"/>
        <v>100</v>
      </c>
      <c r="T44" s="1721" t="s">
        <v>25</v>
      </c>
      <c r="U44" s="1722">
        <f t="shared" si="11"/>
        <v>100</v>
      </c>
      <c r="V44" s="1721" t="s">
        <v>25</v>
      </c>
      <c r="W44" s="1722">
        <f t="shared" si="12"/>
        <v>100</v>
      </c>
      <c r="X44" s="1662"/>
      <c r="Y44" s="3439"/>
      <c r="Z44" s="1723">
        <f t="shared" si="13"/>
        <v>111</v>
      </c>
      <c r="AA44" s="1724">
        <f t="shared" si="3"/>
        <v>1</v>
      </c>
      <c r="AB44" s="1724">
        <f t="shared" si="4"/>
        <v>1</v>
      </c>
      <c r="AC44" s="1724">
        <f t="shared" si="5"/>
        <v>1</v>
      </c>
    </row>
    <row r="45" spans="1:29" s="1767" customFormat="1" ht="15.75" thickBot="1">
      <c r="A45" s="1760"/>
      <c r="B45" s="1999">
        <v>111</v>
      </c>
      <c r="C45" s="2000"/>
      <c r="D45" s="3142">
        <v>100</v>
      </c>
      <c r="E45" s="1967"/>
      <c r="F45" s="1711">
        <f>SUMIF(131:131,E45,132:132)-SUMIF(131:131,C45,132:132)+100</f>
        <v>100</v>
      </c>
      <c r="G45" s="1967"/>
      <c r="H45" s="1711">
        <f>SUMIF(131:131,G45,132:132)-SUMIF(131:131,C45,132:132)+100</f>
        <v>100</v>
      </c>
      <c r="I45" s="1967"/>
      <c r="J45" s="1711">
        <f>SUMIF(131:131,I45,132:132)-SUMIF(131:131,C45,132:132)+100</f>
        <v>100</v>
      </c>
      <c r="K45" s="2001"/>
      <c r="L45" s="2995"/>
      <c r="M45" s="2055"/>
      <c r="N45" s="2055"/>
      <c r="O45" s="3041"/>
      <c r="P45" s="3439"/>
      <c r="Q45" s="1612">
        <f t="shared" si="14"/>
        <v>111</v>
      </c>
      <c r="R45" s="1763" t="s">
        <v>25</v>
      </c>
      <c r="S45" s="1764">
        <f t="shared" si="10"/>
        <v>100</v>
      </c>
      <c r="T45" s="1763" t="s">
        <v>25</v>
      </c>
      <c r="U45" s="1764">
        <f t="shared" si="11"/>
        <v>100</v>
      </c>
      <c r="V45" s="1763" t="s">
        <v>25</v>
      </c>
      <c r="W45" s="1764">
        <f t="shared" si="12"/>
        <v>100</v>
      </c>
      <c r="X45" s="1765"/>
      <c r="Y45" s="3439"/>
      <c r="Z45" s="1766">
        <f t="shared" si="13"/>
        <v>111</v>
      </c>
      <c r="AA45" s="1724">
        <f t="shared" si="3"/>
        <v>1</v>
      </c>
      <c r="AB45" s="1724">
        <f t="shared" si="4"/>
        <v>1</v>
      </c>
      <c r="AC45" s="1724">
        <f t="shared" si="5"/>
        <v>1</v>
      </c>
    </row>
    <row r="46" spans="1:29" ht="15">
      <c r="A46" s="1777" t="s">
        <v>2416</v>
      </c>
      <c r="B46" s="2002" t="s">
        <v>2453</v>
      </c>
      <c r="C46" s="2003" t="s">
        <v>1</v>
      </c>
      <c r="D46" s="2004"/>
      <c r="E46" s="2005"/>
      <c r="F46" s="2006"/>
      <c r="G46" s="2007"/>
      <c r="H46" s="2008"/>
      <c r="I46" s="2005"/>
      <c r="J46" s="2008"/>
      <c r="K46" s="2009"/>
      <c r="L46" s="2997"/>
      <c r="N46" s="2992"/>
      <c r="P46" s="3445" t="str">
        <f>A46</f>
        <v>成交单价</v>
      </c>
      <c r="Q46" s="3445"/>
      <c r="R46" s="3424">
        <f>E46</f>
        <v>0</v>
      </c>
      <c r="S46" s="3424"/>
      <c r="T46" s="3424">
        <f>G46</f>
        <v>0</v>
      </c>
      <c r="U46" s="3424"/>
      <c r="V46" s="3424">
        <f>I46</f>
        <v>0</v>
      </c>
      <c r="W46" s="3424"/>
      <c r="X46" s="1787"/>
      <c r="Y46" s="1788"/>
      <c r="Z46" s="1787"/>
      <c r="AA46" s="1787"/>
      <c r="AB46" s="1787"/>
      <c r="AC46" s="1787"/>
    </row>
    <row r="47" spans="1:29" ht="15.75" thickBot="1">
      <c r="A47" s="1789" t="s">
        <v>2369</v>
      </c>
      <c r="B47" s="2010"/>
      <c r="C47" s="2011" t="e">
        <f>R48</f>
        <v>#DIV/0!</v>
      </c>
      <c r="D47" s="1792" t="s">
        <v>2742</v>
      </c>
      <c r="E47" s="2011" t="e">
        <f>R47</f>
        <v>#DIV/0!</v>
      </c>
      <c r="F47" s="1794"/>
      <c r="G47" s="2012" t="e">
        <f>T47</f>
        <v>#DIV/0!</v>
      </c>
      <c r="H47" s="1794"/>
      <c r="I47" s="2011" t="e">
        <f>V47</f>
        <v>#DIV/0!</v>
      </c>
      <c r="J47" s="1794"/>
      <c r="K47" s="2506">
        <f>F47+H47+J47</f>
        <v>0</v>
      </c>
      <c r="L47" s="2997"/>
      <c r="P47" s="3445" t="str">
        <f>A47</f>
        <v>比较价值（元/平方米）</v>
      </c>
      <c r="Q47" s="3445"/>
      <c r="R47" s="3555" t="e">
        <f>ROUND(PRODUCT(R46,AA7:AA45),0)</f>
        <v>#DIV/0!</v>
      </c>
      <c r="S47" s="3555"/>
      <c r="T47" s="3555" t="e">
        <f>ROUND(PRODUCT(T46,AB7:AB45),0)</f>
        <v>#DIV/0!</v>
      </c>
      <c r="U47" s="3555"/>
      <c r="V47" s="3555" t="e">
        <f>ROUND(PRODUCT(V46,AC7:AC45),0)</f>
        <v>#DIV/0!</v>
      </c>
      <c r="W47" s="3555"/>
      <c r="X47" s="1787"/>
      <c r="Y47" s="1787"/>
      <c r="Z47" s="1787"/>
      <c r="AA47" s="1787"/>
      <c r="AB47" s="1787"/>
      <c r="AC47" s="1787"/>
    </row>
    <row r="48" spans="1:29" ht="15.75" thickBot="1">
      <c r="A48" s="1795" t="s">
        <v>2392</v>
      </c>
      <c r="B48" s="1796"/>
      <c r="C48" s="2013" t="e">
        <f>R48</f>
        <v>#DIV/0!</v>
      </c>
      <c r="D48" s="2013"/>
      <c r="E48" s="2013"/>
      <c r="F48" s="2013"/>
      <c r="G48" s="2013"/>
      <c r="H48" s="2013"/>
      <c r="I48" s="2013"/>
      <c r="J48" s="2013"/>
      <c r="K48" s="2014"/>
      <c r="L48" s="2997"/>
      <c r="P48" s="3451" t="str">
        <f>A48</f>
        <v>估价对象XX用房的比较价值（楼面单价，元/平方米）</v>
      </c>
      <c r="Q48" s="3452"/>
      <c r="R48" s="3556" t="e">
        <f>ROUND(IF(D47="简单平均",AVERAGE(R47:W47),R47*F47+T47*H47+V47*J47),0)</f>
        <v>#DIV/0!</v>
      </c>
      <c r="S48" s="3556"/>
      <c r="T48" s="3556"/>
      <c r="U48" s="3556"/>
      <c r="V48" s="3556"/>
      <c r="W48" s="3556"/>
      <c r="X48" s="1787"/>
      <c r="Y48" s="1787"/>
      <c r="Z48" s="1787"/>
      <c r="AA48" s="1787"/>
      <c r="AB48" s="1787"/>
      <c r="AC48" s="1787"/>
    </row>
    <row r="49" spans="1:14">
      <c r="G49" s="3001"/>
    </row>
    <row r="51" spans="1:14" ht="13.5" customHeight="1">
      <c r="C51" s="383" t="s">
        <v>2371</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2372</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2373</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3004"/>
      <c r="L53" s="2998"/>
    </row>
    <row r="54" spans="1:14" s="1809" customFormat="1" ht="15" thickBot="1">
      <c r="B54" s="3002"/>
      <c r="C54" s="3003"/>
      <c r="K54" s="3004"/>
      <c r="L54" s="2998"/>
    </row>
    <row r="55" spans="1:14" ht="27">
      <c r="A55" s="564" t="s">
        <v>2454</v>
      </c>
      <c r="B55" s="2015" t="s">
        <v>2455</v>
      </c>
      <c r="C55" s="2016" t="s">
        <v>2456</v>
      </c>
      <c r="D55" s="2017" t="s">
        <v>2457</v>
      </c>
      <c r="E55" s="2018" t="s">
        <v>2458</v>
      </c>
      <c r="F55" s="2019" t="s">
        <v>2459</v>
      </c>
      <c r="G55" s="1914" t="s">
        <v>2460</v>
      </c>
      <c r="H55" s="1914" t="str">
        <f>项目基本情况!G8</f>
        <v>XX</v>
      </c>
      <c r="I55" s="1590" t="s">
        <v>2461</v>
      </c>
      <c r="J55" s="2020"/>
      <c r="K55" s="1801"/>
    </row>
    <row r="56" spans="1:14" s="2027" customFormat="1">
      <c r="A56" s="2021" t="s">
        <v>2462</v>
      </c>
      <c r="B56" s="2022" t="e">
        <f>C48</f>
        <v>#DIV/0!</v>
      </c>
      <c r="C56" s="280">
        <v>1</v>
      </c>
      <c r="D56" s="2023">
        <v>1</v>
      </c>
      <c r="E56" s="2024">
        <v>120</v>
      </c>
      <c r="F56" s="2025" t="e">
        <f t="shared" ref="F56:F65" si="15">ROUND(B56*E56,0)</f>
        <v>#DIV/0!</v>
      </c>
      <c r="G56" s="2026">
        <v>1</v>
      </c>
      <c r="H56" s="2026">
        <v>1</v>
      </c>
      <c r="I56" s="1809"/>
      <c r="J56" s="1809"/>
      <c r="K56" s="3004"/>
      <c r="L56" s="2998"/>
      <c r="M56" s="1809"/>
      <c r="N56" s="1809"/>
    </row>
    <row r="57" spans="1:14" s="2027" customFormat="1">
      <c r="A57" s="2028" t="s">
        <v>2463</v>
      </c>
      <c r="B57" s="2029" t="e">
        <f>ROUND($C$48*C57*D57,0)</f>
        <v>#DIV/0!</v>
      </c>
      <c r="C57" s="50">
        <f>IF($C$55="北京市系数",G57,H57)</f>
        <v>0.7</v>
      </c>
      <c r="D57" s="2030">
        <v>0.25</v>
      </c>
      <c r="E57" s="2024">
        <v>0</v>
      </c>
      <c r="F57" s="2025" t="e">
        <f t="shared" si="15"/>
        <v>#DIV/0!</v>
      </c>
      <c r="G57" s="2026">
        <f>SUMIF(修正!$A$45:$A$56,项目基本情况!$F$9,修正!B45:B56)</f>
        <v>0.7</v>
      </c>
      <c r="H57" s="2031"/>
      <c r="I57" s="1663"/>
      <c r="J57" s="1905"/>
      <c r="K57" s="1906"/>
      <c r="L57" s="1906"/>
      <c r="M57" s="1663"/>
      <c r="N57" s="1663"/>
    </row>
    <row r="58" spans="1:14" s="2027" customFormat="1">
      <c r="A58" s="2028" t="s">
        <v>2464</v>
      </c>
      <c r="B58" s="2029" t="e">
        <f t="shared" ref="B58:B65" si="16">ROUND($C$48*C58*D58,0)</f>
        <v>#DIV/0!</v>
      </c>
      <c r="C58" s="50">
        <f t="shared" ref="C58:C65" si="17">IF($C$55="北京市系数",G58,H58)</f>
        <v>0.4</v>
      </c>
      <c r="D58" s="2030">
        <v>0.25</v>
      </c>
      <c r="E58" s="2024">
        <v>0</v>
      </c>
      <c r="F58" s="2025" t="e">
        <f t="shared" si="15"/>
        <v>#DIV/0!</v>
      </c>
      <c r="G58" s="2026">
        <f>SUMIF(修正!$A$45:$A$56,项目基本情况!$F$9,修正!C45:C56)</f>
        <v>0.4</v>
      </c>
      <c r="H58" s="2031"/>
      <c r="I58" s="1809"/>
      <c r="J58" s="1809"/>
      <c r="K58" s="3004"/>
      <c r="L58" s="2998"/>
      <c r="M58" s="1809"/>
      <c r="N58" s="1809"/>
    </row>
    <row r="59" spans="1:14" s="2027" customFormat="1">
      <c r="A59" s="2028" t="s">
        <v>2465</v>
      </c>
      <c r="B59" s="2029" t="e">
        <f t="shared" si="16"/>
        <v>#DIV/0!</v>
      </c>
      <c r="C59" s="50">
        <f t="shared" si="17"/>
        <v>0.28000000000000003</v>
      </c>
      <c r="D59" s="2030">
        <v>0.25</v>
      </c>
      <c r="E59" s="2024">
        <v>0</v>
      </c>
      <c r="F59" s="2025" t="e">
        <f t="shared" si="15"/>
        <v>#DIV/0!</v>
      </c>
      <c r="G59" s="2026">
        <f>SUMIF(修正!$A$45:$A$56,项目基本情况!$F$9,修正!D45:D56)</f>
        <v>0.28000000000000003</v>
      </c>
      <c r="H59" s="2031"/>
      <c r="I59" s="1663"/>
      <c r="J59" s="1905"/>
      <c r="K59" s="1906"/>
      <c r="L59" s="1906"/>
      <c r="M59" s="1663"/>
      <c r="N59" s="1663"/>
    </row>
    <row r="60" spans="1:14" s="2027" customFormat="1">
      <c r="A60" s="2028" t="s">
        <v>2466</v>
      </c>
      <c r="B60" s="2029" t="e">
        <f t="shared" si="16"/>
        <v>#DIV/0!</v>
      </c>
      <c r="C60" s="50">
        <f t="shared" si="17"/>
        <v>0.25</v>
      </c>
      <c r="D60" s="2030">
        <v>0.25</v>
      </c>
      <c r="E60" s="2024">
        <v>0</v>
      </c>
      <c r="F60" s="2025" t="e">
        <f t="shared" si="15"/>
        <v>#DIV/0!</v>
      </c>
      <c r="G60" s="2026">
        <f>SUMIF(修正!$A$45:$A$56,项目基本情况!$F$9,修正!E45:E56)</f>
        <v>0.25</v>
      </c>
      <c r="H60" s="2031"/>
      <c r="I60" s="1809"/>
      <c r="J60" s="1809"/>
      <c r="K60" s="3004"/>
      <c r="L60" s="2998"/>
      <c r="M60" s="1809"/>
      <c r="N60" s="1809"/>
    </row>
    <row r="61" spans="1:14" s="2027" customFormat="1">
      <c r="A61" s="2028" t="s">
        <v>2467</v>
      </c>
      <c r="B61" s="2029" t="e">
        <f t="shared" si="16"/>
        <v>#DIV/0!</v>
      </c>
      <c r="C61" s="50">
        <f t="shared" si="17"/>
        <v>0.25</v>
      </c>
      <c r="D61" s="2030">
        <v>0.25</v>
      </c>
      <c r="E61" s="2024">
        <v>0</v>
      </c>
      <c r="F61" s="2025" t="e">
        <f t="shared" si="15"/>
        <v>#DIV/0!</v>
      </c>
      <c r="G61" s="2026">
        <f>SUMIF(修正!A45:A56,项目基本情况!F9,修正!F45:F56)</f>
        <v>0.25</v>
      </c>
      <c r="H61" s="2031"/>
      <c r="I61" s="1663"/>
      <c r="J61" s="1905"/>
      <c r="K61" s="1906"/>
      <c r="L61" s="1906"/>
      <c r="M61" s="1663"/>
      <c r="N61" s="1663"/>
    </row>
    <row r="62" spans="1:14" s="2027" customFormat="1">
      <c r="A62" s="2028" t="s">
        <v>2468</v>
      </c>
      <c r="B62" s="2029" t="e">
        <f t="shared" si="16"/>
        <v>#DIV/0!</v>
      </c>
      <c r="C62" s="50">
        <f t="shared" si="17"/>
        <v>0.25</v>
      </c>
      <c r="D62" s="2030">
        <v>0.25</v>
      </c>
      <c r="E62" s="2024">
        <v>0</v>
      </c>
      <c r="F62" s="2025" t="e">
        <f t="shared" si="15"/>
        <v>#DIV/0!</v>
      </c>
      <c r="G62" s="2026">
        <f>SUMIF(修正!A45:A56,项目基本情况!F9,修正!G45:G56)</f>
        <v>0.25</v>
      </c>
      <c r="H62" s="2031"/>
      <c r="I62" s="1809"/>
      <c r="J62" s="1809"/>
      <c r="K62" s="3004"/>
      <c r="L62" s="2998"/>
      <c r="M62" s="1809"/>
      <c r="N62" s="1809"/>
    </row>
    <row r="63" spans="1:14" s="2027" customFormat="1">
      <c r="A63" s="2028" t="s">
        <v>2469</v>
      </c>
      <c r="B63" s="2029" t="e">
        <f t="shared" si="16"/>
        <v>#DIV/0!</v>
      </c>
      <c r="C63" s="50">
        <f>IF($C$55="北京市系数",G63,H63)</f>
        <v>0.2</v>
      </c>
      <c r="D63" s="2030">
        <v>0.25</v>
      </c>
      <c r="E63" s="2024">
        <v>0</v>
      </c>
      <c r="F63" s="2025" t="e">
        <f t="shared" si="15"/>
        <v>#DIV/0!</v>
      </c>
      <c r="G63" s="2026">
        <f>SUMIF(修正!A45:A56,项目基本情况!F9,修正!H45:H56)</f>
        <v>0.2</v>
      </c>
      <c r="H63" s="2031"/>
      <c r="I63" s="1663"/>
      <c r="J63" s="1905"/>
      <c r="K63" s="1906"/>
      <c r="L63" s="1906"/>
      <c r="M63" s="1663"/>
      <c r="N63" s="1663"/>
    </row>
    <row r="64" spans="1:14" s="2027" customFormat="1">
      <c r="A64" s="2028" t="s">
        <v>2470</v>
      </c>
      <c r="B64" s="2029" t="e">
        <f t="shared" si="16"/>
        <v>#DIV/0!</v>
      </c>
      <c r="C64" s="50">
        <f t="shared" si="17"/>
        <v>0.2</v>
      </c>
      <c r="D64" s="2030">
        <v>0.25</v>
      </c>
      <c r="E64" s="2024">
        <v>0</v>
      </c>
      <c r="F64" s="2025" t="e">
        <f t="shared" si="15"/>
        <v>#DIV/0!</v>
      </c>
      <c r="G64" s="2026">
        <f>G63</f>
        <v>0.2</v>
      </c>
      <c r="H64" s="2031"/>
      <c r="I64" s="1809"/>
      <c r="J64" s="1809"/>
      <c r="K64" s="3004"/>
      <c r="L64" s="2998"/>
      <c r="M64" s="1809"/>
      <c r="N64" s="1809"/>
    </row>
    <row r="65" spans="1:17" s="2027" customFormat="1">
      <c r="A65" s="2028" t="s">
        <v>2471</v>
      </c>
      <c r="B65" s="2029" t="e">
        <f t="shared" si="16"/>
        <v>#DIV/0!</v>
      </c>
      <c r="C65" s="50">
        <f t="shared" si="17"/>
        <v>0.2</v>
      </c>
      <c r="D65" s="2030">
        <v>0.25</v>
      </c>
      <c r="E65" s="2024">
        <v>0</v>
      </c>
      <c r="F65" s="2025" t="e">
        <f t="shared" si="15"/>
        <v>#DIV/0!</v>
      </c>
      <c r="G65" s="2026">
        <f>G63</f>
        <v>0.2</v>
      </c>
      <c r="H65" s="2031"/>
      <c r="I65" s="1663"/>
      <c r="J65" s="1905"/>
      <c r="K65" s="1906"/>
      <c r="L65" s="1906"/>
      <c r="M65" s="1663"/>
      <c r="N65" s="1663"/>
    </row>
    <row r="66" spans="1:17" s="2027" customFormat="1" ht="13.5" thickBot="1">
      <c r="A66" s="2032" t="s">
        <v>2472</v>
      </c>
      <c r="B66" s="2033" t="s">
        <v>39</v>
      </c>
      <c r="C66" s="2033" t="s">
        <v>40</v>
      </c>
      <c r="D66" s="2033" t="s">
        <v>36</v>
      </c>
      <c r="E66" s="2033">
        <f>SUM(E56:E65)</f>
        <v>120</v>
      </c>
      <c r="F66" s="2034" t="e">
        <f>SUM(F56:F65)</f>
        <v>#DIV/0!</v>
      </c>
      <c r="G66" s="2035"/>
      <c r="H66" s="2035"/>
      <c r="I66" s="3042"/>
      <c r="J66" s="3042"/>
      <c r="K66" s="3042"/>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2021-5-1</v>
      </c>
      <c r="D68" s="2036">
        <f>EDATE(C68,-3)</f>
        <v>44228</v>
      </c>
      <c r="E68" s="2036">
        <f t="shared" ref="E68:O68" si="18">EDATE(D68,-3)</f>
        <v>44136</v>
      </c>
      <c r="F68" s="2036">
        <f t="shared" si="18"/>
        <v>44044</v>
      </c>
      <c r="G68" s="2036">
        <f t="shared" si="18"/>
        <v>43952</v>
      </c>
      <c r="H68" s="2036">
        <f t="shared" si="18"/>
        <v>43862</v>
      </c>
      <c r="I68" s="2036">
        <f t="shared" si="18"/>
        <v>43770</v>
      </c>
      <c r="J68" s="2036">
        <f t="shared" si="18"/>
        <v>43678</v>
      </c>
      <c r="K68" s="2036">
        <f t="shared" si="18"/>
        <v>43586</v>
      </c>
      <c r="L68" s="2036">
        <f t="shared" si="18"/>
        <v>43497</v>
      </c>
      <c r="M68" s="2036">
        <f t="shared" si="18"/>
        <v>43405</v>
      </c>
      <c r="N68" s="2036">
        <f t="shared" si="18"/>
        <v>43313</v>
      </c>
      <c r="O68" s="2036">
        <f t="shared" si="18"/>
        <v>43221</v>
      </c>
    </row>
    <row r="69" spans="1:17" ht="21.75" thickBot="1">
      <c r="A69" s="1812" t="s">
        <v>2374</v>
      </c>
      <c r="B69" s="1787"/>
      <c r="C69" s="1813"/>
      <c r="D69" s="1813"/>
      <c r="E69" s="1813"/>
      <c r="F69" s="1813"/>
      <c r="G69" s="1813"/>
      <c r="H69" s="1813"/>
      <c r="I69" s="2038"/>
      <c r="J69" s="2038"/>
      <c r="K69" s="2039"/>
      <c r="L69" s="2040"/>
      <c r="M69" s="2038"/>
      <c r="N69" s="2038"/>
      <c r="O69" s="2038"/>
      <c r="P69" s="2041"/>
      <c r="Q69" s="1817"/>
    </row>
    <row r="70" spans="1:17" s="2046" customFormat="1" ht="15">
      <c r="A70" s="2042" t="s">
        <v>2473</v>
      </c>
      <c r="B70" s="2043"/>
      <c r="C70" s="2044" t="str">
        <f>YEAR(C68)&amp;"-"&amp;ROUNDUP(MONTH(C68)/3,0)</f>
        <v>2021-2</v>
      </c>
      <c r="D70" s="2044" t="str">
        <f>YEAR(D68)&amp;"-"&amp;ROUNDUP(MONTH(D68)/3,0)</f>
        <v>2021-1</v>
      </c>
      <c r="E70" s="2044" t="str">
        <f t="shared" ref="E70:O70" si="19">YEAR(E68)&amp;"-"&amp;ROUNDUP(MONTH(E68)/3,0)</f>
        <v>2020-4</v>
      </c>
      <c r="F70" s="2044" t="str">
        <f t="shared" si="19"/>
        <v>2020-3</v>
      </c>
      <c r="G70" s="2044" t="str">
        <f t="shared" si="19"/>
        <v>2020-2</v>
      </c>
      <c r="H70" s="2044" t="str">
        <f t="shared" si="19"/>
        <v>2020-1</v>
      </c>
      <c r="I70" s="2044" t="str">
        <f t="shared" si="19"/>
        <v>2019-4</v>
      </c>
      <c r="J70" s="2044" t="str">
        <f t="shared" si="19"/>
        <v>2019-3</v>
      </c>
      <c r="K70" s="2044" t="str">
        <f t="shared" si="19"/>
        <v>2019-2</v>
      </c>
      <c r="L70" s="2044" t="str">
        <f t="shared" si="19"/>
        <v>2019-1</v>
      </c>
      <c r="M70" s="2044" t="str">
        <f t="shared" si="19"/>
        <v>2018-4</v>
      </c>
      <c r="N70" s="2044" t="str">
        <f t="shared" si="19"/>
        <v>2018-3</v>
      </c>
      <c r="O70" s="2044" t="str">
        <f t="shared" si="19"/>
        <v>2018-2</v>
      </c>
      <c r="P70" s="2045"/>
    </row>
    <row r="71" spans="1:17" s="1681" customFormat="1" ht="29.25" customHeight="1">
      <c r="A71" s="2047" t="s">
        <v>2474</v>
      </c>
      <c r="B71" s="2048" t="str">
        <f>"北京市平均增长率"&amp;TEXT(SUMIF(基准地价修正!N21:N25,A71,基准地价修正!P21:P25),"0.00%")</f>
        <v>北京市平均增长率1.09%</v>
      </c>
      <c r="C71" s="1901">
        <v>100</v>
      </c>
      <c r="D71" s="1897"/>
      <c r="E71" s="1897"/>
      <c r="F71" s="1897"/>
      <c r="G71" s="1897"/>
      <c r="H71" s="1897"/>
      <c r="I71" s="1897"/>
      <c r="J71" s="1897"/>
      <c r="K71" s="1897"/>
      <c r="L71" s="1897"/>
      <c r="M71" s="2049"/>
      <c r="N71" s="1897"/>
      <c r="O71" s="2050"/>
      <c r="P71" s="1817"/>
    </row>
    <row r="72" spans="1:17" s="1681" customFormat="1" ht="15.75" thickBot="1">
      <c r="A72" s="1830" t="s">
        <v>2294</v>
      </c>
      <c r="B72" s="1831"/>
      <c r="C72" s="1832"/>
      <c r="D72" s="1833"/>
      <c r="E72" s="1833"/>
      <c r="F72" s="1833"/>
      <c r="G72" s="1833"/>
      <c r="H72" s="1833"/>
      <c r="I72" s="1833"/>
      <c r="J72" s="1833"/>
      <c r="K72" s="1833"/>
      <c r="L72" s="1833"/>
      <c r="M72" s="1834"/>
      <c r="N72" s="1833"/>
      <c r="O72" s="2051"/>
      <c r="P72" s="1817"/>
      <c r="Q72" s="1817"/>
    </row>
    <row r="73" spans="1:17" s="1681" customFormat="1" ht="15">
      <c r="A73" s="1835" t="s">
        <v>2258</v>
      </c>
      <c r="B73" s="1825"/>
      <c r="C73" s="1836" t="s">
        <v>2259</v>
      </c>
      <c r="D73" s="409"/>
      <c r="E73" s="409"/>
      <c r="F73" s="409"/>
      <c r="G73" s="409"/>
      <c r="H73" s="409"/>
      <c r="I73" s="409"/>
      <c r="J73" s="409"/>
      <c r="K73" s="409"/>
      <c r="L73" s="409"/>
      <c r="M73" s="1837"/>
      <c r="N73" s="3009"/>
      <c r="O73" s="3009"/>
      <c r="P73" s="2052"/>
      <c r="Q73" s="1817"/>
    </row>
    <row r="74" spans="1:17" s="1681" customFormat="1" ht="15.75" thickBot="1">
      <c r="A74" s="1835"/>
      <c r="B74" s="1825"/>
      <c r="C74" s="1826">
        <v>100</v>
      </c>
      <c r="D74" s="1827"/>
      <c r="E74" s="1827"/>
      <c r="F74" s="1827"/>
      <c r="G74" s="1827"/>
      <c r="H74" s="1827"/>
      <c r="I74" s="1827"/>
      <c r="J74" s="1827"/>
      <c r="K74" s="1827"/>
      <c r="L74" s="1827"/>
      <c r="M74" s="1841"/>
      <c r="N74" s="3009"/>
      <c r="O74" s="3009"/>
      <c r="P74" s="1817"/>
      <c r="Q74" s="1817"/>
    </row>
    <row r="75" spans="1:17">
      <c r="A75" s="1842" t="s">
        <v>2297</v>
      </c>
      <c r="B75" s="1843" t="s">
        <v>2262</v>
      </c>
      <c r="C75" s="1845"/>
      <c r="D75" s="1845"/>
      <c r="E75" s="1845"/>
      <c r="F75" s="1845"/>
      <c r="G75" s="1845"/>
      <c r="H75" s="1845"/>
      <c r="I75" s="1845"/>
      <c r="J75" s="1845"/>
      <c r="K75" s="417"/>
      <c r="L75" s="417"/>
      <c r="M75" s="1846"/>
      <c r="N75" s="3010"/>
      <c r="O75" s="3010"/>
      <c r="P75" s="2053"/>
      <c r="Q75" s="1817"/>
    </row>
    <row r="76" spans="1:17" ht="15.75" thickBot="1">
      <c r="A76" s="1849"/>
      <c r="B76" s="1850"/>
      <c r="C76" s="1851"/>
      <c r="D76" s="1851"/>
      <c r="E76" s="1851"/>
      <c r="F76" s="1851"/>
      <c r="G76" s="1851"/>
      <c r="H76" s="1851"/>
      <c r="I76" s="1851"/>
      <c r="J76" s="1851"/>
      <c r="K76" s="1851"/>
      <c r="L76" s="1851"/>
      <c r="M76" s="1852"/>
      <c r="N76" s="3011"/>
      <c r="O76" s="3011"/>
      <c r="P76" s="2053"/>
      <c r="Q76" s="1817"/>
    </row>
    <row r="77" spans="1:17" ht="27.75" thickTop="1">
      <c r="A77" s="1849"/>
      <c r="B77" s="1854" t="s">
        <v>2265</v>
      </c>
      <c r="C77" s="1855"/>
      <c r="D77" s="1855"/>
      <c r="E77" s="1855"/>
      <c r="F77" s="1855"/>
      <c r="G77" s="1855"/>
      <c r="H77" s="1855"/>
      <c r="I77" s="1855"/>
      <c r="J77" s="1855"/>
      <c r="K77" s="428"/>
      <c r="L77" s="428"/>
      <c r="M77" s="1856"/>
      <c r="N77" s="3010"/>
      <c r="O77" s="3010"/>
      <c r="P77" s="2053"/>
      <c r="Q77" s="1817"/>
    </row>
    <row r="78" spans="1:17" ht="15.75" thickBot="1">
      <c r="A78" s="1849"/>
      <c r="B78" s="1857"/>
      <c r="C78" s="1858"/>
      <c r="D78" s="1858"/>
      <c r="E78" s="1858"/>
      <c r="F78" s="1858"/>
      <c r="G78" s="1858"/>
      <c r="H78" s="1858"/>
      <c r="I78" s="1858"/>
      <c r="J78" s="1858"/>
      <c r="K78" s="1858"/>
      <c r="L78" s="1858"/>
      <c r="M78" s="1859"/>
      <c r="N78" s="3011"/>
      <c r="O78" s="3011"/>
      <c r="P78" s="2053"/>
      <c r="Q78" s="1817"/>
    </row>
    <row r="79" spans="1:17" ht="15.75" thickTop="1">
      <c r="A79" s="1849"/>
      <c r="B79" s="1860" t="s">
        <v>2266</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27" t="str">
        <f>M80&amp;"（含）"&amp;"-"&amp;P80</f>
        <v>（含）-</v>
      </c>
      <c r="N79" s="3011"/>
      <c r="O79" s="3011"/>
      <c r="P79" s="2053"/>
      <c r="Q79" s="1817"/>
    </row>
    <row r="80" spans="1:17" ht="15">
      <c r="A80" s="1849"/>
      <c r="B80" s="1862"/>
      <c r="C80" s="1863"/>
      <c r="D80" s="1863"/>
      <c r="E80" s="1863"/>
      <c r="F80" s="1863"/>
      <c r="G80" s="1863"/>
      <c r="H80" s="1863"/>
      <c r="I80" s="1863"/>
      <c r="J80" s="1863"/>
      <c r="K80" s="438"/>
      <c r="L80" s="438"/>
      <c r="M80" s="1864"/>
      <c r="N80" s="3010"/>
      <c r="O80" s="3010"/>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11"/>
      <c r="O81" s="3011"/>
      <c r="P81" s="2053"/>
      <c r="Q81" s="1817"/>
    </row>
    <row r="82" spans="1:17" s="1767" customFormat="1" ht="15.75" thickTop="1">
      <c r="A82" s="1865"/>
      <c r="B82" s="1854" t="str">
        <f>B12</f>
        <v>配建</v>
      </c>
      <c r="C82" s="468"/>
      <c r="D82" s="468"/>
      <c r="E82" s="468"/>
      <c r="F82" s="468"/>
      <c r="G82" s="468"/>
      <c r="H82" s="443"/>
      <c r="I82" s="443"/>
      <c r="J82" s="443"/>
      <c r="K82" s="443"/>
      <c r="L82" s="443"/>
      <c r="M82" s="1866"/>
      <c r="N82" s="3012"/>
      <c r="O82" s="3012"/>
      <c r="P82" s="2054"/>
      <c r="Q82" s="1869"/>
    </row>
    <row r="83" spans="1:17" s="1767" customFormat="1" ht="15.75" thickBot="1">
      <c r="A83" s="1865"/>
      <c r="B83" s="1857"/>
      <c r="C83" s="1870"/>
      <c r="D83" s="1851"/>
      <c r="E83" s="1851"/>
      <c r="F83" s="1851"/>
      <c r="G83" s="1851"/>
      <c r="H83" s="1851"/>
      <c r="I83" s="1851"/>
      <c r="J83" s="1851"/>
      <c r="K83" s="1851"/>
      <c r="L83" s="1851"/>
      <c r="M83" s="1852"/>
      <c r="N83" s="3011"/>
      <c r="O83" s="3011"/>
      <c r="P83" s="2054"/>
      <c r="Q83" s="1869"/>
    </row>
    <row r="84" spans="1:17" s="1767" customFormat="1" ht="15.75" thickTop="1">
      <c r="A84" s="1865"/>
      <c r="B84" s="1854">
        <f>B13</f>
        <v>111</v>
      </c>
      <c r="C84" s="468"/>
      <c r="D84" s="468"/>
      <c r="E84" s="468"/>
      <c r="F84" s="468"/>
      <c r="G84" s="468"/>
      <c r="H84" s="443"/>
      <c r="I84" s="443"/>
      <c r="J84" s="443"/>
      <c r="K84" s="443"/>
      <c r="L84" s="443"/>
      <c r="M84" s="1866"/>
      <c r="N84" s="3012"/>
      <c r="O84" s="3012"/>
      <c r="P84" s="2055"/>
      <c r="Q84" s="1872"/>
    </row>
    <row r="85" spans="1:17" s="1767" customFormat="1" ht="15.75" thickBot="1">
      <c r="A85" s="1865"/>
      <c r="B85" s="1857"/>
      <c r="C85" s="1870"/>
      <c r="D85" s="1870"/>
      <c r="E85" s="1870"/>
      <c r="F85" s="1870"/>
      <c r="G85" s="1870"/>
      <c r="H85" s="1873"/>
      <c r="I85" s="1873"/>
      <c r="J85" s="1873"/>
      <c r="K85" s="1873"/>
      <c r="L85" s="1873"/>
      <c r="M85" s="1874"/>
      <c r="N85" s="3012"/>
      <c r="O85" s="3012"/>
      <c r="P85" s="2054"/>
      <c r="Q85" s="1869"/>
    </row>
    <row r="86" spans="1:17" s="1767" customFormat="1" ht="15.75" thickTop="1">
      <c r="A86" s="1865"/>
      <c r="B86" s="1860">
        <f>B14</f>
        <v>111</v>
      </c>
      <c r="C86" s="409"/>
      <c r="D86" s="409"/>
      <c r="E86" s="409"/>
      <c r="F86" s="409"/>
      <c r="G86" s="409"/>
      <c r="H86" s="453"/>
      <c r="I86" s="453"/>
      <c r="J86" s="453"/>
      <c r="K86" s="453"/>
      <c r="L86" s="453"/>
      <c r="M86" s="1875"/>
      <c r="N86" s="3012"/>
      <c r="O86" s="3012"/>
      <c r="P86" s="2054"/>
      <c r="Q86" s="1869"/>
    </row>
    <row r="87" spans="1:17" s="1767" customFormat="1" ht="15.75" thickBot="1">
      <c r="A87" s="1876"/>
      <c r="B87" s="1877"/>
      <c r="C87" s="1878"/>
      <c r="D87" s="1878"/>
      <c r="E87" s="1878"/>
      <c r="F87" s="1878"/>
      <c r="G87" s="1878"/>
      <c r="H87" s="1879"/>
      <c r="I87" s="1879"/>
      <c r="J87" s="1879"/>
      <c r="K87" s="1879"/>
      <c r="L87" s="1879"/>
      <c r="M87" s="1880"/>
      <c r="N87" s="3012"/>
      <c r="O87" s="3012"/>
      <c r="P87" s="2054"/>
      <c r="Q87" s="1869"/>
    </row>
    <row r="88" spans="1:17">
      <c r="A88" s="1842" t="s">
        <v>2267</v>
      </c>
      <c r="B88" s="1843" t="s">
        <v>2305</v>
      </c>
      <c r="C88" s="1881" t="s">
        <v>2306</v>
      </c>
      <c r="D88" s="1881" t="s">
        <v>2307</v>
      </c>
      <c r="E88" s="1881" t="s">
        <v>2308</v>
      </c>
      <c r="F88" s="1881" t="s">
        <v>2309</v>
      </c>
      <c r="G88" s="1881" t="s">
        <v>2310</v>
      </c>
      <c r="H88" s="1844"/>
      <c r="I88" s="1844"/>
      <c r="J88" s="1844"/>
      <c r="K88" s="463"/>
      <c r="L88" s="463"/>
      <c r="M88" s="1882"/>
      <c r="N88" s="3010"/>
      <c r="O88" s="3010"/>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11"/>
      <c r="O89" s="3011"/>
      <c r="P89" s="2053"/>
      <c r="Q89" s="1817"/>
    </row>
    <row r="90" spans="1:17" ht="15.75" thickTop="1">
      <c r="A90" s="1849"/>
      <c r="B90" s="1854" t="s">
        <v>2475</v>
      </c>
      <c r="C90" s="579" t="s">
        <v>2306</v>
      </c>
      <c r="D90" s="579" t="s">
        <v>2307</v>
      </c>
      <c r="E90" s="579" t="s">
        <v>2308</v>
      </c>
      <c r="F90" s="579" t="s">
        <v>2309</v>
      </c>
      <c r="G90" s="579" t="s">
        <v>2310</v>
      </c>
      <c r="H90" s="1855"/>
      <c r="I90" s="1855"/>
      <c r="J90" s="1855"/>
      <c r="K90" s="428"/>
      <c r="L90" s="428"/>
      <c r="M90" s="1856"/>
      <c r="N90" s="3010"/>
      <c r="O90" s="3010"/>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11"/>
      <c r="O91" s="3011"/>
      <c r="P91" s="2053"/>
      <c r="Q91" s="1817"/>
    </row>
    <row r="92" spans="1:17" ht="15.75" thickTop="1">
      <c r="A92" s="1849"/>
      <c r="B92" s="1854" t="s">
        <v>2393</v>
      </c>
      <c r="C92" s="579" t="s">
        <v>2306</v>
      </c>
      <c r="D92" s="579" t="s">
        <v>2307</v>
      </c>
      <c r="E92" s="579" t="s">
        <v>2308</v>
      </c>
      <c r="F92" s="579" t="s">
        <v>2309</v>
      </c>
      <c r="G92" s="579" t="s">
        <v>2310</v>
      </c>
      <c r="H92" s="1855"/>
      <c r="I92" s="1855"/>
      <c r="J92" s="1855"/>
      <c r="K92" s="428"/>
      <c r="L92" s="428"/>
      <c r="M92" s="1856"/>
      <c r="N92" s="3010"/>
      <c r="O92" s="3010"/>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11"/>
      <c r="O93" s="3011"/>
      <c r="P93" s="2053"/>
      <c r="Q93" s="1817"/>
    </row>
    <row r="94" spans="1:17" ht="15.75" thickTop="1">
      <c r="A94" s="1849"/>
      <c r="B94" s="1854" t="s">
        <v>2311</v>
      </c>
      <c r="C94" s="579" t="s">
        <v>2306</v>
      </c>
      <c r="D94" s="579" t="s">
        <v>2307</v>
      </c>
      <c r="E94" s="579" t="s">
        <v>2308</v>
      </c>
      <c r="F94" s="579" t="s">
        <v>2309</v>
      </c>
      <c r="G94" s="579" t="s">
        <v>2310</v>
      </c>
      <c r="H94" s="1855"/>
      <c r="I94" s="1855"/>
      <c r="J94" s="1855"/>
      <c r="K94" s="428"/>
      <c r="L94" s="428"/>
      <c r="M94" s="1856"/>
      <c r="N94" s="3010"/>
      <c r="O94" s="3010"/>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11"/>
      <c r="O95" s="3011"/>
      <c r="P95" s="2053"/>
      <c r="Q95" s="1817"/>
    </row>
    <row r="96" spans="1:17" s="1681" customFormat="1" ht="15.75" thickTop="1">
      <c r="A96" s="1885"/>
      <c r="B96" s="1854" t="s">
        <v>2476</v>
      </c>
      <c r="C96" s="579" t="s">
        <v>2306</v>
      </c>
      <c r="D96" s="579" t="s">
        <v>2307</v>
      </c>
      <c r="E96" s="579" t="s">
        <v>2308</v>
      </c>
      <c r="F96" s="579" t="s">
        <v>2309</v>
      </c>
      <c r="G96" s="579" t="s">
        <v>2310</v>
      </c>
      <c r="H96" s="579"/>
      <c r="I96" s="579"/>
      <c r="J96" s="579"/>
      <c r="K96" s="579"/>
      <c r="L96" s="579"/>
      <c r="M96" s="2056"/>
      <c r="N96" s="3009"/>
      <c r="O96" s="3009"/>
      <c r="P96" s="2053"/>
      <c r="Q96" s="1817"/>
    </row>
    <row r="97" spans="1:17" s="1681"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11"/>
      <c r="O97" s="3011"/>
      <c r="P97" s="2053"/>
      <c r="Q97" s="1817"/>
    </row>
    <row r="98" spans="1:17" s="1681" customFormat="1" ht="27.75" thickTop="1">
      <c r="A98" s="1885"/>
      <c r="B98" s="1854" t="s">
        <v>2477</v>
      </c>
      <c r="C98" s="1881" t="s">
        <v>2306</v>
      </c>
      <c r="D98" s="1881" t="s">
        <v>2307</v>
      </c>
      <c r="E98" s="1881" t="s">
        <v>2308</v>
      </c>
      <c r="F98" s="1881" t="s">
        <v>2309</v>
      </c>
      <c r="G98" s="1881" t="s">
        <v>2310</v>
      </c>
      <c r="H98" s="579"/>
      <c r="I98" s="579"/>
      <c r="J98" s="579"/>
      <c r="K98" s="579"/>
      <c r="L98" s="579"/>
      <c r="M98" s="2056"/>
      <c r="N98" s="3009"/>
      <c r="O98" s="3009"/>
      <c r="P98" s="2053"/>
      <c r="Q98" s="1817"/>
    </row>
    <row r="99" spans="1:17" s="1681"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11"/>
      <c r="O99" s="3011"/>
      <c r="P99" s="2053"/>
      <c r="Q99" s="1817"/>
    </row>
    <row r="100" spans="1:17" s="1681" customFormat="1" ht="15.75" thickTop="1">
      <c r="A100" s="1885"/>
      <c r="B100" s="1860" t="s">
        <v>2354</v>
      </c>
      <c r="C100" s="1881" t="s">
        <v>2306</v>
      </c>
      <c r="D100" s="1881" t="s">
        <v>2307</v>
      </c>
      <c r="E100" s="1881" t="s">
        <v>2308</v>
      </c>
      <c r="F100" s="1881" t="s">
        <v>2309</v>
      </c>
      <c r="G100" s="1881" t="s">
        <v>2310</v>
      </c>
      <c r="H100" s="1855"/>
      <c r="I100" s="1855"/>
      <c r="J100" s="1855"/>
      <c r="K100" s="1855"/>
      <c r="L100" s="1855"/>
      <c r="M100" s="1883"/>
      <c r="N100" s="3011"/>
      <c r="O100" s="3011"/>
      <c r="P100" s="2053"/>
      <c r="Q100" s="1817"/>
    </row>
    <row r="101" spans="1:17" s="1681"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1"/>
      <c r="N101" s="3011"/>
      <c r="O101" s="3011"/>
      <c r="P101" s="2053"/>
      <c r="Q101" s="1817"/>
    </row>
    <row r="102" spans="1:17" s="1767" customFormat="1" ht="15.75" thickTop="1">
      <c r="A102" s="1865"/>
      <c r="B102" s="1854" t="s">
        <v>2355</v>
      </c>
      <c r="C102" s="1855" t="s">
        <v>2313</v>
      </c>
      <c r="D102" s="1855" t="s">
        <v>2314</v>
      </c>
      <c r="E102" s="1855" t="s">
        <v>2315</v>
      </c>
      <c r="F102" s="1855" t="s">
        <v>2316</v>
      </c>
      <c r="G102" s="1855" t="s">
        <v>2317</v>
      </c>
      <c r="H102" s="489"/>
      <c r="I102" s="489"/>
      <c r="J102" s="489"/>
      <c r="K102" s="489"/>
      <c r="L102" s="489"/>
      <c r="M102" s="1900"/>
      <c r="N102" s="3012"/>
      <c r="O102" s="3012"/>
      <c r="P102" s="2054"/>
      <c r="Q102" s="1869"/>
    </row>
    <row r="103" spans="1:17" s="1767"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12"/>
      <c r="O103" s="3012"/>
      <c r="P103" s="2054"/>
      <c r="Q103" s="1869"/>
    </row>
    <row r="104" spans="1:17" ht="15.75" thickTop="1">
      <c r="A104" s="1849"/>
      <c r="B104" s="1854" t="str">
        <f>B31</f>
        <v>临街状况</v>
      </c>
      <c r="C104" s="1855" t="s">
        <v>2478</v>
      </c>
      <c r="D104" s="1855" t="s">
        <v>2479</v>
      </c>
      <c r="E104" s="1855" t="s">
        <v>2480</v>
      </c>
      <c r="F104" s="1855" t="s">
        <v>2481</v>
      </c>
      <c r="G104" s="1855"/>
      <c r="H104" s="1855"/>
      <c r="I104" s="1855"/>
      <c r="J104" s="1855"/>
      <c r="K104" s="428"/>
      <c r="L104" s="428"/>
      <c r="M104" s="1856"/>
      <c r="N104" s="3010"/>
      <c r="O104" s="3010"/>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11"/>
      <c r="O105" s="3011"/>
      <c r="P105" s="2053"/>
      <c r="Q105" s="1817"/>
    </row>
    <row r="106" spans="1:17" ht="27.75" thickTop="1">
      <c r="A106" s="1849"/>
      <c r="B106" s="1854" t="s">
        <v>2386</v>
      </c>
      <c r="C106" s="468"/>
      <c r="D106" s="468"/>
      <c r="E106" s="468"/>
      <c r="F106" s="468"/>
      <c r="G106" s="468"/>
      <c r="H106" s="1574"/>
      <c r="I106" s="1574"/>
      <c r="J106" s="1574"/>
      <c r="K106" s="473"/>
      <c r="L106" s="473"/>
      <c r="M106" s="1889"/>
      <c r="N106" s="3010"/>
      <c r="O106" s="3010"/>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11"/>
      <c r="O107" s="3011"/>
      <c r="P107" s="2053"/>
      <c r="Q107" s="1817"/>
    </row>
    <row r="108" spans="1:17" ht="15.75" thickTop="1">
      <c r="A108" s="1849"/>
      <c r="B108" s="1854" t="s">
        <v>2447</v>
      </c>
      <c r="C108" s="1574"/>
      <c r="D108" s="1574"/>
      <c r="E108" s="1574"/>
      <c r="F108" s="1574"/>
      <c r="G108" s="1574"/>
      <c r="H108" s="1574"/>
      <c r="I108" s="1574"/>
      <c r="J108" s="1574"/>
      <c r="K108" s="473"/>
      <c r="L108" s="473"/>
      <c r="M108" s="1889"/>
      <c r="N108" s="3010"/>
      <c r="O108" s="3010"/>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11"/>
      <c r="O109" s="3011"/>
      <c r="P109" s="2053"/>
      <c r="Q109" s="1817"/>
    </row>
    <row r="110" spans="1:17" ht="15.75" thickTop="1">
      <c r="A110" s="1849"/>
      <c r="B110" s="1860">
        <f>B35</f>
        <v>111</v>
      </c>
      <c r="C110" s="468"/>
      <c r="D110" s="468"/>
      <c r="E110" s="468"/>
      <c r="F110" s="468"/>
      <c r="G110" s="1890"/>
      <c r="H110" s="1890"/>
      <c r="I110" s="1890"/>
      <c r="J110" s="1890"/>
      <c r="K110" s="477"/>
      <c r="L110" s="477"/>
      <c r="M110" s="1891"/>
      <c r="N110" s="3010"/>
      <c r="O110" s="3010"/>
      <c r="P110" s="2053"/>
      <c r="Q110" s="1817"/>
    </row>
    <row r="111" spans="1:17" ht="15.75" thickBot="1">
      <c r="A111" s="1849"/>
      <c r="B111" s="1877"/>
      <c r="C111" s="1870"/>
      <c r="D111" s="1870"/>
      <c r="E111" s="1870"/>
      <c r="F111" s="1870"/>
      <c r="G111" s="1893"/>
      <c r="H111" s="1893"/>
      <c r="I111" s="1893"/>
      <c r="J111" s="1893"/>
      <c r="K111" s="1893"/>
      <c r="L111" s="1893"/>
      <c r="M111" s="1894"/>
      <c r="N111" s="3011"/>
      <c r="O111" s="3011"/>
      <c r="P111" s="2053"/>
      <c r="Q111" s="1817"/>
    </row>
    <row r="112" spans="1:17" ht="15" thickTop="1">
      <c r="A112" s="1990"/>
      <c r="B112" s="1854">
        <f>B36</f>
        <v>111</v>
      </c>
      <c r="C112" s="409"/>
      <c r="D112" s="409"/>
      <c r="E112" s="409"/>
      <c r="F112" s="409"/>
      <c r="G112" s="1574"/>
      <c r="H112" s="1574"/>
      <c r="I112" s="1574"/>
      <c r="J112" s="1574"/>
      <c r="K112" s="473"/>
      <c r="L112" s="473"/>
      <c r="M112" s="1889"/>
      <c r="N112" s="3010"/>
      <c r="O112" s="3010"/>
      <c r="P112" s="2053"/>
      <c r="Q112" s="1817"/>
    </row>
    <row r="113" spans="1:17" ht="15.75" thickBot="1">
      <c r="A113" s="1849"/>
      <c r="B113" s="1857"/>
      <c r="C113" s="1878"/>
      <c r="D113" s="1878"/>
      <c r="E113" s="1878"/>
      <c r="F113" s="1878"/>
      <c r="G113" s="1851"/>
      <c r="H113" s="1851"/>
      <c r="I113" s="1851"/>
      <c r="J113" s="1851"/>
      <c r="K113" s="1851"/>
      <c r="L113" s="1851"/>
      <c r="M113" s="1852"/>
      <c r="N113" s="3011"/>
      <c r="O113" s="3011"/>
      <c r="P113" s="2053"/>
      <c r="Q113" s="1817"/>
    </row>
    <row r="114" spans="1:17" s="1767" customFormat="1" ht="15" thickTop="1">
      <c r="A114" s="1895"/>
      <c r="B114" s="1896">
        <f>B37</f>
        <v>111</v>
      </c>
      <c r="C114" s="1897"/>
      <c r="D114" s="1897"/>
      <c r="E114" s="1897"/>
      <c r="F114" s="1897"/>
      <c r="G114" s="1897"/>
      <c r="H114" s="1897"/>
      <c r="I114" s="1897"/>
      <c r="J114" s="485"/>
      <c r="K114" s="485"/>
      <c r="L114" s="485"/>
      <c r="M114" s="1898"/>
      <c r="N114" s="3012"/>
      <c r="O114" s="3012"/>
      <c r="P114" s="2054"/>
      <c r="Q114" s="1869"/>
    </row>
    <row r="115" spans="1:17" s="1767" customFormat="1" ht="15.75" thickBot="1">
      <c r="A115" s="1865"/>
      <c r="B115" s="1860"/>
      <c r="C115" s="1827"/>
      <c r="D115" s="2057"/>
      <c r="E115" s="2057"/>
      <c r="F115" s="2057"/>
      <c r="G115" s="2057"/>
      <c r="H115" s="2057"/>
      <c r="I115" s="2057"/>
      <c r="J115" s="2057"/>
      <c r="K115" s="2057"/>
      <c r="L115" s="2057"/>
      <c r="M115" s="2058"/>
      <c r="N115" s="3011"/>
      <c r="O115" s="3011"/>
      <c r="P115" s="2054"/>
      <c r="Q115" s="1869"/>
    </row>
    <row r="116" spans="1:17">
      <c r="A116" s="1842" t="s">
        <v>2272</v>
      </c>
      <c r="B116" s="1843" t="s">
        <v>2482</v>
      </c>
      <c r="C116" s="1312" t="str">
        <f t="shared" ref="C116:L116" si="25">C117&amp;"(含)"&amp;"-"&amp;D117</f>
        <v>(含)-</v>
      </c>
      <c r="D116" s="1312" t="str">
        <f t="shared" si="25"/>
        <v>(含)-</v>
      </c>
      <c r="E116" s="1312" t="str">
        <f t="shared" si="25"/>
        <v>(含)-</v>
      </c>
      <c r="F116" s="1312" t="str">
        <f t="shared" si="25"/>
        <v>(含)-</v>
      </c>
      <c r="G116" s="1312" t="str">
        <f t="shared" si="25"/>
        <v>(含)-</v>
      </c>
      <c r="H116" s="1312" t="str">
        <f t="shared" si="25"/>
        <v>(含)-</v>
      </c>
      <c r="I116" s="1312" t="str">
        <f t="shared" si="25"/>
        <v>(含)-</v>
      </c>
      <c r="J116" s="1312" t="str">
        <f t="shared" si="25"/>
        <v>(含)-</v>
      </c>
      <c r="K116" s="1312" t="str">
        <f t="shared" si="25"/>
        <v>(含)-</v>
      </c>
      <c r="L116" s="1312" t="str">
        <f t="shared" si="25"/>
        <v>(含)-</v>
      </c>
      <c r="M116" s="2059" t="str">
        <f>M117&amp;"(含)"&amp;"-"&amp;P117</f>
        <v>(含)-</v>
      </c>
      <c r="N116" s="3010"/>
      <c r="O116" s="3010"/>
      <c r="P116" s="2053"/>
      <c r="Q116" s="1817"/>
    </row>
    <row r="117" spans="1:17" ht="15">
      <c r="A117" s="1849"/>
      <c r="B117" s="1860"/>
      <c r="C117" s="1897"/>
      <c r="D117" s="1897"/>
      <c r="E117" s="1897"/>
      <c r="F117" s="1897"/>
      <c r="G117" s="1897"/>
      <c r="H117" s="1897"/>
      <c r="I117" s="1897"/>
      <c r="J117" s="485"/>
      <c r="K117" s="485"/>
      <c r="L117" s="485"/>
      <c r="M117" s="1898"/>
      <c r="N117" s="3010"/>
      <c r="O117" s="3010"/>
      <c r="P117" s="2053"/>
      <c r="Q117" s="1817"/>
    </row>
    <row r="118" spans="1:17" ht="15.75" thickBot="1">
      <c r="A118" s="1849"/>
      <c r="B118" s="1857"/>
      <c r="C118" s="1878"/>
      <c r="D118" s="1893"/>
      <c r="E118" s="1893"/>
      <c r="F118" s="1893"/>
      <c r="G118" s="1893"/>
      <c r="H118" s="1893"/>
      <c r="I118" s="1893"/>
      <c r="J118" s="1893"/>
      <c r="K118" s="1893"/>
      <c r="L118" s="1893"/>
      <c r="M118" s="1894"/>
      <c r="N118" s="3011"/>
      <c r="O118" s="3011"/>
      <c r="P118" s="2053"/>
      <c r="Q118" s="1817"/>
    </row>
    <row r="119" spans="1:17" ht="15" thickTop="1">
      <c r="A119" s="1899"/>
      <c r="B119" s="1854" t="s">
        <v>2483</v>
      </c>
      <c r="C119" s="1574"/>
      <c r="D119" s="1574"/>
      <c r="E119" s="1574"/>
      <c r="F119" s="1574"/>
      <c r="G119" s="1574"/>
      <c r="H119" s="1574"/>
      <c r="I119" s="1574"/>
      <c r="J119" s="1574"/>
      <c r="K119" s="473"/>
      <c r="L119" s="473"/>
      <c r="M119" s="1889"/>
      <c r="N119" s="3010"/>
      <c r="O119" s="3010"/>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11"/>
      <c r="O120" s="3011"/>
      <c r="P120" s="2053"/>
      <c r="Q120" s="1817"/>
    </row>
    <row r="121" spans="1:17" ht="15" thickTop="1">
      <c r="A121" s="1899"/>
      <c r="B121" s="1854" t="s">
        <v>2484</v>
      </c>
      <c r="C121" s="468"/>
      <c r="D121" s="468"/>
      <c r="E121" s="468"/>
      <c r="F121" s="1574"/>
      <c r="G121" s="1574"/>
      <c r="H121" s="1574"/>
      <c r="I121" s="1574"/>
      <c r="J121" s="1574"/>
      <c r="K121" s="473"/>
      <c r="L121" s="473"/>
      <c r="M121" s="1889"/>
      <c r="N121" s="3010"/>
      <c r="O121" s="3010"/>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11"/>
      <c r="O122" s="3011"/>
      <c r="P122" s="2053"/>
      <c r="Q122" s="1817"/>
    </row>
    <row r="123" spans="1:17" s="1767" customFormat="1" ht="15" thickTop="1">
      <c r="A123" s="1895"/>
      <c r="B123" s="1854" t="s">
        <v>2485</v>
      </c>
      <c r="C123" s="468"/>
      <c r="D123" s="468"/>
      <c r="E123" s="468"/>
      <c r="F123" s="468"/>
      <c r="G123" s="468"/>
      <c r="H123" s="1574"/>
      <c r="I123" s="1574"/>
      <c r="J123" s="1574"/>
      <c r="K123" s="473"/>
      <c r="L123" s="473"/>
      <c r="M123" s="1889"/>
      <c r="N123" s="3012"/>
      <c r="O123" s="3012"/>
      <c r="P123" s="2054"/>
      <c r="Q123" s="1869"/>
    </row>
    <row r="124" spans="1:17" s="1767"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12"/>
      <c r="O124" s="3012"/>
      <c r="P124" s="2054"/>
      <c r="Q124" s="1869"/>
    </row>
    <row r="125" spans="1:17" ht="15" thickTop="1">
      <c r="A125" s="1899"/>
      <c r="B125" s="1854" t="s">
        <v>2486</v>
      </c>
      <c r="C125" s="468"/>
      <c r="D125" s="468"/>
      <c r="E125" s="1574"/>
      <c r="F125" s="1574"/>
      <c r="G125" s="1574"/>
      <c r="H125" s="1574"/>
      <c r="I125" s="1574"/>
      <c r="J125" s="1574"/>
      <c r="K125" s="473"/>
      <c r="L125" s="473"/>
      <c r="M125" s="1889"/>
      <c r="N125" s="3010"/>
      <c r="O125" s="3010"/>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11"/>
      <c r="O126" s="3011"/>
      <c r="P126" s="2053"/>
      <c r="Q126" s="1817"/>
    </row>
    <row r="127" spans="1:17" ht="15" thickTop="1">
      <c r="A127" s="1899"/>
      <c r="B127" s="1854">
        <f>B43</f>
        <v>111</v>
      </c>
      <c r="C127" s="468"/>
      <c r="D127" s="468"/>
      <c r="E127" s="468"/>
      <c r="F127" s="468"/>
      <c r="G127" s="468"/>
      <c r="H127" s="1574"/>
      <c r="I127" s="1574"/>
      <c r="J127" s="1574"/>
      <c r="K127" s="473"/>
      <c r="L127" s="473"/>
      <c r="M127" s="1889"/>
      <c r="N127" s="3010"/>
      <c r="O127" s="3010"/>
      <c r="P127" s="2053"/>
      <c r="Q127" s="1817"/>
    </row>
    <row r="128" spans="1:17" ht="15.75" thickBot="1">
      <c r="A128" s="1849"/>
      <c r="B128" s="1857"/>
      <c r="C128" s="1870"/>
      <c r="D128" s="1870"/>
      <c r="E128" s="1870"/>
      <c r="F128" s="1870"/>
      <c r="G128" s="1851"/>
      <c r="H128" s="1851"/>
      <c r="I128" s="1851"/>
      <c r="J128" s="1851"/>
      <c r="K128" s="1851"/>
      <c r="L128" s="1851"/>
      <c r="M128" s="1852"/>
      <c r="N128" s="3011"/>
      <c r="O128" s="3011"/>
      <c r="P128" s="2053"/>
      <c r="Q128" s="1817"/>
    </row>
    <row r="129" spans="1:17" ht="15" thickTop="1">
      <c r="A129" s="1899"/>
      <c r="B129" s="1854">
        <f>B44</f>
        <v>111</v>
      </c>
      <c r="C129" s="409"/>
      <c r="D129" s="409"/>
      <c r="E129" s="409"/>
      <c r="F129" s="409"/>
      <c r="G129" s="1574"/>
      <c r="H129" s="1574"/>
      <c r="I129" s="1574"/>
      <c r="J129" s="1574"/>
      <c r="K129" s="473"/>
      <c r="L129" s="473"/>
      <c r="M129" s="1889"/>
      <c r="N129" s="3010"/>
      <c r="O129" s="3010"/>
      <c r="P129" s="2053"/>
      <c r="Q129" s="1817"/>
    </row>
    <row r="130" spans="1:17" ht="15.75" thickBot="1">
      <c r="A130" s="1849"/>
      <c r="B130" s="1857"/>
      <c r="C130" s="1878"/>
      <c r="D130" s="1878"/>
      <c r="E130" s="1878"/>
      <c r="F130" s="1878"/>
      <c r="G130" s="1851"/>
      <c r="H130" s="1851"/>
      <c r="I130" s="1851"/>
      <c r="J130" s="1851"/>
      <c r="K130" s="1851"/>
      <c r="L130" s="1851"/>
      <c r="M130" s="1852"/>
      <c r="N130" s="3011"/>
      <c r="O130" s="3011"/>
      <c r="P130" s="2053"/>
      <c r="Q130" s="1817"/>
    </row>
    <row r="131" spans="1:17" s="1767" customFormat="1" ht="15" thickTop="1">
      <c r="A131" s="1895"/>
      <c r="B131" s="1854">
        <f>B45</f>
        <v>111</v>
      </c>
      <c r="C131" s="409"/>
      <c r="D131" s="409"/>
      <c r="E131" s="409"/>
      <c r="F131" s="409"/>
      <c r="G131" s="443"/>
      <c r="H131" s="443"/>
      <c r="I131" s="443"/>
      <c r="J131" s="443"/>
      <c r="K131" s="443"/>
      <c r="L131" s="443"/>
      <c r="M131" s="1866"/>
      <c r="N131" s="3012"/>
      <c r="O131" s="3012"/>
      <c r="P131" s="2054"/>
      <c r="Q131" s="1869"/>
    </row>
    <row r="132" spans="1:17" s="1767" customFormat="1" ht="15.75" thickBot="1">
      <c r="A132" s="1876"/>
      <c r="B132" s="2060"/>
      <c r="C132" s="1878"/>
      <c r="D132" s="1878"/>
      <c r="E132" s="1878"/>
      <c r="F132" s="1878"/>
      <c r="G132" s="1893"/>
      <c r="H132" s="1893"/>
      <c r="I132" s="1893"/>
      <c r="J132" s="1893"/>
      <c r="K132" s="1893"/>
      <c r="L132" s="1893"/>
      <c r="M132" s="1894"/>
      <c r="N132" s="3012"/>
      <c r="O132" s="3012"/>
      <c r="P132" s="2054"/>
      <c r="Q132" s="186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2441</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2442</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2243</v>
      </c>
      <c r="B4" s="295"/>
      <c r="C4" s="3525" t="s">
        <v>2244</v>
      </c>
      <c r="D4" s="3526"/>
      <c r="E4" s="3527" t="s">
        <v>2245</v>
      </c>
      <c r="F4" s="3528"/>
      <c r="G4" s="3525" t="s">
        <v>2246</v>
      </c>
      <c r="H4" s="3526"/>
      <c r="I4" s="3525" t="s">
        <v>2247</v>
      </c>
      <c r="J4" s="3526"/>
      <c r="K4" s="496" t="s">
        <v>2248</v>
      </c>
      <c r="L4" s="3019"/>
      <c r="M4" s="3020"/>
      <c r="N4" s="3020"/>
      <c r="O4" s="3020"/>
      <c r="P4" s="3529" t="s">
        <v>2249</v>
      </c>
      <c r="Q4" s="3530"/>
      <c r="R4" s="3535" t="s">
        <v>2245</v>
      </c>
      <c r="S4" s="3536"/>
      <c r="T4" s="3535" t="s">
        <v>2246</v>
      </c>
      <c r="U4" s="3536"/>
      <c r="V4" s="3541" t="s">
        <v>2247</v>
      </c>
      <c r="W4" s="3541"/>
      <c r="X4" s="1333"/>
      <c r="Y4" s="3535" t="s">
        <v>2249</v>
      </c>
      <c r="Z4" s="3536"/>
      <c r="AA4" s="3522" t="s">
        <v>2245</v>
      </c>
      <c r="AB4" s="3523" t="s">
        <v>2246</v>
      </c>
      <c r="AC4" s="3522" t="s">
        <v>2247</v>
      </c>
    </row>
    <row r="5" spans="1:29" ht="15">
      <c r="A5" s="297"/>
      <c r="B5" s="298"/>
      <c r="C5" s="3518" t="s">
        <v>2250</v>
      </c>
      <c r="D5" s="3519"/>
      <c r="E5" s="3542" t="s">
        <v>2251</v>
      </c>
      <c r="F5" s="3543"/>
      <c r="G5" s="3518" t="s">
        <v>2252</v>
      </c>
      <c r="H5" s="3519"/>
      <c r="I5" s="3518" t="s">
        <v>2253</v>
      </c>
      <c r="J5" s="3519"/>
      <c r="K5" s="496"/>
      <c r="L5" s="3019"/>
      <c r="M5" s="3020"/>
      <c r="N5" s="3020"/>
      <c r="O5" s="3020"/>
      <c r="P5" s="3531"/>
      <c r="Q5" s="3532"/>
      <c r="R5" s="3537"/>
      <c r="S5" s="3538"/>
      <c r="T5" s="3537"/>
      <c r="U5" s="3538"/>
      <c r="V5" s="3541"/>
      <c r="W5" s="3541"/>
      <c r="X5" s="1333"/>
      <c r="Y5" s="3537"/>
      <c r="Z5" s="3538"/>
      <c r="AA5" s="3523"/>
      <c r="AB5" s="3523"/>
      <c r="AC5" s="3523"/>
    </row>
    <row r="6" spans="1:29" ht="15.75" thickBot="1">
      <c r="A6" s="299"/>
      <c r="B6" s="300"/>
      <c r="C6" s="3515" t="s">
        <v>2254</v>
      </c>
      <c r="D6" s="3516"/>
      <c r="E6" s="3513" t="s">
        <v>2254</v>
      </c>
      <c r="F6" s="3514"/>
      <c r="G6" s="3515" t="s">
        <v>2254</v>
      </c>
      <c r="H6" s="3516"/>
      <c r="I6" s="3515" t="s">
        <v>2254</v>
      </c>
      <c r="J6" s="3516"/>
      <c r="K6" s="496" t="s">
        <v>2255</v>
      </c>
      <c r="L6" s="3019"/>
      <c r="M6" s="3020"/>
      <c r="N6" s="3020"/>
      <c r="O6" s="3020"/>
      <c r="P6" s="3533"/>
      <c r="Q6" s="3534"/>
      <c r="R6" s="3537"/>
      <c r="S6" s="3538"/>
      <c r="T6" s="3539"/>
      <c r="U6" s="3540"/>
      <c r="V6" s="3541"/>
      <c r="W6" s="3541"/>
      <c r="X6" s="1333"/>
      <c r="Y6" s="3539"/>
      <c r="Z6" s="3540"/>
      <c r="AA6" s="3524"/>
      <c r="AB6" s="3524"/>
      <c r="AC6" s="3524"/>
    </row>
    <row r="7" spans="1:29" s="25" customFormat="1" ht="15.75" thickBot="1">
      <c r="A7" s="301" t="s">
        <v>2256</v>
      </c>
      <c r="B7" s="302"/>
      <c r="C7" s="303">
        <f>'数据-取费表'!B2</f>
        <v>44333</v>
      </c>
      <c r="D7" s="304">
        <v>100</v>
      </c>
      <c r="E7" s="305"/>
      <c r="F7" s="306">
        <f>SUMIF(65:65,YEAR(E7)&amp;"-"&amp;INT((MONTH(E7)+2)/3),66:66)</f>
        <v>0</v>
      </c>
      <c r="G7" s="1571"/>
      <c r="H7" s="304">
        <f>SUMIF(65:65,YEAR(G7)&amp;"-"&amp;INT((MONTH(G7)+2)/3),66:66)</f>
        <v>0</v>
      </c>
      <c r="I7" s="1571"/>
      <c r="J7" s="304">
        <f>SUMIF(65:65,YEAR(I7)&amp;"-"&amp;INT((MONTH(I7)+2)/3),66:66)</f>
        <v>0</v>
      </c>
      <c r="K7" s="497"/>
      <c r="L7" s="3021"/>
      <c r="M7" s="3022"/>
      <c r="N7" s="3022"/>
      <c r="O7" s="3022"/>
      <c r="P7" s="3520" t="s">
        <v>2257</v>
      </c>
      <c r="Q7" s="3544"/>
      <c r="R7" s="627" t="s">
        <v>25</v>
      </c>
      <c r="S7" s="628">
        <f t="shared" ref="S7:S15" si="0">F7</f>
        <v>0</v>
      </c>
      <c r="T7" s="627" t="s">
        <v>25</v>
      </c>
      <c r="U7" s="628">
        <f t="shared" ref="U7:U15" si="1">H7</f>
        <v>0</v>
      </c>
      <c r="V7" s="627" t="s">
        <v>25</v>
      </c>
      <c r="W7" s="628">
        <f t="shared" ref="W7:W15" si="2">J7</f>
        <v>0</v>
      </c>
      <c r="X7" s="629"/>
      <c r="Y7" s="3520" t="s">
        <v>2257</v>
      </c>
      <c r="Z7" s="3521"/>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20" t="s">
        <v>2260</v>
      </c>
      <c r="Q8" s="3521"/>
      <c r="R8" s="627" t="s">
        <v>25</v>
      </c>
      <c r="S8" s="628">
        <f t="shared" si="0"/>
        <v>0</v>
      </c>
      <c r="T8" s="627" t="s">
        <v>25</v>
      </c>
      <c r="U8" s="628">
        <f t="shared" si="1"/>
        <v>0</v>
      </c>
      <c r="V8" s="627" t="s">
        <v>25</v>
      </c>
      <c r="W8" s="628">
        <f t="shared" si="2"/>
        <v>0</v>
      </c>
      <c r="X8" s="629"/>
      <c r="Y8" s="3520" t="s">
        <v>2260</v>
      </c>
      <c r="Z8" s="3521"/>
      <c r="AA8" s="630" t="e">
        <f t="shared" ref="AA8:AA40" si="3">D8/F8</f>
        <v>#DIV/0!</v>
      </c>
      <c r="AB8" s="630" t="e">
        <f t="shared" ref="AB8:AB40" si="4">D8/H8</f>
        <v>#DIV/0!</v>
      </c>
      <c r="AC8" s="630" t="e">
        <f t="shared" ref="AC8:AC40" si="5">D8/J8</f>
        <v>#DIV/0!</v>
      </c>
    </row>
    <row r="9" spans="1:29" s="25" customFormat="1">
      <c r="A9" s="308" t="s">
        <v>2261</v>
      </c>
      <c r="B9" s="24" t="s">
        <v>2262</v>
      </c>
      <c r="C9" s="1582" t="s">
        <v>2488</v>
      </c>
      <c r="D9" s="28">
        <v>100</v>
      </c>
      <c r="E9" s="1582"/>
      <c r="F9" s="28">
        <f>SUMIF(70:70,E9,71:71)-SUMIF(70:70,C9,71:71)+100</f>
        <v>100</v>
      </c>
      <c r="G9" s="1582"/>
      <c r="H9" s="28">
        <f>SUMIF(70:70,G9,71:71)-SUMIF(70:70,C9,71:71)+100</f>
        <v>100</v>
      </c>
      <c r="I9" s="1582"/>
      <c r="J9" s="28">
        <f>SUMIF(70:70,I9,71:71)-SUMIF(70:70,C9,71:71)+100</f>
        <v>100</v>
      </c>
      <c r="K9" s="497"/>
      <c r="L9" s="3021"/>
      <c r="M9" s="3022"/>
      <c r="N9" s="3022"/>
      <c r="O9" s="3023"/>
      <c r="P9" s="3517" t="s">
        <v>2263</v>
      </c>
      <c r="Q9" s="1325" t="str">
        <f t="shared" ref="Q9:Q15" si="6">B9</f>
        <v>用途</v>
      </c>
      <c r="R9" s="627" t="s">
        <v>25</v>
      </c>
      <c r="S9" s="628">
        <f t="shared" si="0"/>
        <v>100</v>
      </c>
      <c r="T9" s="627" t="s">
        <v>25</v>
      </c>
      <c r="U9" s="628">
        <f t="shared" si="1"/>
        <v>100</v>
      </c>
      <c r="V9" s="627" t="s">
        <v>25</v>
      </c>
      <c r="W9" s="628">
        <f t="shared" si="2"/>
        <v>100</v>
      </c>
      <c r="X9" s="629"/>
      <c r="Y9" s="3547"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104</v>
      </c>
      <c r="G10" s="322"/>
      <c r="H10" s="29">
        <f>ROUND(100/'数据-取费表'!B14,0)</f>
        <v>104</v>
      </c>
      <c r="I10" s="322"/>
      <c r="J10" s="29">
        <f>ROUND(100/'数据-取费表'!B14,0)</f>
        <v>104</v>
      </c>
      <c r="K10" s="553"/>
      <c r="L10" s="3024"/>
      <c r="M10" s="3025"/>
      <c r="N10" s="3025"/>
      <c r="O10" s="3026"/>
      <c r="P10" s="3517"/>
      <c r="Q10" s="1325" t="str">
        <f t="shared" si="6"/>
        <v>土地使用年限（年）</v>
      </c>
      <c r="R10" s="627" t="s">
        <v>25</v>
      </c>
      <c r="S10" s="628">
        <f t="shared" si="0"/>
        <v>104</v>
      </c>
      <c r="T10" s="627" t="s">
        <v>25</v>
      </c>
      <c r="U10" s="628">
        <f t="shared" si="1"/>
        <v>104</v>
      </c>
      <c r="V10" s="627" t="s">
        <v>25</v>
      </c>
      <c r="W10" s="628">
        <f t="shared" si="2"/>
        <v>104</v>
      </c>
      <c r="X10" s="629"/>
      <c r="Y10" s="3547"/>
      <c r="Z10" s="19" t="str">
        <f t="shared" si="7"/>
        <v>土地使用年限（年）</v>
      </c>
      <c r="AA10" s="630">
        <f t="shared" si="3"/>
        <v>0.96153846153846156</v>
      </c>
      <c r="AB10" s="630">
        <f t="shared" si="4"/>
        <v>0.96153846153846156</v>
      </c>
      <c r="AC10" s="630">
        <f t="shared" si="5"/>
        <v>0.96153846153846156</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17"/>
      <c r="Q11" s="1325" t="str">
        <f t="shared" si="6"/>
        <v>容积率</v>
      </c>
      <c r="R11" s="627" t="s">
        <v>25</v>
      </c>
      <c r="S11" s="628" t="e">
        <f t="shared" si="0"/>
        <v>#N/A</v>
      </c>
      <c r="T11" s="627" t="s">
        <v>25</v>
      </c>
      <c r="U11" s="628" t="e">
        <f t="shared" si="1"/>
        <v>#N/A</v>
      </c>
      <c r="V11" s="627" t="s">
        <v>25</v>
      </c>
      <c r="W11" s="628" t="e">
        <f t="shared" si="2"/>
        <v>#N/A</v>
      </c>
      <c r="X11" s="629"/>
      <c r="Y11" s="3547"/>
      <c r="Z11" s="19" t="str">
        <f t="shared" si="7"/>
        <v>容积率</v>
      </c>
      <c r="AA11" s="630" t="e">
        <f t="shared" si="3"/>
        <v>#N/A</v>
      </c>
      <c r="AB11" s="630" t="e">
        <f t="shared" si="4"/>
        <v>#N/A</v>
      </c>
      <c r="AC11" s="630" t="e">
        <f t="shared" si="5"/>
        <v>#N/A</v>
      </c>
    </row>
    <row r="12" spans="1:29" s="25" customFormat="1" ht="15">
      <c r="A12" s="321"/>
      <c r="B12" s="1559">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17"/>
      <c r="Q12" s="1325">
        <f t="shared" si="6"/>
        <v>111</v>
      </c>
      <c r="R12" s="627" t="s">
        <v>25</v>
      </c>
      <c r="S12" s="628">
        <f t="shared" si="0"/>
        <v>100</v>
      </c>
      <c r="T12" s="627" t="s">
        <v>25</v>
      </c>
      <c r="U12" s="628">
        <f t="shared" si="1"/>
        <v>100</v>
      </c>
      <c r="V12" s="627" t="s">
        <v>25</v>
      </c>
      <c r="W12" s="628">
        <f t="shared" si="2"/>
        <v>100</v>
      </c>
      <c r="X12" s="629"/>
      <c r="Y12" s="3547"/>
      <c r="Z12" s="19">
        <f t="shared" si="7"/>
        <v>111</v>
      </c>
      <c r="AA12" s="630">
        <f>D12/F12</f>
        <v>1</v>
      </c>
      <c r="AB12" s="630">
        <f>D12/H12</f>
        <v>1</v>
      </c>
      <c r="AC12" s="630">
        <f>D12/J12</f>
        <v>1</v>
      </c>
    </row>
    <row r="13" spans="1:29" ht="15">
      <c r="A13" s="318"/>
      <c r="B13" s="1559">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17"/>
      <c r="Q13" s="1325">
        <f t="shared" si="6"/>
        <v>111</v>
      </c>
      <c r="R13" s="627" t="s">
        <v>25</v>
      </c>
      <c r="S13" s="628">
        <f t="shared" si="0"/>
        <v>100</v>
      </c>
      <c r="T13" s="627" t="s">
        <v>25</v>
      </c>
      <c r="U13" s="628">
        <f t="shared" si="1"/>
        <v>100</v>
      </c>
      <c r="V13" s="627" t="s">
        <v>25</v>
      </c>
      <c r="W13" s="628">
        <f t="shared" si="2"/>
        <v>100</v>
      </c>
      <c r="X13" s="629"/>
      <c r="Y13" s="3547"/>
      <c r="Z13" s="19">
        <f t="shared" si="7"/>
        <v>111</v>
      </c>
      <c r="AA13" s="630">
        <f t="shared" si="3"/>
        <v>1</v>
      </c>
      <c r="AB13" s="630">
        <f t="shared" si="4"/>
        <v>1</v>
      </c>
      <c r="AC13" s="630">
        <f t="shared" si="5"/>
        <v>1</v>
      </c>
    </row>
    <row r="14" spans="1:29" ht="15.75" thickBot="1">
      <c r="A14" s="326"/>
      <c r="B14" s="1560">
        <v>111</v>
      </c>
      <c r="C14" s="1561">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17"/>
      <c r="Q14" s="1325">
        <f t="shared" si="6"/>
        <v>111</v>
      </c>
      <c r="R14" s="627" t="s">
        <v>25</v>
      </c>
      <c r="S14" s="628">
        <f t="shared" si="0"/>
        <v>100</v>
      </c>
      <c r="T14" s="627" t="s">
        <v>25</v>
      </c>
      <c r="U14" s="628">
        <f t="shared" si="1"/>
        <v>100</v>
      </c>
      <c r="V14" s="627" t="s">
        <v>25</v>
      </c>
      <c r="W14" s="628">
        <f t="shared" si="2"/>
        <v>100</v>
      </c>
      <c r="X14" s="629"/>
      <c r="Y14" s="3547"/>
      <c r="Z14" s="19">
        <f t="shared" si="7"/>
        <v>111</v>
      </c>
      <c r="AA14" s="630">
        <f t="shared" si="3"/>
        <v>1</v>
      </c>
      <c r="AB14" s="630">
        <f t="shared" si="4"/>
        <v>1</v>
      </c>
      <c r="AC14" s="630">
        <f t="shared" si="5"/>
        <v>1</v>
      </c>
    </row>
    <row r="15" spans="1:29" ht="57">
      <c r="A15" s="329" t="s">
        <v>2267</v>
      </c>
      <c r="B15" s="511" t="s">
        <v>2489</v>
      </c>
      <c r="C15" s="1577"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545" t="s">
        <v>2268</v>
      </c>
      <c r="Q15" s="1332" t="str">
        <f t="shared" si="6"/>
        <v>产业集聚程度</v>
      </c>
      <c r="R15" s="631" t="s">
        <v>25</v>
      </c>
      <c r="S15" s="632">
        <f t="shared" si="0"/>
        <v>100</v>
      </c>
      <c r="T15" s="631" t="s">
        <v>25</v>
      </c>
      <c r="U15" s="632">
        <f t="shared" si="1"/>
        <v>100</v>
      </c>
      <c r="V15" s="631" t="s">
        <v>25</v>
      </c>
      <c r="W15" s="632">
        <f t="shared" si="2"/>
        <v>100</v>
      </c>
      <c r="X15" s="1333"/>
      <c r="Y15" s="3545" t="s">
        <v>2268</v>
      </c>
      <c r="Z15" s="1334" t="str">
        <f t="shared" si="7"/>
        <v>产业集聚程度</v>
      </c>
      <c r="AA15" s="1335">
        <f t="shared" si="3"/>
        <v>1</v>
      </c>
      <c r="AB15" s="1335">
        <f t="shared" si="4"/>
        <v>1</v>
      </c>
      <c r="AC15" s="1335">
        <f t="shared" si="5"/>
        <v>1</v>
      </c>
    </row>
    <row r="16" spans="1:29" ht="15">
      <c r="A16" s="318"/>
      <c r="B16" s="512"/>
      <c r="C16" s="335"/>
      <c r="D16" s="336"/>
      <c r="E16" s="1133"/>
      <c r="F16" s="336"/>
      <c r="G16" s="1133"/>
      <c r="H16" s="339"/>
      <c r="I16" s="1133"/>
      <c r="J16" s="336"/>
      <c r="K16" s="553"/>
      <c r="L16" s="3029"/>
      <c r="M16" s="3020"/>
      <c r="N16" s="3020"/>
      <c r="O16" s="3028"/>
      <c r="P16" s="3546"/>
      <c r="Q16" s="1332"/>
      <c r="R16" s="631"/>
      <c r="S16" s="632"/>
      <c r="T16" s="631"/>
      <c r="U16" s="632"/>
      <c r="V16" s="631"/>
      <c r="W16" s="632"/>
      <c r="X16" s="1333"/>
      <c r="Y16" s="3546"/>
      <c r="Z16" s="1334"/>
      <c r="AA16" s="1335">
        <v>1</v>
      </c>
      <c r="AB16" s="1335">
        <v>1</v>
      </c>
      <c r="AC16" s="1335">
        <v>1</v>
      </c>
    </row>
    <row r="17" spans="1:29" ht="85.5">
      <c r="A17" s="318"/>
      <c r="B17" s="513" t="s">
        <v>2405</v>
      </c>
      <c r="C17" s="1563"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46"/>
      <c r="Q17" s="1332" t="str">
        <f>B17</f>
        <v>交通便捷度</v>
      </c>
      <c r="R17" s="631" t="s">
        <v>25</v>
      </c>
      <c r="S17" s="632">
        <f>F17</f>
        <v>100</v>
      </c>
      <c r="T17" s="631" t="s">
        <v>25</v>
      </c>
      <c r="U17" s="632">
        <f>H17</f>
        <v>100</v>
      </c>
      <c r="V17" s="631" t="s">
        <v>25</v>
      </c>
      <c r="W17" s="632">
        <f>J17</f>
        <v>100</v>
      </c>
      <c r="X17" s="1333"/>
      <c r="Y17" s="3546"/>
      <c r="Z17" s="1334" t="str">
        <f>Q17</f>
        <v>交通便捷度</v>
      </c>
      <c r="AA17" s="1335">
        <f t="shared" si="3"/>
        <v>1</v>
      </c>
      <c r="AB17" s="1335">
        <f t="shared" si="4"/>
        <v>1</v>
      </c>
      <c r="AC17" s="1335">
        <f t="shared" si="5"/>
        <v>1</v>
      </c>
    </row>
    <row r="18" spans="1:29" ht="15">
      <c r="A18" s="318"/>
      <c r="B18" s="514"/>
      <c r="C18" s="335"/>
      <c r="D18" s="336"/>
      <c r="E18" s="337"/>
      <c r="F18" s="336"/>
      <c r="G18" s="337"/>
      <c r="H18" s="336"/>
      <c r="I18" s="1562"/>
      <c r="J18" s="336"/>
      <c r="K18" s="553"/>
      <c r="L18" s="3029"/>
      <c r="M18" s="3020"/>
      <c r="N18" s="3020"/>
      <c r="O18" s="3028"/>
      <c r="P18" s="3546"/>
      <c r="Q18" s="1332"/>
      <c r="R18" s="631"/>
      <c r="S18" s="632"/>
      <c r="T18" s="631"/>
      <c r="U18" s="632"/>
      <c r="V18" s="631"/>
      <c r="W18" s="632"/>
      <c r="X18" s="1333"/>
      <c r="Y18" s="3546"/>
      <c r="Z18" s="1334"/>
      <c r="AA18" s="1335">
        <v>1</v>
      </c>
      <c r="AB18" s="1335">
        <v>1</v>
      </c>
      <c r="AC18" s="1335">
        <v>1</v>
      </c>
    </row>
    <row r="19" spans="1:29" ht="15">
      <c r="A19" s="318"/>
      <c r="B19" s="513" t="s">
        <v>2445</v>
      </c>
      <c r="C19" s="1563">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46"/>
      <c r="Q19" s="1332" t="str">
        <f t="shared" ref="Q19:Q33" si="8">B19</f>
        <v>区域土地利用方向</v>
      </c>
      <c r="R19" s="631" t="s">
        <v>25</v>
      </c>
      <c r="S19" s="632">
        <f>F19</f>
        <v>100</v>
      </c>
      <c r="T19" s="631" t="s">
        <v>25</v>
      </c>
      <c r="U19" s="632">
        <f>H19</f>
        <v>100</v>
      </c>
      <c r="V19" s="631" t="s">
        <v>25</v>
      </c>
      <c r="W19" s="632">
        <f>J19</f>
        <v>100</v>
      </c>
      <c r="X19" s="1333"/>
      <c r="Y19" s="3546"/>
      <c r="Z19" s="1334" t="str">
        <f>Q19</f>
        <v>区域土地利用方向</v>
      </c>
      <c r="AA19" s="1335">
        <f t="shared" si="3"/>
        <v>1</v>
      </c>
      <c r="AB19" s="1335">
        <f t="shared" si="4"/>
        <v>1</v>
      </c>
      <c r="AC19" s="1335">
        <f t="shared" si="5"/>
        <v>1</v>
      </c>
    </row>
    <row r="20" spans="1:29" ht="15">
      <c r="A20" s="297"/>
      <c r="B20" s="514"/>
      <c r="C20" s="335"/>
      <c r="D20" s="336"/>
      <c r="E20" s="337"/>
      <c r="F20" s="336"/>
      <c r="G20" s="337"/>
      <c r="H20" s="336"/>
      <c r="I20" s="337"/>
      <c r="J20" s="336"/>
      <c r="K20" s="665"/>
      <c r="L20" s="3029"/>
      <c r="M20" s="3020"/>
      <c r="N20" s="3020"/>
      <c r="O20" s="3028"/>
      <c r="P20" s="3546"/>
      <c r="Q20" s="1332"/>
      <c r="R20" s="631"/>
      <c r="S20" s="632"/>
      <c r="T20" s="631"/>
      <c r="U20" s="632"/>
      <c r="V20" s="631"/>
      <c r="W20" s="632"/>
      <c r="X20" s="1333"/>
      <c r="Y20" s="3546"/>
      <c r="Z20" s="1334"/>
      <c r="AA20" s="1335"/>
      <c r="AB20" s="1335"/>
      <c r="AC20" s="1335"/>
    </row>
    <row r="21" spans="1:29" ht="71.25">
      <c r="A21" s="297"/>
      <c r="B21" s="513" t="s">
        <v>2490</v>
      </c>
      <c r="C21" s="1563"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46"/>
      <c r="Q21" s="1332" t="str">
        <f t="shared" si="8"/>
        <v>环境状况</v>
      </c>
      <c r="R21" s="631" t="s">
        <v>25</v>
      </c>
      <c r="S21" s="632">
        <f>F21</f>
        <v>100</v>
      </c>
      <c r="T21" s="631" t="s">
        <v>25</v>
      </c>
      <c r="U21" s="632">
        <f>H21</f>
        <v>100</v>
      </c>
      <c r="V21" s="631" t="s">
        <v>25</v>
      </c>
      <c r="W21" s="632">
        <f>J21</f>
        <v>100</v>
      </c>
      <c r="X21" s="1333"/>
      <c r="Y21" s="3546"/>
      <c r="Z21" s="1334" t="str">
        <f>Q21</f>
        <v>环境状况</v>
      </c>
      <c r="AA21" s="1335">
        <f t="shared" si="3"/>
        <v>1</v>
      </c>
      <c r="AB21" s="1335">
        <f t="shared" si="4"/>
        <v>1</v>
      </c>
      <c r="AC21" s="1335">
        <f t="shared" si="5"/>
        <v>1</v>
      </c>
    </row>
    <row r="22" spans="1:29" ht="15">
      <c r="A22" s="297"/>
      <c r="B22" s="514"/>
      <c r="C22" s="335"/>
      <c r="D22" s="336"/>
      <c r="E22" s="1133"/>
      <c r="F22" s="336"/>
      <c r="G22" s="1133"/>
      <c r="H22" s="336"/>
      <c r="I22" s="335"/>
      <c r="J22" s="336"/>
      <c r="K22" s="553"/>
      <c r="L22" s="3029"/>
      <c r="M22" s="3020"/>
      <c r="N22" s="3020"/>
      <c r="O22" s="3028"/>
      <c r="P22" s="3546"/>
      <c r="Q22" s="1332"/>
      <c r="R22" s="631"/>
      <c r="S22" s="632"/>
      <c r="T22" s="631"/>
      <c r="U22" s="632"/>
      <c r="V22" s="631"/>
      <c r="W22" s="632"/>
      <c r="X22" s="1333"/>
      <c r="Y22" s="3546"/>
      <c r="Z22" s="1334"/>
      <c r="AA22" s="1335">
        <v>1</v>
      </c>
      <c r="AB22" s="1335">
        <v>1</v>
      </c>
      <c r="AC22" s="1335">
        <v>1</v>
      </c>
    </row>
    <row r="23" spans="1:29" s="25" customFormat="1" ht="42.75">
      <c r="A23" s="531"/>
      <c r="B23" s="513" t="s">
        <v>2354</v>
      </c>
      <c r="C23" s="1563"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46"/>
      <c r="Q23" s="1325" t="str">
        <f t="shared" si="8"/>
        <v>公共配套设施</v>
      </c>
      <c r="R23" s="627" t="s">
        <v>25</v>
      </c>
      <c r="S23" s="628">
        <f>F23</f>
        <v>100</v>
      </c>
      <c r="T23" s="627" t="s">
        <v>25</v>
      </c>
      <c r="U23" s="628">
        <f>H23</f>
        <v>100</v>
      </c>
      <c r="V23" s="627" t="s">
        <v>25</v>
      </c>
      <c r="W23" s="628">
        <f>J23</f>
        <v>100</v>
      </c>
      <c r="X23" s="629"/>
      <c r="Y23" s="3546"/>
      <c r="Z23" s="19" t="str">
        <f>Q23</f>
        <v>公共配套设施</v>
      </c>
      <c r="AA23" s="1335">
        <f>D23/F23</f>
        <v>1</v>
      </c>
      <c r="AB23" s="1335">
        <f>D23/H23</f>
        <v>1</v>
      </c>
      <c r="AC23" s="1335">
        <f>D23/J23</f>
        <v>1</v>
      </c>
    </row>
    <row r="24" spans="1:29" s="25" customFormat="1" ht="15">
      <c r="A24" s="531"/>
      <c r="B24" s="514"/>
      <c r="C24" s="1592"/>
      <c r="D24" s="336"/>
      <c r="E24" s="1133"/>
      <c r="F24" s="336"/>
      <c r="G24" s="1133"/>
      <c r="H24" s="336"/>
      <c r="I24" s="335"/>
      <c r="J24" s="336"/>
      <c r="K24" s="553"/>
      <c r="L24" s="3021"/>
      <c r="M24" s="3022"/>
      <c r="N24" s="3022"/>
      <c r="O24" s="3023"/>
      <c r="P24" s="3546"/>
      <c r="Q24" s="1325"/>
      <c r="R24" s="627"/>
      <c r="S24" s="628"/>
      <c r="T24" s="627"/>
      <c r="U24" s="628"/>
      <c r="V24" s="627"/>
      <c r="W24" s="628"/>
      <c r="X24" s="629"/>
      <c r="Y24" s="3546"/>
      <c r="Z24" s="19"/>
      <c r="AA24" s="630">
        <v>1</v>
      </c>
      <c r="AB24" s="630">
        <v>1</v>
      </c>
      <c r="AC24" s="630">
        <v>1</v>
      </c>
    </row>
    <row r="25" spans="1:29" s="25" customFormat="1" ht="28.5">
      <c r="A25" s="531"/>
      <c r="B25" s="515" t="s">
        <v>2355</v>
      </c>
      <c r="C25" s="1563"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46"/>
      <c r="Q25" s="1325" t="str">
        <f t="shared" ref="Q25" si="9">B25</f>
        <v>基础设施水平</v>
      </c>
      <c r="R25" s="627" t="s">
        <v>25</v>
      </c>
      <c r="S25" s="628">
        <f>F25</f>
        <v>100</v>
      </c>
      <c r="T25" s="627" t="s">
        <v>25</v>
      </c>
      <c r="U25" s="628">
        <f>H25</f>
        <v>100</v>
      </c>
      <c r="V25" s="627" t="s">
        <v>25</v>
      </c>
      <c r="W25" s="628">
        <f>J25</f>
        <v>100</v>
      </c>
      <c r="X25" s="629"/>
      <c r="Y25" s="3546"/>
      <c r="Z25" s="19" t="str">
        <f>Q25</f>
        <v>基础设施水平</v>
      </c>
      <c r="AA25" s="1335">
        <f>D25/F25</f>
        <v>1</v>
      </c>
      <c r="AB25" s="1335">
        <f>D25/H25</f>
        <v>1</v>
      </c>
      <c r="AC25" s="1335">
        <f>D25/J25</f>
        <v>1</v>
      </c>
    </row>
    <row r="26" spans="1:29" s="25" customFormat="1" ht="15">
      <c r="A26" s="531"/>
      <c r="B26" s="514"/>
      <c r="C26" s="1592"/>
      <c r="D26" s="336"/>
      <c r="E26" s="1583"/>
      <c r="F26" s="336"/>
      <c r="G26" s="1583"/>
      <c r="H26" s="336"/>
      <c r="I26" s="1583"/>
      <c r="J26" s="336"/>
      <c r="K26" s="553"/>
      <c r="L26" s="3021"/>
      <c r="M26" s="3022"/>
      <c r="N26" s="3022"/>
      <c r="O26" s="3023"/>
      <c r="P26" s="3546"/>
      <c r="Q26" s="1325"/>
      <c r="R26" s="627"/>
      <c r="S26" s="628"/>
      <c r="T26" s="627"/>
      <c r="U26" s="628"/>
      <c r="V26" s="627"/>
      <c r="W26" s="628"/>
      <c r="X26" s="629"/>
      <c r="Y26" s="3546"/>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46"/>
      <c r="Q27" s="1332" t="str">
        <f t="shared" si="8"/>
        <v>临街状况</v>
      </c>
      <c r="R27" s="631" t="s">
        <v>25</v>
      </c>
      <c r="S27" s="632">
        <f t="shared" ref="S27:S40" si="10">F27</f>
        <v>100</v>
      </c>
      <c r="T27" s="631" t="s">
        <v>25</v>
      </c>
      <c r="U27" s="632">
        <f t="shared" ref="U27:U40" si="11">H27</f>
        <v>100</v>
      </c>
      <c r="V27" s="631" t="s">
        <v>25</v>
      </c>
      <c r="W27" s="632">
        <f t="shared" ref="W27:W40" si="12">J27</f>
        <v>100</v>
      </c>
      <c r="X27" s="1333"/>
      <c r="Y27" s="3546"/>
      <c r="Z27" s="1334" t="str">
        <f t="shared" ref="Z27:Z40" si="13">Q27</f>
        <v>临街状况</v>
      </c>
      <c r="AA27" s="1335">
        <f t="shared" si="3"/>
        <v>1</v>
      </c>
      <c r="AB27" s="1335">
        <f t="shared" si="4"/>
        <v>1</v>
      </c>
      <c r="AC27" s="1335">
        <f t="shared" si="5"/>
        <v>1</v>
      </c>
    </row>
    <row r="28" spans="1:29" ht="27">
      <c r="A28" s="318"/>
      <c r="B28" s="515" t="s">
        <v>2386</v>
      </c>
      <c r="C28" s="1593">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46"/>
      <c r="Q28" s="1332" t="str">
        <f t="shared" si="8"/>
        <v>毗邻道路的类型与等级</v>
      </c>
      <c r="R28" s="631" t="s">
        <v>25</v>
      </c>
      <c r="S28" s="632">
        <f t="shared" si="10"/>
        <v>100</v>
      </c>
      <c r="T28" s="631" t="s">
        <v>25</v>
      </c>
      <c r="U28" s="632">
        <f t="shared" si="11"/>
        <v>100</v>
      </c>
      <c r="V28" s="631" t="s">
        <v>25</v>
      </c>
      <c r="W28" s="632">
        <f t="shared" si="12"/>
        <v>100</v>
      </c>
      <c r="X28" s="1333"/>
      <c r="Y28" s="3546"/>
      <c r="Z28" s="1334" t="str">
        <f t="shared" si="13"/>
        <v>毗邻道路的类型与等级</v>
      </c>
      <c r="AA28" s="1335">
        <f t="shared" si="3"/>
        <v>1</v>
      </c>
      <c r="AB28" s="1335">
        <f t="shared" si="4"/>
        <v>1</v>
      </c>
      <c r="AC28" s="1335">
        <f t="shared" si="5"/>
        <v>1</v>
      </c>
    </row>
    <row r="29" spans="1:29" ht="15">
      <c r="A29" s="318"/>
      <c r="B29" s="514"/>
      <c r="C29" s="335"/>
      <c r="D29" s="336"/>
      <c r="E29" s="1133"/>
      <c r="F29" s="336"/>
      <c r="G29" s="1133"/>
      <c r="H29" s="336"/>
      <c r="I29" s="1133"/>
      <c r="J29" s="336"/>
      <c r="K29" s="499"/>
      <c r="L29" s="3029"/>
      <c r="M29" s="3020"/>
      <c r="N29" s="3020"/>
      <c r="O29" s="3028"/>
      <c r="P29" s="3546"/>
      <c r="Q29" s="1332"/>
      <c r="R29" s="631"/>
      <c r="S29" s="632"/>
      <c r="T29" s="631"/>
      <c r="U29" s="632"/>
      <c r="V29" s="631"/>
      <c r="W29" s="632"/>
      <c r="X29" s="1333"/>
      <c r="Y29" s="3546"/>
      <c r="Z29" s="1334"/>
      <c r="AA29" s="1335">
        <v>1</v>
      </c>
      <c r="AB29" s="1335">
        <v>1</v>
      </c>
      <c r="AC29" s="1335">
        <v>1</v>
      </c>
    </row>
    <row r="30" spans="1:29" ht="15">
      <c r="A30" s="318"/>
      <c r="B30" s="535" t="s">
        <v>2447</v>
      </c>
      <c r="C30" s="114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46"/>
      <c r="Q30" s="1332" t="str">
        <f t="shared" si="8"/>
        <v>土地级别</v>
      </c>
      <c r="R30" s="631" t="s">
        <v>25</v>
      </c>
      <c r="S30" s="632">
        <f t="shared" si="10"/>
        <v>100</v>
      </c>
      <c r="T30" s="631" t="s">
        <v>25</v>
      </c>
      <c r="U30" s="632">
        <f t="shared" si="11"/>
        <v>100</v>
      </c>
      <c r="V30" s="631" t="s">
        <v>25</v>
      </c>
      <c r="W30" s="632">
        <f t="shared" si="12"/>
        <v>100</v>
      </c>
      <c r="X30" s="1333"/>
      <c r="Y30" s="3546"/>
      <c r="Z30" s="1334" t="str">
        <f t="shared" si="13"/>
        <v>土地级别</v>
      </c>
      <c r="AA30" s="1335">
        <f t="shared" si="3"/>
        <v>1</v>
      </c>
      <c r="AB30" s="1335">
        <f t="shared" si="4"/>
        <v>1</v>
      </c>
      <c r="AC30" s="1335">
        <f t="shared" si="5"/>
        <v>1</v>
      </c>
    </row>
    <row r="31" spans="1:29" ht="15">
      <c r="A31" s="297"/>
      <c r="B31" s="1572">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46"/>
      <c r="Q31" s="1332">
        <f t="shared" si="8"/>
        <v>111</v>
      </c>
      <c r="R31" s="631" t="s">
        <v>25</v>
      </c>
      <c r="S31" s="632">
        <f t="shared" si="10"/>
        <v>100</v>
      </c>
      <c r="T31" s="631" t="s">
        <v>25</v>
      </c>
      <c r="U31" s="632">
        <f t="shared" si="11"/>
        <v>100</v>
      </c>
      <c r="V31" s="631" t="s">
        <v>25</v>
      </c>
      <c r="W31" s="632">
        <f t="shared" si="12"/>
        <v>100</v>
      </c>
      <c r="X31" s="1333"/>
      <c r="Y31" s="3546"/>
      <c r="Z31" s="1334">
        <f t="shared" si="13"/>
        <v>111</v>
      </c>
      <c r="AA31" s="1335">
        <f t="shared" si="3"/>
        <v>1</v>
      </c>
      <c r="AB31" s="1335">
        <f t="shared" si="4"/>
        <v>1</v>
      </c>
      <c r="AC31" s="1335">
        <f t="shared" si="5"/>
        <v>1</v>
      </c>
    </row>
    <row r="32" spans="1:29" ht="15">
      <c r="A32" s="556"/>
      <c r="B32" s="1594">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548" t="s">
        <v>2274</v>
      </c>
      <c r="Q32" s="1332">
        <f t="shared" si="8"/>
        <v>111</v>
      </c>
      <c r="R32" s="631" t="s">
        <v>25</v>
      </c>
      <c r="S32" s="632">
        <f t="shared" si="10"/>
        <v>100</v>
      </c>
      <c r="T32" s="631" t="s">
        <v>25</v>
      </c>
      <c r="U32" s="632">
        <f t="shared" si="11"/>
        <v>100</v>
      </c>
      <c r="V32" s="631" t="s">
        <v>25</v>
      </c>
      <c r="W32" s="632">
        <f t="shared" si="12"/>
        <v>100</v>
      </c>
      <c r="X32" s="1333"/>
      <c r="Y32" s="3549" t="s">
        <v>2274</v>
      </c>
      <c r="Z32" s="1334">
        <f t="shared" si="13"/>
        <v>111</v>
      </c>
      <c r="AA32" s="1335">
        <f t="shared" si="3"/>
        <v>1</v>
      </c>
      <c r="AB32" s="1335">
        <f t="shared" si="4"/>
        <v>1</v>
      </c>
      <c r="AC32" s="1335">
        <f t="shared" si="5"/>
        <v>1</v>
      </c>
    </row>
    <row r="33" spans="1:29" s="359" customFormat="1" ht="15.75" thickBot="1">
      <c r="A33" s="557"/>
      <c r="B33" s="1595">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549"/>
      <c r="Q33" s="1332">
        <f t="shared" si="8"/>
        <v>111</v>
      </c>
      <c r="R33" s="634" t="s">
        <v>25</v>
      </c>
      <c r="S33" s="635">
        <f t="shared" si="10"/>
        <v>100</v>
      </c>
      <c r="T33" s="634" t="s">
        <v>25</v>
      </c>
      <c r="U33" s="635">
        <f t="shared" si="11"/>
        <v>100</v>
      </c>
      <c r="V33" s="634" t="s">
        <v>25</v>
      </c>
      <c r="W33" s="635">
        <f t="shared" si="12"/>
        <v>100</v>
      </c>
      <c r="X33" s="636"/>
      <c r="Y33" s="3549"/>
      <c r="Z33" s="637">
        <f t="shared" si="13"/>
        <v>111</v>
      </c>
      <c r="AA33" s="1335">
        <f t="shared" si="3"/>
        <v>1</v>
      </c>
      <c r="AB33" s="1335">
        <f t="shared" si="4"/>
        <v>1</v>
      </c>
      <c r="AC33" s="1335">
        <f t="shared" si="5"/>
        <v>1</v>
      </c>
    </row>
    <row r="34" spans="1:29" ht="1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549"/>
      <c r="Q34" s="1332" t="str">
        <f>B34</f>
        <v>宗地面积</v>
      </c>
      <c r="R34" s="631" t="s">
        <v>25</v>
      </c>
      <c r="S34" s="632" t="e">
        <f t="shared" si="10"/>
        <v>#N/A</v>
      </c>
      <c r="T34" s="631" t="s">
        <v>25</v>
      </c>
      <c r="U34" s="632" t="e">
        <f t="shared" si="11"/>
        <v>#N/A</v>
      </c>
      <c r="V34" s="631" t="s">
        <v>25</v>
      </c>
      <c r="W34" s="632" t="e">
        <f t="shared" si="12"/>
        <v>#N/A</v>
      </c>
      <c r="X34" s="1333"/>
      <c r="Y34" s="3549"/>
      <c r="Z34" s="1334" t="str">
        <f t="shared" si="13"/>
        <v>宗地面积</v>
      </c>
      <c r="AA34" s="1335" t="e">
        <f t="shared" si="3"/>
        <v>#N/A</v>
      </c>
      <c r="AB34" s="1335" t="e">
        <f t="shared" si="4"/>
        <v>#N/A</v>
      </c>
      <c r="AC34" s="1335" t="e">
        <f t="shared" si="5"/>
        <v>#N/A</v>
      </c>
    </row>
    <row r="35" spans="1:29" ht="15">
      <c r="A35" s="360"/>
      <c r="B35" s="313" t="s">
        <v>2449</v>
      </c>
      <c r="C35" s="1566"/>
      <c r="D35" s="325">
        <v>100</v>
      </c>
      <c r="E35" s="1566"/>
      <c r="F35" s="325">
        <f>SUMIF(110:110,E35,111:111)-SUMIF(110:110,C35,111:111)+100</f>
        <v>100</v>
      </c>
      <c r="G35" s="1566"/>
      <c r="H35" s="325">
        <f>SUMIF(110:110,G35,111:111)-SUMIF(110:110,C35,111:111)+100</f>
        <v>100</v>
      </c>
      <c r="I35" s="1566"/>
      <c r="J35" s="325">
        <f>SUMIF(110:110,I35,111:111)-SUMIF(110:110,C35,111:111)+100</f>
        <v>100</v>
      </c>
      <c r="K35" s="498"/>
      <c r="L35" s="3029"/>
      <c r="M35" s="3020"/>
      <c r="N35" s="3020"/>
      <c r="O35" s="3028"/>
      <c r="P35" s="3549"/>
      <c r="Q35" s="1332" t="str">
        <f t="shared" ref="Q35:Q40" si="14">B35</f>
        <v>宗地形状</v>
      </c>
      <c r="R35" s="631" t="s">
        <v>25</v>
      </c>
      <c r="S35" s="632">
        <f t="shared" si="10"/>
        <v>100</v>
      </c>
      <c r="T35" s="631" t="s">
        <v>25</v>
      </c>
      <c r="U35" s="632">
        <f t="shared" si="11"/>
        <v>100</v>
      </c>
      <c r="V35" s="631" t="s">
        <v>25</v>
      </c>
      <c r="W35" s="632">
        <f t="shared" si="12"/>
        <v>100</v>
      </c>
      <c r="X35" s="1333"/>
      <c r="Y35" s="3549"/>
      <c r="Z35" s="1334" t="str">
        <f t="shared" si="13"/>
        <v>宗地形状</v>
      </c>
      <c r="AA35" s="1335">
        <f t="shared" si="3"/>
        <v>1</v>
      </c>
      <c r="AB35" s="1335">
        <f t="shared" si="4"/>
        <v>1</v>
      </c>
      <c r="AC35" s="1335">
        <f t="shared" si="5"/>
        <v>1</v>
      </c>
    </row>
    <row r="36" spans="1:29" s="25" customFormat="1" ht="15">
      <c r="A36" s="361"/>
      <c r="B36" s="313" t="s">
        <v>2451</v>
      </c>
      <c r="C36" s="1584"/>
      <c r="D36" s="29">
        <v>100</v>
      </c>
      <c r="E36" s="1584"/>
      <c r="F36" s="325">
        <f>SUMIF(112:112,E36,113:113)-SUMIF(112:112,C36,113:113)+100</f>
        <v>100</v>
      </c>
      <c r="G36" s="1584"/>
      <c r="H36" s="325">
        <f>SUMIF(112:112,G36,113:113)-SUMIF(112:112,C36,113:113)+100</f>
        <v>100</v>
      </c>
      <c r="I36" s="1584"/>
      <c r="J36" s="325">
        <f>SUMIF(112:112,I36,113:113)-SUMIF(112:112,C36,113:113)+100</f>
        <v>100</v>
      </c>
      <c r="K36" s="498"/>
      <c r="L36" s="3021"/>
      <c r="M36" s="3022"/>
      <c r="N36" s="3022"/>
      <c r="O36" s="3023"/>
      <c r="P36" s="3549"/>
      <c r="Q36" s="1332" t="str">
        <f t="shared" si="14"/>
        <v>宗地开发程度</v>
      </c>
      <c r="R36" s="627" t="s">
        <v>25</v>
      </c>
      <c r="S36" s="628">
        <f t="shared" si="10"/>
        <v>100</v>
      </c>
      <c r="T36" s="627" t="s">
        <v>25</v>
      </c>
      <c r="U36" s="628">
        <f t="shared" si="11"/>
        <v>100</v>
      </c>
      <c r="V36" s="627" t="s">
        <v>25</v>
      </c>
      <c r="W36" s="628">
        <f t="shared" si="12"/>
        <v>100</v>
      </c>
      <c r="X36" s="629"/>
      <c r="Y36" s="3549"/>
      <c r="Z36" s="19" t="str">
        <f t="shared" si="13"/>
        <v>宗地开发程度</v>
      </c>
      <c r="AA36" s="630">
        <f t="shared" si="3"/>
        <v>1</v>
      </c>
      <c r="AB36" s="630">
        <f t="shared" si="4"/>
        <v>1</v>
      </c>
      <c r="AC36" s="630">
        <f t="shared" si="5"/>
        <v>1</v>
      </c>
    </row>
    <row r="37" spans="1:29" ht="15">
      <c r="A37" s="360"/>
      <c r="B37" s="313" t="s">
        <v>2452</v>
      </c>
      <c r="C37" s="1566"/>
      <c r="D37" s="325">
        <v>100</v>
      </c>
      <c r="E37" s="1566"/>
      <c r="F37" s="325">
        <f>SUMIF(114:114,E37,115:115)-SUMIF(114:114,C37,115:115)+100</f>
        <v>100</v>
      </c>
      <c r="G37" s="1566"/>
      <c r="H37" s="325">
        <f>SUMIF(114:114,G37,115:115)-SUMIF(114:114,C37,115:115)+100</f>
        <v>100</v>
      </c>
      <c r="I37" s="1566"/>
      <c r="J37" s="325">
        <f>SUMIF(114:114,I37,115:115)-SUMIF(114:114,C37,115:115)+100</f>
        <v>100</v>
      </c>
      <c r="K37" s="498"/>
      <c r="L37" s="3029"/>
      <c r="M37" s="3020"/>
      <c r="N37" s="3020"/>
      <c r="O37" s="3028"/>
      <c r="P37" s="3549" t="s">
        <v>2274</v>
      </c>
      <c r="Q37" s="1332" t="str">
        <f t="shared" si="14"/>
        <v>工程地质条件</v>
      </c>
      <c r="R37" s="631" t="s">
        <v>25</v>
      </c>
      <c r="S37" s="632">
        <f t="shared" si="10"/>
        <v>100</v>
      </c>
      <c r="T37" s="631" t="s">
        <v>25</v>
      </c>
      <c r="U37" s="632">
        <f t="shared" si="11"/>
        <v>100</v>
      </c>
      <c r="V37" s="631" t="s">
        <v>25</v>
      </c>
      <c r="W37" s="632">
        <f t="shared" si="12"/>
        <v>100</v>
      </c>
      <c r="X37" s="1333"/>
      <c r="Y37" s="3549" t="s">
        <v>2274</v>
      </c>
      <c r="Z37" s="1334" t="str">
        <f t="shared" si="13"/>
        <v>工程地质条件</v>
      </c>
      <c r="AA37" s="1335">
        <f t="shared" si="3"/>
        <v>1</v>
      </c>
      <c r="AB37" s="1335">
        <f t="shared" si="4"/>
        <v>1</v>
      </c>
      <c r="AC37" s="1335">
        <f t="shared" si="5"/>
        <v>1</v>
      </c>
    </row>
    <row r="38" spans="1:29" ht="15">
      <c r="A38" s="360"/>
      <c r="B38" s="1585">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549"/>
      <c r="Q38" s="1332">
        <f t="shared" si="14"/>
        <v>111</v>
      </c>
      <c r="R38" s="631" t="s">
        <v>25</v>
      </c>
      <c r="S38" s="632">
        <f t="shared" si="10"/>
        <v>100</v>
      </c>
      <c r="T38" s="631" t="s">
        <v>25</v>
      </c>
      <c r="U38" s="632">
        <f t="shared" si="11"/>
        <v>100</v>
      </c>
      <c r="V38" s="631" t="s">
        <v>25</v>
      </c>
      <c r="W38" s="632">
        <f t="shared" si="12"/>
        <v>100</v>
      </c>
      <c r="X38" s="1333"/>
      <c r="Y38" s="3549"/>
      <c r="Z38" s="1334">
        <f t="shared" si="13"/>
        <v>111</v>
      </c>
      <c r="AA38" s="1335">
        <f t="shared" si="3"/>
        <v>1</v>
      </c>
      <c r="AB38" s="1335">
        <f t="shared" si="4"/>
        <v>1</v>
      </c>
      <c r="AC38" s="1335">
        <f t="shared" si="5"/>
        <v>1</v>
      </c>
    </row>
    <row r="39" spans="1:29" ht="15">
      <c r="A39" s="360"/>
      <c r="B39" s="1585">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549"/>
      <c r="Q39" s="1332">
        <f t="shared" si="14"/>
        <v>111</v>
      </c>
      <c r="R39" s="631" t="s">
        <v>25</v>
      </c>
      <c r="S39" s="632">
        <f t="shared" si="10"/>
        <v>100</v>
      </c>
      <c r="T39" s="631" t="s">
        <v>25</v>
      </c>
      <c r="U39" s="632">
        <f t="shared" si="11"/>
        <v>100</v>
      </c>
      <c r="V39" s="631" t="s">
        <v>25</v>
      </c>
      <c r="W39" s="632">
        <f t="shared" si="12"/>
        <v>100</v>
      </c>
      <c r="X39" s="1333"/>
      <c r="Y39" s="3549"/>
      <c r="Z39" s="1334">
        <f t="shared" si="13"/>
        <v>111</v>
      </c>
      <c r="AA39" s="1335">
        <f t="shared" si="3"/>
        <v>1</v>
      </c>
      <c r="AB39" s="1335">
        <f t="shared" si="4"/>
        <v>1</v>
      </c>
      <c r="AC39" s="1335">
        <f t="shared" si="5"/>
        <v>1</v>
      </c>
    </row>
    <row r="40" spans="1:29" s="359" customFormat="1" ht="15.75" thickBot="1">
      <c r="A40" s="356"/>
      <c r="B40" s="1585">
        <v>111</v>
      </c>
      <c r="C40" s="1586"/>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549"/>
      <c r="Q40" s="1332">
        <f t="shared" si="14"/>
        <v>111</v>
      </c>
      <c r="R40" s="634" t="s">
        <v>25</v>
      </c>
      <c r="S40" s="635">
        <f t="shared" si="10"/>
        <v>100</v>
      </c>
      <c r="T40" s="634" t="s">
        <v>25</v>
      </c>
      <c r="U40" s="635">
        <f t="shared" si="11"/>
        <v>100</v>
      </c>
      <c r="V40" s="634" t="s">
        <v>25</v>
      </c>
      <c r="W40" s="635">
        <f t="shared" si="12"/>
        <v>100</v>
      </c>
      <c r="X40" s="636"/>
      <c r="Y40" s="3549"/>
      <c r="Z40" s="637">
        <f t="shared" si="13"/>
        <v>111</v>
      </c>
      <c r="AA40" s="1335">
        <f t="shared" si="3"/>
        <v>1</v>
      </c>
      <c r="AB40" s="1335">
        <f t="shared" si="4"/>
        <v>1</v>
      </c>
      <c r="AC40" s="1335">
        <f t="shared" si="5"/>
        <v>1</v>
      </c>
    </row>
    <row r="41" spans="1:29" ht="15">
      <c r="A41" s="367" t="s">
        <v>2416</v>
      </c>
      <c r="B41" s="1587" t="s">
        <v>2491</v>
      </c>
      <c r="C41" s="562" t="s">
        <v>1</v>
      </c>
      <c r="D41" s="369"/>
      <c r="E41" s="370"/>
      <c r="F41" s="371"/>
      <c r="G41" s="372"/>
      <c r="H41" s="373"/>
      <c r="I41" s="370"/>
      <c r="J41" s="373"/>
      <c r="K41" s="640"/>
      <c r="L41" s="3031"/>
      <c r="M41" s="3020"/>
      <c r="N41" s="3020"/>
      <c r="P41" s="3517" t="str">
        <f>A41</f>
        <v>成交单价</v>
      </c>
      <c r="Q41" s="3517"/>
      <c r="R41" s="3541">
        <f>E41</f>
        <v>0</v>
      </c>
      <c r="S41" s="3541"/>
      <c r="T41" s="3541">
        <f>G41</f>
        <v>0</v>
      </c>
      <c r="U41" s="3541"/>
      <c r="V41" s="3541">
        <f>I41</f>
        <v>0</v>
      </c>
      <c r="W41" s="3541"/>
      <c r="X41" s="618"/>
      <c r="Y41" s="638"/>
      <c r="Z41" s="618"/>
      <c r="AA41" s="618"/>
      <c r="AB41" s="618"/>
      <c r="AC41" s="618"/>
    </row>
    <row r="42" spans="1:29" ht="15.75" thickBot="1">
      <c r="A42" s="374" t="s">
        <v>2369</v>
      </c>
      <c r="B42" s="563"/>
      <c r="C42" s="377" t="e">
        <f>R43</f>
        <v>#DIV/0!</v>
      </c>
      <c r="D42" s="1792" t="s">
        <v>2742</v>
      </c>
      <c r="E42" s="377" t="e">
        <f>R42</f>
        <v>#DIV/0!</v>
      </c>
      <c r="F42" s="1794"/>
      <c r="G42" s="376" t="e">
        <f>T42</f>
        <v>#DIV/0!</v>
      </c>
      <c r="H42" s="1794"/>
      <c r="I42" s="377" t="e">
        <f>V42</f>
        <v>#DIV/0!</v>
      </c>
      <c r="J42" s="1794"/>
      <c r="K42" s="2506">
        <f>F42+H42+J42</f>
        <v>0</v>
      </c>
      <c r="L42" s="3031"/>
      <c r="M42" s="3020"/>
      <c r="N42" s="3020"/>
      <c r="P42" s="3517" t="str">
        <f>A42</f>
        <v>比较价值（元/平方米）</v>
      </c>
      <c r="Q42" s="3517"/>
      <c r="R42" s="3558" t="e">
        <f>ROUND(PRODUCT(R41,AA7:AA40),0)</f>
        <v>#DIV/0!</v>
      </c>
      <c r="S42" s="3558"/>
      <c r="T42" s="3558" t="e">
        <f>ROUND(PRODUCT(T41,AB7:AB40),0)</f>
        <v>#DIV/0!</v>
      </c>
      <c r="U42" s="3558"/>
      <c r="V42" s="3558" t="e">
        <f>ROUND(PRODUCT(V41,AC7:AC40),0)</f>
        <v>#DIV/0!</v>
      </c>
      <c r="W42" s="3558"/>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1"/>
      <c r="M43" s="3020"/>
      <c r="N43" s="3020"/>
      <c r="P43" s="3552" t="str">
        <f>A43</f>
        <v>估价对象XX用房的比较价值（楼面单价，元/平方米）</v>
      </c>
      <c r="Q43" s="3553"/>
      <c r="R43" s="3557" t="e">
        <f>ROUND(IF(D42="简单平均",AVERAGE(R42:W42),R42*F42+T42*H42+V42*J42),0)</f>
        <v>#DIV/0!</v>
      </c>
      <c r="S43" s="3557"/>
      <c r="T43" s="3557"/>
      <c r="U43" s="3557"/>
      <c r="V43" s="3557"/>
      <c r="W43" s="3557"/>
      <c r="X43" s="618"/>
      <c r="Y43" s="618"/>
      <c r="Z43" s="618"/>
      <c r="AA43" s="618"/>
      <c r="AB43" s="618"/>
      <c r="AC43" s="618"/>
    </row>
    <row r="44" spans="1:29">
      <c r="G44" s="3034"/>
      <c r="M44" s="3020"/>
      <c r="N44" s="3020"/>
    </row>
    <row r="45" spans="1:29">
      <c r="M45" s="3020"/>
      <c r="N45" s="3020"/>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2454</v>
      </c>
      <c r="B50" s="565" t="s">
        <v>2455</v>
      </c>
      <c r="C50" s="1588" t="s">
        <v>2456</v>
      </c>
      <c r="D50" s="1589" t="s">
        <v>2457</v>
      </c>
      <c r="E50" s="566" t="s">
        <v>2458</v>
      </c>
      <c r="F50" s="567" t="s">
        <v>2459</v>
      </c>
      <c r="G50" s="1334" t="s">
        <v>2492</v>
      </c>
      <c r="H50" s="1334" t="str">
        <f>项目基本情况!G8</f>
        <v>XX</v>
      </c>
      <c r="I50" s="1308"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0" t="str">
        <f>YEAR(C7)&amp;"-"&amp;MONTH(C7)&amp;"-1"</f>
        <v>2021-5-1</v>
      </c>
      <c r="D63" s="1180">
        <f>EDATE(C63,-3)</f>
        <v>44228</v>
      </c>
      <c r="E63" s="1180">
        <f t="shared" ref="E63:O63" si="18">EDATE(D63,-3)</f>
        <v>44136</v>
      </c>
      <c r="F63" s="1180">
        <f t="shared" si="18"/>
        <v>44044</v>
      </c>
      <c r="G63" s="1180">
        <f t="shared" si="18"/>
        <v>43952</v>
      </c>
      <c r="H63" s="1180">
        <f t="shared" si="18"/>
        <v>43862</v>
      </c>
      <c r="I63" s="1180">
        <f t="shared" si="18"/>
        <v>43770</v>
      </c>
      <c r="J63" s="1180">
        <f t="shared" si="18"/>
        <v>43678</v>
      </c>
      <c r="K63" s="1180">
        <f t="shared" si="18"/>
        <v>43586</v>
      </c>
      <c r="L63" s="1180">
        <f t="shared" si="18"/>
        <v>43497</v>
      </c>
      <c r="M63" s="1180">
        <f t="shared" si="18"/>
        <v>43405</v>
      </c>
      <c r="N63" s="1180">
        <f t="shared" si="18"/>
        <v>43313</v>
      </c>
      <c r="O63" s="1180">
        <f t="shared" si="18"/>
        <v>43221</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1" t="s">
        <v>2473</v>
      </c>
      <c r="B65" s="1124"/>
      <c r="C65" s="1181" t="str">
        <f>YEAR(C63)&amp;"-"&amp;ROUNDUP(MONTH(C63)/3,0)</f>
        <v>2021-2</v>
      </c>
      <c r="D65" s="1181" t="str">
        <f t="shared" ref="D65:O65" si="19">YEAR(D63)&amp;"-"&amp;ROUNDUP(MONTH(D63)/3,0)</f>
        <v>2021-1</v>
      </c>
      <c r="E65" s="1181" t="str">
        <f t="shared" si="19"/>
        <v>2020-4</v>
      </c>
      <c r="F65" s="1181" t="str">
        <f t="shared" si="19"/>
        <v>2020-3</v>
      </c>
      <c r="G65" s="1181" t="str">
        <f t="shared" si="19"/>
        <v>2020-2</v>
      </c>
      <c r="H65" s="1181" t="str">
        <f t="shared" si="19"/>
        <v>2020-1</v>
      </c>
      <c r="I65" s="1181" t="str">
        <f t="shared" si="19"/>
        <v>2019-4</v>
      </c>
      <c r="J65" s="1181" t="str">
        <f t="shared" si="19"/>
        <v>2019-3</v>
      </c>
      <c r="K65" s="1181" t="str">
        <f t="shared" si="19"/>
        <v>2019-2</v>
      </c>
      <c r="L65" s="1181" t="str">
        <f t="shared" si="19"/>
        <v>2019-1</v>
      </c>
      <c r="M65" s="1181" t="str">
        <f t="shared" si="19"/>
        <v>2018-4</v>
      </c>
      <c r="N65" s="1181" t="str">
        <f t="shared" si="19"/>
        <v>2018-3</v>
      </c>
      <c r="O65" s="1181" t="str">
        <f t="shared" si="19"/>
        <v>2018-2</v>
      </c>
      <c r="P65" s="393"/>
    </row>
    <row r="66" spans="1:17" s="25" customFormat="1" ht="33.75" customHeight="1">
      <c r="A66" s="1596" t="s">
        <v>2493</v>
      </c>
      <c r="B66" s="200" t="str">
        <f>"北京市平均增长率"&amp;TEXT(基准地价修正!P24,"0.00%")</f>
        <v>北京市平均增长率1.25%</v>
      </c>
      <c r="C66" s="491">
        <v>100</v>
      </c>
      <c r="D66" s="483"/>
      <c r="E66" s="483"/>
      <c r="F66" s="483"/>
      <c r="G66" s="483"/>
      <c r="H66" s="483"/>
      <c r="I66" s="483"/>
      <c r="J66" s="483"/>
      <c r="K66" s="483"/>
      <c r="L66" s="483"/>
      <c r="M66" s="1179"/>
      <c r="N66" s="483"/>
      <c r="O66" s="1182"/>
      <c r="P66" s="390"/>
    </row>
    <row r="67" spans="1:17" s="25" customFormat="1" ht="15.75" thickBot="1">
      <c r="A67" s="400" t="s">
        <v>2294</v>
      </c>
      <c r="B67" s="401"/>
      <c r="C67" s="402"/>
      <c r="D67" s="403"/>
      <c r="E67" s="403"/>
      <c r="F67" s="403"/>
      <c r="G67" s="403"/>
      <c r="H67" s="403"/>
      <c r="I67" s="403"/>
      <c r="J67" s="403"/>
      <c r="K67" s="403"/>
      <c r="L67" s="403"/>
      <c r="M67" s="404"/>
      <c r="N67" s="403"/>
      <c r="O67" s="1183"/>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7"/>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1" t="str">
        <f t="shared" ref="C107:L107" si="25">C108&amp;"(含)"&amp;"-"&amp;D108</f>
        <v>(含)-</v>
      </c>
      <c r="D107" s="1311" t="str">
        <f t="shared" si="25"/>
        <v>(含)-</v>
      </c>
      <c r="E107" s="1311" t="str">
        <f t="shared" si="25"/>
        <v>(含)-</v>
      </c>
      <c r="F107" s="1311" t="str">
        <f t="shared" si="25"/>
        <v>(含)-</v>
      </c>
      <c r="G107" s="1311" t="str">
        <f t="shared" si="25"/>
        <v>(含)-</v>
      </c>
      <c r="H107" s="1311" t="str">
        <f t="shared" si="25"/>
        <v>(含)-</v>
      </c>
      <c r="I107" s="1311" t="str">
        <f t="shared" si="25"/>
        <v>(含)-</v>
      </c>
      <c r="J107" s="1311" t="str">
        <f t="shared" si="25"/>
        <v>(含)-</v>
      </c>
      <c r="K107" s="1311" t="str">
        <f t="shared" si="25"/>
        <v>(含)-</v>
      </c>
      <c r="L107" s="1312" t="str">
        <f t="shared" si="25"/>
        <v>(含)-</v>
      </c>
      <c r="M107" s="131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7"/>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9" t="s">
        <v>779</v>
      </c>
      <c r="B1" s="355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8.7999999999999995E-2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19790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3" t="s">
        <v>571</v>
      </c>
      <c r="C61" s="682" t="s">
        <v>572</v>
      </c>
      <c r="D61" s="682" t="s">
        <v>573</v>
      </c>
      <c r="E61" s="781">
        <v>0.5</v>
      </c>
      <c r="F61" s="768">
        <v>80</v>
      </c>
    </row>
    <row r="62" spans="1:8" s="764" customFormat="1" ht="24">
      <c r="A62" s="768">
        <v>2</v>
      </c>
      <c r="B62" s="3563"/>
      <c r="C62" s="682" t="s">
        <v>574</v>
      </c>
      <c r="D62" s="682" t="s">
        <v>575</v>
      </c>
      <c r="E62" s="781">
        <v>0.5</v>
      </c>
      <c r="F62" s="768">
        <v>80</v>
      </c>
    </row>
    <row r="63" spans="1:8" s="764" customFormat="1" ht="36">
      <c r="A63" s="768">
        <v>3</v>
      </c>
      <c r="B63" s="3563"/>
      <c r="C63" s="682" t="s">
        <v>576</v>
      </c>
      <c r="D63" s="682" t="s">
        <v>577</v>
      </c>
      <c r="E63" s="781">
        <v>0.5</v>
      </c>
      <c r="F63" s="768">
        <v>80</v>
      </c>
    </row>
    <row r="64" spans="1:8" s="764" customFormat="1" ht="36">
      <c r="A64" s="768">
        <v>4</v>
      </c>
      <c r="B64" s="3563"/>
      <c r="C64" s="682" t="s">
        <v>578</v>
      </c>
      <c r="D64" s="682" t="s">
        <v>579</v>
      </c>
      <c r="E64" s="781">
        <v>0.4</v>
      </c>
      <c r="F64" s="768">
        <v>60</v>
      </c>
    </row>
    <row r="65" spans="1:6" s="764" customFormat="1" ht="36">
      <c r="A65" s="768">
        <v>5</v>
      </c>
      <c r="B65" s="3563"/>
      <c r="C65" s="682" t="s">
        <v>580</v>
      </c>
      <c r="D65" s="682" t="s">
        <v>581</v>
      </c>
      <c r="E65" s="781">
        <v>0.2</v>
      </c>
      <c r="F65" s="768">
        <v>30</v>
      </c>
    </row>
    <row r="66" spans="1:6" s="764" customFormat="1" ht="36">
      <c r="A66" s="768">
        <v>6</v>
      </c>
      <c r="B66" s="3563"/>
      <c r="C66" s="682" t="s">
        <v>582</v>
      </c>
      <c r="D66" s="682" t="s">
        <v>583</v>
      </c>
      <c r="E66" s="781">
        <v>0.3</v>
      </c>
      <c r="F66" s="768">
        <v>50</v>
      </c>
    </row>
    <row r="67" spans="1:6" s="764" customFormat="1" ht="36">
      <c r="A67" s="768">
        <v>7</v>
      </c>
      <c r="B67" s="3563"/>
      <c r="C67" s="682" t="s">
        <v>584</v>
      </c>
      <c r="D67" s="682" t="s">
        <v>585</v>
      </c>
      <c r="E67" s="781">
        <v>0.2</v>
      </c>
      <c r="F67" s="768">
        <v>30</v>
      </c>
    </row>
    <row r="68" spans="1:6" s="764" customFormat="1" ht="36">
      <c r="A68" s="768">
        <v>8</v>
      </c>
      <c r="B68" s="3563"/>
      <c r="C68" s="682" t="s">
        <v>586</v>
      </c>
      <c r="D68" s="682" t="s">
        <v>587</v>
      </c>
      <c r="E68" s="781">
        <v>0.2</v>
      </c>
      <c r="F68" s="768">
        <v>30</v>
      </c>
    </row>
    <row r="69" spans="1:6" s="764" customFormat="1" ht="36">
      <c r="A69" s="768">
        <v>9</v>
      </c>
      <c r="B69" s="3563"/>
      <c r="C69" s="682" t="s">
        <v>588</v>
      </c>
      <c r="D69" s="682" t="s">
        <v>589</v>
      </c>
      <c r="E69" s="781">
        <v>0.2</v>
      </c>
      <c r="F69" s="768">
        <v>30</v>
      </c>
    </row>
    <row r="70" spans="1:6" s="764" customFormat="1" ht="48">
      <c r="A70" s="768">
        <v>10</v>
      </c>
      <c r="B70" s="3563"/>
      <c r="C70" s="682" t="s">
        <v>590</v>
      </c>
      <c r="D70" s="682" t="s">
        <v>591</v>
      </c>
      <c r="E70" s="781">
        <v>0.2</v>
      </c>
      <c r="F70" s="768">
        <v>30</v>
      </c>
    </row>
    <row r="71" spans="1:6" s="764" customFormat="1" ht="48">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24">
      <c r="A73" s="768">
        <v>13</v>
      </c>
      <c r="B73" s="3563"/>
      <c r="C73" s="682" t="s">
        <v>596</v>
      </c>
      <c r="D73" s="682" t="s">
        <v>597</v>
      </c>
      <c r="E73" s="781">
        <v>0.4</v>
      </c>
      <c r="F73" s="768">
        <v>60</v>
      </c>
    </row>
    <row r="74" spans="1:6" s="764" customFormat="1" ht="24">
      <c r="A74" s="768">
        <v>14</v>
      </c>
      <c r="B74" s="3563"/>
      <c r="C74" s="682" t="s">
        <v>598</v>
      </c>
      <c r="D74" s="682" t="s">
        <v>599</v>
      </c>
      <c r="E74" s="781">
        <v>0.2</v>
      </c>
      <c r="F74" s="768">
        <v>30</v>
      </c>
    </row>
    <row r="75" spans="1:6" s="764" customFormat="1" ht="24">
      <c r="A75" s="768">
        <v>15</v>
      </c>
      <c r="B75" s="3563"/>
      <c r="C75" s="682" t="s">
        <v>600</v>
      </c>
      <c r="D75" s="682" t="s">
        <v>601</v>
      </c>
      <c r="E75" s="781">
        <v>0.2</v>
      </c>
      <c r="F75" s="768">
        <v>30</v>
      </c>
    </row>
    <row r="76" spans="1:6" s="764" customFormat="1" ht="24">
      <c r="A76" s="768">
        <v>16</v>
      </c>
      <c r="B76" s="3563" t="s">
        <v>602</v>
      </c>
      <c r="C76" s="682" t="s">
        <v>603</v>
      </c>
      <c r="D76" s="682" t="s">
        <v>604</v>
      </c>
      <c r="E76" s="781">
        <v>0.5</v>
      </c>
      <c r="F76" s="768">
        <v>80</v>
      </c>
    </row>
    <row r="77" spans="1:6" s="764" customFormat="1" ht="24">
      <c r="A77" s="768">
        <v>17</v>
      </c>
      <c r="B77" s="3563"/>
      <c r="C77" s="682" t="s">
        <v>605</v>
      </c>
      <c r="D77" s="682" t="s">
        <v>606</v>
      </c>
      <c r="E77" s="781">
        <v>0.5</v>
      </c>
      <c r="F77" s="768">
        <v>80</v>
      </c>
    </row>
    <row r="78" spans="1:6" s="764" customFormat="1" ht="24">
      <c r="A78" s="768">
        <v>18</v>
      </c>
      <c r="B78" s="3563"/>
      <c r="C78" s="682" t="s">
        <v>607</v>
      </c>
      <c r="D78" s="682" t="s">
        <v>608</v>
      </c>
      <c r="E78" s="781">
        <v>0.2</v>
      </c>
      <c r="F78" s="768">
        <v>30</v>
      </c>
    </row>
    <row r="79" spans="1:6" s="764" customFormat="1" ht="24">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48">
      <c r="A82" s="768">
        <v>22</v>
      </c>
      <c r="B82" s="3563"/>
      <c r="C82" s="682" t="s">
        <v>615</v>
      </c>
      <c r="D82" s="682" t="s">
        <v>616</v>
      </c>
      <c r="E82" s="781">
        <v>0.2</v>
      </c>
      <c r="F82" s="768">
        <v>30</v>
      </c>
    </row>
    <row r="83" spans="1:6" s="764" customFormat="1" ht="48">
      <c r="A83" s="768">
        <v>23</v>
      </c>
      <c r="B83" s="3563"/>
      <c r="C83" s="682" t="s">
        <v>617</v>
      </c>
      <c r="D83" s="682" t="s">
        <v>618</v>
      </c>
      <c r="E83" s="781">
        <v>0.2</v>
      </c>
      <c r="F83" s="768">
        <v>30</v>
      </c>
    </row>
    <row r="84" spans="1:6" s="764" customFormat="1" ht="36">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24">
      <c r="A89" s="768">
        <v>29</v>
      </c>
      <c r="B89" s="3563"/>
      <c r="C89" s="682" t="s">
        <v>629</v>
      </c>
      <c r="D89" s="682" t="s">
        <v>630</v>
      </c>
      <c r="E89" s="781">
        <v>0.2</v>
      </c>
      <c r="F89" s="768">
        <v>30</v>
      </c>
    </row>
    <row r="90" spans="1:6" s="764" customFormat="1" ht="24">
      <c r="A90" s="768">
        <v>30</v>
      </c>
      <c r="B90" s="3563"/>
      <c r="C90" s="682" t="s">
        <v>631</v>
      </c>
      <c r="D90" s="682" t="s">
        <v>632</v>
      </c>
      <c r="E90" s="781">
        <v>0.2</v>
      </c>
      <c r="F90" s="768">
        <v>30</v>
      </c>
    </row>
    <row r="91" spans="1:6" s="764" customFormat="1" ht="36">
      <c r="A91" s="768">
        <v>31</v>
      </c>
      <c r="B91" s="3563"/>
      <c r="C91" s="682" t="s">
        <v>633</v>
      </c>
      <c r="D91" s="682" t="s">
        <v>634</v>
      </c>
      <c r="E91" s="781">
        <v>0.2</v>
      </c>
      <c r="F91" s="768">
        <v>30</v>
      </c>
    </row>
    <row r="92" spans="1:6" s="764" customFormat="1" ht="24">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48">
      <c r="A94" s="768">
        <v>34</v>
      </c>
      <c r="B94" s="3563"/>
      <c r="C94" s="768" t="s">
        <v>640</v>
      </c>
      <c r="D94" s="682" t="s">
        <v>641</v>
      </c>
      <c r="E94" s="781">
        <v>0.2</v>
      </c>
      <c r="F94" s="768">
        <v>30</v>
      </c>
    </row>
    <row r="95" spans="1:6" s="764" customFormat="1" ht="36">
      <c r="A95" s="768">
        <v>35</v>
      </c>
      <c r="B95" s="3563"/>
      <c r="C95" s="768" t="s">
        <v>642</v>
      </c>
      <c r="D95" s="682" t="s">
        <v>643</v>
      </c>
      <c r="E95" s="781">
        <v>0.2</v>
      </c>
      <c r="F95" s="768">
        <v>30</v>
      </c>
    </row>
    <row r="96" spans="1:6" s="764" customFormat="1" ht="48">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24">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3" t="s">
        <v>665</v>
      </c>
      <c r="C105" s="768" t="s">
        <v>666</v>
      </c>
      <c r="D105" s="682" t="s">
        <v>667</v>
      </c>
      <c r="E105" s="781">
        <v>0.2</v>
      </c>
      <c r="F105" s="768">
        <v>30</v>
      </c>
    </row>
    <row r="106" spans="1:6" s="764" customFormat="1" ht="36">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36">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3" t="s">
        <v>681</v>
      </c>
      <c r="C111" s="768" t="s">
        <v>682</v>
      </c>
      <c r="D111" s="682" t="s">
        <v>683</v>
      </c>
      <c r="E111" s="781">
        <v>0.2</v>
      </c>
      <c r="F111" s="768">
        <v>30</v>
      </c>
    </row>
    <row r="112" spans="1:6" s="764" customFormat="1" ht="24">
      <c r="A112" s="768">
        <v>52</v>
      </c>
      <c r="B112" s="3563"/>
      <c r="C112" s="768" t="s">
        <v>684</v>
      </c>
      <c r="D112" s="682" t="s">
        <v>685</v>
      </c>
      <c r="E112" s="781">
        <v>0.2</v>
      </c>
      <c r="F112" s="768">
        <v>30</v>
      </c>
    </row>
    <row r="113" spans="1:6" s="764" customFormat="1" ht="24">
      <c r="A113" s="768">
        <v>53</v>
      </c>
      <c r="B113" s="356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0.92410000000000003</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topLeftCell="C1" zoomScale="80" zoomScaleNormal="80" workbookViewId="0">
      <selection activeCell="K34" sqref="K34"/>
    </sheetView>
  </sheetViews>
  <sheetFormatPr defaultColWidth="9" defaultRowHeight="12.75"/>
  <cols>
    <col min="1" max="1" width="9" style="2350"/>
    <col min="2" max="6" width="9" style="2350" customWidth="1"/>
    <col min="7" max="7" width="9" style="2393"/>
    <col min="8" max="8" width="9" style="2350"/>
    <col min="9" max="12" width="9" style="2350" customWidth="1"/>
    <col min="13" max="13" width="2.25" style="2350" customWidth="1"/>
    <col min="14" max="14" width="9" style="2393" customWidth="1"/>
    <col min="15" max="17" width="9" style="2350" customWidth="1"/>
    <col min="18" max="18" width="2.375" style="2350" customWidth="1"/>
    <col min="19" max="19" width="7.125" style="2393" customWidth="1"/>
    <col min="20" max="22" width="7.125" style="2350" customWidth="1"/>
    <col min="23" max="23" width="23.875" style="2350" customWidth="1"/>
    <col min="24" max="25" width="9" style="2350"/>
    <col min="26" max="27" width="11.625" style="2350" customWidth="1"/>
    <col min="28" max="28" width="9" style="2350"/>
    <col min="29" max="29" width="2" style="2350" customWidth="1"/>
    <col min="30" max="16384" width="9" style="2350"/>
  </cols>
  <sheetData>
    <row r="1" spans="1:34" s="2328" customFormat="1">
      <c r="B1" s="3569" t="s">
        <v>1020</v>
      </c>
      <c r="C1" s="3569"/>
      <c r="D1" s="3569"/>
      <c r="E1" s="3569"/>
      <c r="F1" s="3569"/>
      <c r="G1" s="3568" t="s">
        <v>1021</v>
      </c>
      <c r="H1" s="3568"/>
      <c r="I1" s="3568"/>
      <c r="J1" s="3568"/>
      <c r="K1" s="3568"/>
      <c r="L1" s="3568"/>
      <c r="N1" s="3568" t="s">
        <v>1022</v>
      </c>
      <c r="O1" s="3568"/>
      <c r="P1" s="3568"/>
      <c r="Q1" s="3568"/>
      <c r="S1" s="3568" t="s">
        <v>1023</v>
      </c>
      <c r="T1" s="3568"/>
      <c r="U1" s="3568"/>
      <c r="V1" s="3568"/>
      <c r="X1" s="3567" t="s">
        <v>1024</v>
      </c>
      <c r="Y1" s="3568"/>
      <c r="Z1" s="3568"/>
      <c r="AA1" s="3568"/>
      <c r="AB1" s="3568"/>
      <c r="AD1" s="3567" t="s">
        <v>1025</v>
      </c>
      <c r="AE1" s="3568"/>
      <c r="AF1" s="3568"/>
      <c r="AG1" s="3568"/>
      <c r="AH1" s="3568"/>
    </row>
    <row r="2" spans="1:34" s="2329" customFormat="1" ht="14.25" thickBot="1">
      <c r="B2" s="2330" t="s">
        <v>1026</v>
      </c>
      <c r="C2" s="2330" t="s">
        <v>1027</v>
      </c>
      <c r="D2" s="2331" t="s">
        <v>1028</v>
      </c>
      <c r="E2" s="2331" t="s">
        <v>1029</v>
      </c>
      <c r="F2" s="2330" t="s">
        <v>1030</v>
      </c>
      <c r="G2" s="2332"/>
      <c r="I2" s="2330" t="s">
        <v>1247</v>
      </c>
      <c r="J2" s="2331" t="s">
        <v>1248</v>
      </c>
      <c r="K2" s="2331" t="s">
        <v>1249</v>
      </c>
      <c r="L2" s="2330" t="s">
        <v>1250</v>
      </c>
      <c r="N2" s="2330" t="s">
        <v>1026</v>
      </c>
      <c r="O2" s="2331" t="s">
        <v>1251</v>
      </c>
      <c r="P2" s="2331" t="s">
        <v>728</v>
      </c>
      <c r="Q2" s="2330" t="s">
        <v>1030</v>
      </c>
      <c r="S2" s="2330" t="s">
        <v>1026</v>
      </c>
      <c r="T2" s="2331" t="s">
        <v>1251</v>
      </c>
      <c r="U2" s="2331" t="s">
        <v>728</v>
      </c>
      <c r="V2" s="2330" t="s">
        <v>1030</v>
      </c>
      <c r="X2" s="2330" t="s">
        <v>1031</v>
      </c>
      <c r="Y2" s="2330" t="s">
        <v>1032</v>
      </c>
      <c r="Z2" s="2331" t="s">
        <v>1033</v>
      </c>
      <c r="AA2" s="2331" t="s">
        <v>1034</v>
      </c>
      <c r="AB2" s="2330" t="s">
        <v>1035</v>
      </c>
      <c r="AD2" s="2330" t="s">
        <v>1031</v>
      </c>
      <c r="AE2" s="2330" t="s">
        <v>1032</v>
      </c>
      <c r="AF2" s="2331" t="s">
        <v>1033</v>
      </c>
      <c r="AG2" s="2331" t="s">
        <v>1034</v>
      </c>
      <c r="AH2" s="2330" t="s">
        <v>1035</v>
      </c>
    </row>
    <row r="3" spans="1:34" s="2340" customFormat="1" ht="14.25">
      <c r="A3" s="2333" t="s">
        <v>2703</v>
      </c>
      <c r="B3" s="2334"/>
      <c r="C3" s="2334"/>
      <c r="D3" s="2335"/>
      <c r="E3" s="2335"/>
      <c r="F3" s="2334"/>
      <c r="G3" s="2336"/>
      <c r="H3" s="2337"/>
      <c r="I3" s="2338">
        <f>ROUND(AVERAGE(I4:I34),2)</f>
        <v>1.73</v>
      </c>
      <c r="J3" s="2338">
        <f>ROUND(AVERAGE(J4:J34),2)</f>
        <v>1.0900000000000001</v>
      </c>
      <c r="K3" s="2338">
        <f>ROUND(AVERAGE(K4:K34),2)</f>
        <v>1.9</v>
      </c>
      <c r="L3" s="2339">
        <f>ROUND(AVERAGE(L4:L34),2)</f>
        <v>1.25</v>
      </c>
      <c r="N3" s="2336"/>
      <c r="S3" s="2336"/>
      <c r="W3" s="2341"/>
      <c r="X3" s="2342">
        <f>ROUND(SUMPRODUCT(PRODUCT(1+N3:N$33)),4)</f>
        <v>1.619</v>
      </c>
      <c r="Y3" s="2342">
        <f>ROUND(SUMPRODUCT(PRODUCT(1+O3:O$33)),4)</f>
        <v>1.3491</v>
      </c>
      <c r="Z3" s="2342">
        <f t="shared" ref="Z3:Z31" si="0">Y3</f>
        <v>1.3491</v>
      </c>
      <c r="AA3" s="2342">
        <f>ROUND(SUMPRODUCT(PRODUCT(1+P3:P$33)),4)</f>
        <v>1.6988000000000001</v>
      </c>
      <c r="AB3" s="2342">
        <f>ROUND(SUMPRODUCT(PRODUCT(1+Q3:Q$33)),4)</f>
        <v>1.4315</v>
      </c>
      <c r="AD3" s="2343">
        <f>ROUND(AVERAGE(I3:I$34)/100,4)</f>
        <v>1.7299999999999999E-2</v>
      </c>
      <c r="AE3" s="2343">
        <f>ROUND(AVERAGE(J3:J$34)/100,4)</f>
        <v>1.09E-2</v>
      </c>
      <c r="AF3" s="2343">
        <f t="shared" ref="AF3:AF22" si="1">AE3</f>
        <v>1.09E-2</v>
      </c>
      <c r="AG3" s="2343">
        <f>ROUND(AVERAGE(K3:K$34)/100,4)</f>
        <v>1.9E-2</v>
      </c>
      <c r="AH3" s="2343">
        <f>ROUND(AVERAGE(L3:L$34)/100,4)</f>
        <v>1.2500000000000001E-2</v>
      </c>
    </row>
    <row r="4" spans="1:34" s="2344" customFormat="1" ht="14.25">
      <c r="B4" s="2345"/>
      <c r="C4" s="2345"/>
      <c r="D4" s="2346"/>
      <c r="E4" s="2346"/>
      <c r="F4" s="2345"/>
      <c r="G4" s="2347"/>
      <c r="H4" s="2348"/>
      <c r="I4" s="2349"/>
      <c r="J4" s="2349"/>
      <c r="K4" s="2349"/>
      <c r="L4" s="2349"/>
      <c r="N4" s="2347"/>
      <c r="S4" s="2347"/>
      <c r="X4" s="2350"/>
      <c r="Y4" s="2350"/>
      <c r="Z4" s="2350"/>
      <c r="AA4" s="2350"/>
      <c r="AB4" s="2350"/>
      <c r="AD4" s="2351"/>
      <c r="AE4" s="2351"/>
      <c r="AF4" s="2351"/>
      <c r="AG4" s="2351"/>
      <c r="AH4" s="2351"/>
    </row>
    <row r="5" spans="1:34" s="2359" customFormat="1">
      <c r="A5" s="2352" t="s">
        <v>2890</v>
      </c>
      <c r="B5" s="2353">
        <f t="shared" ref="B5" si="2">B6*(1+N5)</f>
        <v>497.92799851020823</v>
      </c>
      <c r="C5" s="2353">
        <f t="shared" ref="C5" si="3">C6*(1+O5)</f>
        <v>347.77173663537445</v>
      </c>
      <c r="D5" s="2354">
        <f t="shared" ref="D5" si="4">C5</f>
        <v>347.77173663537445</v>
      </c>
      <c r="E5" s="2353">
        <f t="shared" ref="E5" si="5">E6*(1+P5)</f>
        <v>718.44695593258189</v>
      </c>
      <c r="F5" s="2353">
        <f t="shared" ref="F5" si="6">F6*(1+Q5)</f>
        <v>329.12600580153247</v>
      </c>
      <c r="G5" s="3153">
        <v>2021</v>
      </c>
      <c r="H5" s="2356">
        <v>2</v>
      </c>
      <c r="I5" s="2357">
        <v>0</v>
      </c>
      <c r="J5" s="2357">
        <v>0</v>
      </c>
      <c r="K5" s="2357">
        <v>0</v>
      </c>
      <c r="L5" s="2358">
        <v>0</v>
      </c>
      <c r="N5" s="2360">
        <f t="shared" ref="N5" si="7">I5/100</f>
        <v>0</v>
      </c>
      <c r="O5" s="2360">
        <f t="shared" ref="O5" si="8">J5/100</f>
        <v>0</v>
      </c>
      <c r="P5" s="2360">
        <f t="shared" ref="P5" si="9">K5/100</f>
        <v>0</v>
      </c>
      <c r="Q5" s="2360">
        <f t="shared" ref="Q5" si="10">L5/100</f>
        <v>0</v>
      </c>
      <c r="S5" s="2369"/>
      <c r="T5" s="2370"/>
      <c r="U5" s="2370"/>
      <c r="V5" s="2370"/>
      <c r="W5" s="2361" t="s">
        <v>2702</v>
      </c>
      <c r="X5" s="2362">
        <f>ROUND(SUMPRODUCT(PRODUCT(1+N5:N$33)),4)</f>
        <v>1.619</v>
      </c>
      <c r="Y5" s="2362">
        <f>ROUND(SUMPRODUCT(PRODUCT(1+O5:O$33)),4)</f>
        <v>1.3491</v>
      </c>
      <c r="Z5" s="2362">
        <f t="shared" ref="Z5" si="11">Y5</f>
        <v>1.3491</v>
      </c>
      <c r="AA5" s="2362">
        <f>ROUND(SUMPRODUCT(PRODUCT(1+P5:P$33)),4)</f>
        <v>1.6988000000000001</v>
      </c>
      <c r="AB5" s="2362">
        <f>ROUND(SUMPRODUCT(PRODUCT(1+Q5:Q$33)),4)</f>
        <v>1.4315</v>
      </c>
      <c r="AD5" s="2363">
        <f>ROUND(AVERAGE(I5:I$34)/100,4)</f>
        <v>1.7299999999999999E-2</v>
      </c>
      <c r="AE5" s="2363">
        <f>ROUND(AVERAGE(J5:J$34)/100,4)</f>
        <v>1.09E-2</v>
      </c>
      <c r="AF5" s="2363">
        <f t="shared" ref="AF5" si="12">AE5</f>
        <v>1.09E-2</v>
      </c>
      <c r="AG5" s="2363">
        <f>ROUND(AVERAGE(K5:K$34)/100,4)</f>
        <v>1.9E-2</v>
      </c>
      <c r="AH5" s="2363">
        <f>ROUND(AVERAGE(L5:L$34)/100,4)</f>
        <v>1.2500000000000001E-2</v>
      </c>
    </row>
    <row r="6" spans="1:34" s="2371" customFormat="1" ht="14.45" customHeight="1">
      <c r="A6" s="2364" t="s">
        <v>2889</v>
      </c>
      <c r="B6" s="2365">
        <f t="shared" ref="B6" si="13">B7*(1+N6)</f>
        <v>497.92799851020823</v>
      </c>
      <c r="C6" s="2365">
        <f t="shared" ref="C6" si="14">C7*(1+O6)</f>
        <v>347.77173663537445</v>
      </c>
      <c r="D6" s="2365">
        <f t="shared" ref="D6" si="15">C6</f>
        <v>347.77173663537445</v>
      </c>
      <c r="E6" s="2365">
        <f t="shared" ref="E6" si="16">E7*(1+P6)</f>
        <v>718.44695593258189</v>
      </c>
      <c r="F6" s="2365">
        <f t="shared" ref="F6" si="17">F7*(1+Q6)</f>
        <v>329.12600580153247</v>
      </c>
      <c r="G6" s="3153">
        <v>2021</v>
      </c>
      <c r="H6" s="2366">
        <v>1</v>
      </c>
      <c r="I6" s="3154">
        <v>0.97</v>
      </c>
      <c r="J6" s="3154">
        <v>0.16</v>
      </c>
      <c r="K6" s="3154">
        <v>1.1100000000000001</v>
      </c>
      <c r="L6" s="3155">
        <v>0.36</v>
      </c>
      <c r="M6" s="2368"/>
      <c r="N6" s="2369">
        <f t="shared" ref="N6" si="18">I6/100</f>
        <v>9.7000000000000003E-3</v>
      </c>
      <c r="O6" s="2370">
        <f t="shared" ref="O6" si="19">J6/100</f>
        <v>1.6000000000000001E-3</v>
      </c>
      <c r="P6" s="2370">
        <f t="shared" ref="P6" si="20">K6/100</f>
        <v>1.11E-2</v>
      </c>
      <c r="Q6" s="2370">
        <f t="shared" ref="Q6" si="21">L6/100</f>
        <v>3.5999999999999999E-3</v>
      </c>
      <c r="R6" s="2368"/>
      <c r="S6" s="2369">
        <f>B6/B7-1</f>
        <v>9.7000000000000419E-3</v>
      </c>
      <c r="T6" s="2370">
        <f>C6/C7-1</f>
        <v>1.6000000000000458E-3</v>
      </c>
      <c r="U6" s="2370">
        <f>E6/E7-1</f>
        <v>1.110000000000011E-2</v>
      </c>
      <c r="V6" s="2370">
        <f>F6/F7-1</f>
        <v>3.6000000000000476E-3</v>
      </c>
      <c r="W6" s="2368"/>
      <c r="X6" s="2368">
        <f>ROUND(SUMPRODUCT(PRODUCT(1+N6:N$33)),4)</f>
        <v>1.619</v>
      </c>
      <c r="Y6" s="2368">
        <f>ROUND(SUMPRODUCT(PRODUCT(1+O6:O$33)),4)</f>
        <v>1.3491</v>
      </c>
      <c r="Z6" s="2368">
        <f t="shared" ref="Z6" si="22">Y6</f>
        <v>1.3491</v>
      </c>
      <c r="AA6" s="2368">
        <f>ROUND(SUMPRODUCT(PRODUCT(1+P6:P$33)),4)</f>
        <v>1.6988000000000001</v>
      </c>
      <c r="AB6" s="2368">
        <f>ROUND(SUMPRODUCT(PRODUCT(1+Q6:Q$33)),4)</f>
        <v>1.4315</v>
      </c>
      <c r="AC6" s="2368"/>
      <c r="AD6" s="2370">
        <f>ROUND(AVERAGE(I6:I$34)/100,4)</f>
        <v>1.7899999999999999E-2</v>
      </c>
      <c r="AE6" s="2370">
        <f>ROUND(AVERAGE(J6:J$34)/100,4)</f>
        <v>1.12E-2</v>
      </c>
      <c r="AF6" s="2370">
        <f t="shared" ref="AF6" si="23">AE6</f>
        <v>1.12E-2</v>
      </c>
      <c r="AG6" s="2370">
        <f>ROUND(AVERAGE(K6:K$34)/100,4)</f>
        <v>1.9699999999999999E-2</v>
      </c>
      <c r="AH6" s="2370">
        <f>ROUND(AVERAGE(L6:L$34)/100,4)</f>
        <v>1.29E-2</v>
      </c>
    </row>
    <row r="7" spans="1:34" s="2371" customFormat="1" ht="14.45" customHeight="1">
      <c r="A7" s="2364" t="s">
        <v>2883</v>
      </c>
      <c r="B7" s="2365">
        <f t="shared" ref="B7" si="24">B8*(1+N7)</f>
        <v>493.14449689037161</v>
      </c>
      <c r="C7" s="2365">
        <f t="shared" ref="C7" si="25">C8*(1+O7)</f>
        <v>347.21619073020611</v>
      </c>
      <c r="D7" s="2365">
        <f t="shared" ref="D7" si="26">C7</f>
        <v>347.21619073020611</v>
      </c>
      <c r="E7" s="2365">
        <f t="shared" ref="E7" si="27">E8*(1+P7)</f>
        <v>710.55974278763904</v>
      </c>
      <c r="F7" s="2365">
        <f t="shared" ref="F7" si="28">F8*(1+Q7)</f>
        <v>327.94540235306141</v>
      </c>
      <c r="G7" s="3144">
        <v>2020</v>
      </c>
      <c r="H7" s="2366">
        <v>4</v>
      </c>
      <c r="I7" s="2366">
        <v>2.0699999999999998</v>
      </c>
      <c r="J7" s="2366">
        <v>0.37</v>
      </c>
      <c r="K7" s="2366">
        <v>2.35</v>
      </c>
      <c r="L7" s="2367">
        <v>2.69</v>
      </c>
      <c r="M7" s="2368"/>
      <c r="N7" s="2369">
        <f t="shared" ref="N7" si="29">I7/100</f>
        <v>2.07E-2</v>
      </c>
      <c r="O7" s="2370">
        <f t="shared" ref="O7" si="30">J7/100</f>
        <v>3.7000000000000002E-3</v>
      </c>
      <c r="P7" s="2370">
        <f t="shared" ref="P7" si="31">K7/100</f>
        <v>2.35E-2</v>
      </c>
      <c r="Q7" s="2370">
        <f t="shared" ref="Q7" si="32">L7/100</f>
        <v>2.69E-2</v>
      </c>
      <c r="R7" s="2368"/>
      <c r="S7" s="2369"/>
      <c r="T7" s="2370"/>
      <c r="U7" s="2370"/>
      <c r="V7" s="2370"/>
      <c r="W7" s="2368"/>
      <c r="X7" s="2368">
        <f>ROUND(SUMPRODUCT(PRODUCT(1+N7:N$33)),4)</f>
        <v>1.6034999999999999</v>
      </c>
      <c r="Y7" s="2368">
        <f>ROUND(SUMPRODUCT(PRODUCT(1+O7:O$33)),4)</f>
        <v>1.3469</v>
      </c>
      <c r="Z7" s="2368">
        <f t="shared" ref="Z7" si="33">Y7</f>
        <v>1.3469</v>
      </c>
      <c r="AA7" s="2368">
        <f>ROUND(SUMPRODUCT(PRODUCT(1+P7:P$33)),4)</f>
        <v>1.6801999999999999</v>
      </c>
      <c r="AB7" s="2368">
        <f>ROUND(SUMPRODUCT(PRODUCT(1+Q7:Q$33)),4)</f>
        <v>1.4263999999999999</v>
      </c>
      <c r="AC7" s="2368"/>
      <c r="AD7" s="2370">
        <f>ROUND(AVERAGE(I7:I$34)/100,4)</f>
        <v>1.8200000000000001E-2</v>
      </c>
      <c r="AE7" s="2370">
        <f>ROUND(AVERAGE(J7:J$34)/100,4)</f>
        <v>1.1599999999999999E-2</v>
      </c>
      <c r="AF7" s="2370">
        <f t="shared" ref="AF7" si="34">AE7</f>
        <v>1.1599999999999999E-2</v>
      </c>
      <c r="AG7" s="2370">
        <f>ROUND(AVERAGE(K7:K$34)/100,4)</f>
        <v>0.02</v>
      </c>
      <c r="AH7" s="2370">
        <f>ROUND(AVERAGE(L7:L$34)/100,4)</f>
        <v>1.3299999999999999E-2</v>
      </c>
    </row>
    <row r="8" spans="1:34" s="2371" customFormat="1" ht="14.45" customHeight="1">
      <c r="A8" s="2364" t="s">
        <v>2882</v>
      </c>
      <c r="B8" s="2365">
        <f t="shared" ref="B8" si="35">B9*(1+N8)</f>
        <v>483.1434279321756</v>
      </c>
      <c r="C8" s="2365">
        <f t="shared" ref="C8" si="36">C9*(1+O8)</f>
        <v>345.93622669144776</v>
      </c>
      <c r="D8" s="2365">
        <f t="shared" ref="D8" si="37">C8</f>
        <v>345.93622669144776</v>
      </c>
      <c r="E8" s="2365">
        <f t="shared" ref="E8" si="38">E9*(1+P8)</f>
        <v>694.24498562544113</v>
      </c>
      <c r="F8" s="2365">
        <f t="shared" ref="F8" si="39">F9*(1+Q8)</f>
        <v>319.35475932716082</v>
      </c>
      <c r="G8" s="3143">
        <v>2020</v>
      </c>
      <c r="H8" s="2366">
        <v>3</v>
      </c>
      <c r="I8" s="2366">
        <v>0.36</v>
      </c>
      <c r="J8" s="2366">
        <v>-0.39</v>
      </c>
      <c r="K8" s="2366">
        <v>0.49</v>
      </c>
      <c r="L8" s="2367">
        <v>7.0000000000000007E-2</v>
      </c>
      <c r="M8" s="2368"/>
      <c r="N8" s="2369">
        <f t="shared" ref="N8" si="40">I8/100</f>
        <v>3.5999999999999999E-3</v>
      </c>
      <c r="O8" s="2370">
        <f t="shared" ref="O8" si="41">J8/100</f>
        <v>-3.9000000000000003E-3</v>
      </c>
      <c r="P8" s="2370">
        <f t="shared" ref="P8" si="42">K8/100</f>
        <v>4.8999999999999998E-3</v>
      </c>
      <c r="Q8" s="2370">
        <f t="shared" ref="Q8" si="43">L8/100</f>
        <v>7.000000000000001E-4</v>
      </c>
      <c r="R8" s="2368"/>
      <c r="S8" s="2369"/>
      <c r="T8" s="2370"/>
      <c r="U8" s="2370"/>
      <c r="V8" s="2370"/>
      <c r="W8" s="2368"/>
      <c r="X8" s="2368">
        <f>ROUND(SUMPRODUCT(PRODUCT(1+N8:N$33)),4)</f>
        <v>1.571</v>
      </c>
      <c r="Y8" s="2368">
        <f>ROUND(SUMPRODUCT(PRODUCT(1+O8:O$33)),4)</f>
        <v>1.3420000000000001</v>
      </c>
      <c r="Z8" s="2368">
        <f t="shared" ref="Z8" si="44">Y8</f>
        <v>1.3420000000000001</v>
      </c>
      <c r="AA8" s="2368">
        <f>ROUND(SUMPRODUCT(PRODUCT(1+P8:P$33)),4)</f>
        <v>1.6415999999999999</v>
      </c>
      <c r="AB8" s="2368">
        <f>ROUND(SUMPRODUCT(PRODUCT(1+Q8:Q$33)),4)</f>
        <v>1.389</v>
      </c>
      <c r="AC8" s="2368"/>
      <c r="AD8" s="2370">
        <f>ROUND(AVERAGE(I8:I$34)/100,4)</f>
        <v>1.8100000000000002E-2</v>
      </c>
      <c r="AE8" s="2370">
        <f>ROUND(AVERAGE(J8:J$34)/100,4)</f>
        <v>1.1900000000000001E-2</v>
      </c>
      <c r="AF8" s="2370">
        <f t="shared" ref="AF8" si="45">AE8</f>
        <v>1.1900000000000001E-2</v>
      </c>
      <c r="AG8" s="2370">
        <f>ROUND(AVERAGE(K8:K$34)/100,4)</f>
        <v>1.9900000000000001E-2</v>
      </c>
      <c r="AH8" s="2370">
        <f>ROUND(AVERAGE(L8:L$34)/100,4)</f>
        <v>1.2800000000000001E-2</v>
      </c>
    </row>
    <row r="9" spans="1:34" s="2371" customFormat="1" ht="14.45" customHeight="1">
      <c r="A9" s="2364" t="s">
        <v>2734</v>
      </c>
      <c r="B9" s="2365">
        <f t="shared" ref="B9" si="46">B10*(1+N9)</f>
        <v>481.4103506697644</v>
      </c>
      <c r="C9" s="2365">
        <f t="shared" ref="C9" si="47">C10*(1+O9)</f>
        <v>347.29066026648707</v>
      </c>
      <c r="D9" s="2365">
        <f t="shared" ref="D9" si="48">C9</f>
        <v>347.29066026648707</v>
      </c>
      <c r="E9" s="2365">
        <f t="shared" ref="E9" si="49">E10*(1+P9)</f>
        <v>690.85977273901995</v>
      </c>
      <c r="F9" s="2365">
        <f t="shared" ref="F9" si="50">F10*(1+Q9)</f>
        <v>319.13136737000184</v>
      </c>
      <c r="G9" s="2355">
        <v>2020</v>
      </c>
      <c r="H9" s="2366">
        <v>2</v>
      </c>
      <c r="I9" s="2366">
        <v>0.31</v>
      </c>
      <c r="J9" s="2366">
        <v>-0.78</v>
      </c>
      <c r="K9" s="2366">
        <v>0.5</v>
      </c>
      <c r="L9" s="2367">
        <v>0.47</v>
      </c>
      <c r="M9" s="2368"/>
      <c r="N9" s="2369">
        <f t="shared" ref="N9" si="51">I9/100</f>
        <v>3.0999999999999999E-3</v>
      </c>
      <c r="O9" s="2370">
        <f t="shared" ref="O9" si="52">J9/100</f>
        <v>-7.8000000000000005E-3</v>
      </c>
      <c r="P9" s="2370">
        <f t="shared" ref="P9" si="53">K9/100</f>
        <v>5.0000000000000001E-3</v>
      </c>
      <c r="Q9" s="2370">
        <f t="shared" ref="Q9" si="54">L9/100</f>
        <v>4.6999999999999993E-3</v>
      </c>
      <c r="R9" s="2368"/>
      <c r="S9" s="2369"/>
      <c r="T9" s="2370"/>
      <c r="U9" s="2370"/>
      <c r="V9" s="2370"/>
      <c r="W9" s="2368"/>
      <c r="X9" s="2368">
        <f>ROUND(SUMPRODUCT(PRODUCT(1+N9:N$33)),4)</f>
        <v>1.5652999999999999</v>
      </c>
      <c r="Y9" s="2368">
        <f>ROUND(SUMPRODUCT(PRODUCT(1+O9:O$33)),4)</f>
        <v>1.3472</v>
      </c>
      <c r="Z9" s="2368">
        <f t="shared" ref="Z9" si="55">Y9</f>
        <v>1.3472</v>
      </c>
      <c r="AA9" s="2368">
        <f>ROUND(SUMPRODUCT(PRODUCT(1+P9:P$33)),4)</f>
        <v>1.6335999999999999</v>
      </c>
      <c r="AB9" s="2368">
        <f>ROUND(SUMPRODUCT(PRODUCT(1+Q9:Q$33)),4)</f>
        <v>1.3880999999999999</v>
      </c>
      <c r="AC9" s="2368"/>
      <c r="AD9" s="2370">
        <f>ROUND(AVERAGE(I9:I$34)/100,4)</f>
        <v>1.8599999999999998E-2</v>
      </c>
      <c r="AE9" s="2370">
        <f>ROUND(AVERAGE(J9:J$34)/100,4)</f>
        <v>1.2500000000000001E-2</v>
      </c>
      <c r="AF9" s="2370">
        <f t="shared" ref="AF9" si="56">AE9</f>
        <v>1.2500000000000001E-2</v>
      </c>
      <c r="AG9" s="2370">
        <f>ROUND(AVERAGE(K9:K$34)/100,4)</f>
        <v>2.0400000000000001E-2</v>
      </c>
      <c r="AH9" s="2370">
        <f>ROUND(AVERAGE(L9:L$34)/100,4)</f>
        <v>1.32E-2</v>
      </c>
    </row>
    <row r="10" spans="1:34" s="2371" customFormat="1" ht="14.45" customHeight="1">
      <c r="A10" s="2364" t="s">
        <v>2731</v>
      </c>
      <c r="B10" s="2365">
        <f t="shared" ref="B10" si="57">B11*(1+N10)</f>
        <v>479.92259063878413</v>
      </c>
      <c r="C10" s="2365">
        <f t="shared" ref="C10" si="58">C11*(1+O10)</f>
        <v>350.02082268341775</v>
      </c>
      <c r="D10" s="2365">
        <f t="shared" ref="D10" si="59">C10</f>
        <v>350.02082268341775</v>
      </c>
      <c r="E10" s="2365">
        <f t="shared" ref="E10" si="60">E11*(1+P10)</f>
        <v>687.42265944181099</v>
      </c>
      <c r="F10" s="2365">
        <f t="shared" ref="F10" si="61">F11*(1+Q10)</f>
        <v>317.63846657708956</v>
      </c>
      <c r="G10" s="2355">
        <v>2020</v>
      </c>
      <c r="H10" s="2366">
        <v>1</v>
      </c>
      <c r="I10" s="2366">
        <v>0.12</v>
      </c>
      <c r="J10" s="2366">
        <v>-0.4</v>
      </c>
      <c r="K10" s="2366">
        <v>0.21</v>
      </c>
      <c r="L10" s="2367">
        <v>0.27</v>
      </c>
      <c r="M10" s="2368"/>
      <c r="N10" s="2369">
        <f t="shared" ref="N10" si="62">I10/100</f>
        <v>1.1999999999999999E-3</v>
      </c>
      <c r="O10" s="2370">
        <f t="shared" ref="O10" si="63">J10/100</f>
        <v>-4.0000000000000001E-3</v>
      </c>
      <c r="P10" s="2370">
        <f t="shared" ref="P10" si="64">K10/100</f>
        <v>2.0999999999999999E-3</v>
      </c>
      <c r="Q10" s="2370">
        <f t="shared" ref="Q10" si="65">L10/100</f>
        <v>2.7000000000000001E-3</v>
      </c>
      <c r="R10" s="2368"/>
      <c r="S10" s="2369">
        <f>B10/B11-1</f>
        <v>1.2000000000000899E-3</v>
      </c>
      <c r="T10" s="2370">
        <f>C10/C11-1</f>
        <v>-4.0000000000000036E-3</v>
      </c>
      <c r="U10" s="2370">
        <f>E10/E11-1</f>
        <v>2.0999999999999908E-3</v>
      </c>
      <c r="V10" s="2370">
        <f>F10/F11-1</f>
        <v>2.6999999999999247E-3</v>
      </c>
      <c r="W10" s="2368"/>
      <c r="X10" s="2368">
        <f>ROUND(SUMPRODUCT(PRODUCT(1+N10:N$33)),4)</f>
        <v>1.5605</v>
      </c>
      <c r="Y10" s="2368">
        <f>ROUND(SUMPRODUCT(PRODUCT(1+O10:O$33)),4)</f>
        <v>1.3577999999999999</v>
      </c>
      <c r="Z10" s="2368">
        <f t="shared" ref="Z10" si="66">Y10</f>
        <v>1.3577999999999999</v>
      </c>
      <c r="AA10" s="2368">
        <f>ROUND(SUMPRODUCT(PRODUCT(1+P10:P$33)),4)</f>
        <v>1.6254999999999999</v>
      </c>
      <c r="AB10" s="2368">
        <f>ROUND(SUMPRODUCT(PRODUCT(1+Q10:Q$33)),4)</f>
        <v>1.3815999999999999</v>
      </c>
      <c r="AC10" s="2368"/>
      <c r="AD10" s="2370">
        <f>ROUND(AVERAGE(I10:I$34)/100,4)</f>
        <v>1.9199999999999998E-2</v>
      </c>
      <c r="AE10" s="2370">
        <f>ROUND(AVERAGE(J10:J$34)/100,4)</f>
        <v>1.3299999999999999E-2</v>
      </c>
      <c r="AF10" s="2370">
        <f t="shared" ref="AF10" si="67">AE10</f>
        <v>1.3299999999999999E-2</v>
      </c>
      <c r="AG10" s="2370">
        <f>ROUND(AVERAGE(K10:K$34)/100,4)</f>
        <v>2.1100000000000001E-2</v>
      </c>
      <c r="AH10" s="2370">
        <f>ROUND(AVERAGE(L10:L$34)/100,4)</f>
        <v>1.3599999999999999E-2</v>
      </c>
    </row>
    <row r="11" spans="1:34" s="2371" customFormat="1" ht="14.45" customHeight="1">
      <c r="A11" s="2364" t="s">
        <v>2729</v>
      </c>
      <c r="B11" s="2365">
        <f t="shared" ref="B11:B16" si="68">B12*(1+N11)</f>
        <v>479.34737379023579</v>
      </c>
      <c r="C11" s="2365">
        <f t="shared" ref="C11" si="69">C12*(1+O11)</f>
        <v>351.4265287986122</v>
      </c>
      <c r="D11" s="2365">
        <f t="shared" ref="D11" si="70">C11</f>
        <v>351.4265287986122</v>
      </c>
      <c r="E11" s="2365">
        <f t="shared" ref="E11" si="71">E12*(1+P11)</f>
        <v>685.98209703803116</v>
      </c>
      <c r="F11" s="2365">
        <f t="shared" ref="F11" si="72">F12*(1+Q11)</f>
        <v>316.78315206651001</v>
      </c>
      <c r="G11" s="2355">
        <v>2019</v>
      </c>
      <c r="H11" s="2366">
        <v>4</v>
      </c>
      <c r="I11" s="2366">
        <v>0.45</v>
      </c>
      <c r="J11" s="2366">
        <v>-0.12</v>
      </c>
      <c r="K11" s="2366">
        <v>0.54</v>
      </c>
      <c r="L11" s="2367">
        <v>0.48</v>
      </c>
      <c r="M11" s="2368"/>
      <c r="N11" s="2369">
        <f t="shared" ref="N11:N16" si="73">I11/100</f>
        <v>4.5000000000000005E-3</v>
      </c>
      <c r="O11" s="2370">
        <f t="shared" ref="O11" si="74">J11/100</f>
        <v>-1.1999999999999999E-3</v>
      </c>
      <c r="P11" s="2370">
        <f t="shared" ref="P11" si="75">K11/100</f>
        <v>5.4000000000000003E-3</v>
      </c>
      <c r="Q11" s="2370">
        <f t="shared" ref="Q11" si="76">L11/100</f>
        <v>4.7999999999999996E-3</v>
      </c>
      <c r="R11" s="2368"/>
      <c r="S11" s="2369"/>
      <c r="T11" s="2370"/>
      <c r="U11" s="2370"/>
      <c r="V11" s="2370"/>
      <c r="W11" s="2368"/>
      <c r="X11" s="2368">
        <f>ROUND(SUMPRODUCT(PRODUCT(1+N11:N$33)),4)</f>
        <v>1.5586</v>
      </c>
      <c r="Y11" s="2368">
        <f>ROUND(SUMPRODUCT(PRODUCT(1+O11:O$33)),4)</f>
        <v>1.3633</v>
      </c>
      <c r="Z11" s="2368">
        <f t="shared" ref="Z11" si="77">Y11</f>
        <v>1.3633</v>
      </c>
      <c r="AA11" s="2368">
        <f>ROUND(SUMPRODUCT(PRODUCT(1+P11:P$33)),4)</f>
        <v>1.6221000000000001</v>
      </c>
      <c r="AB11" s="2368">
        <f>ROUND(SUMPRODUCT(PRODUCT(1+Q11:Q$33)),4)</f>
        <v>1.3777999999999999</v>
      </c>
      <c r="AC11" s="2368"/>
      <c r="AD11" s="2370">
        <f>ROUND(AVERAGE(I11:I$34)/100,4)</f>
        <v>0.02</v>
      </c>
      <c r="AE11" s="2370">
        <f>ROUND(AVERAGE(J11:J$34)/100,4)</f>
        <v>1.4E-2</v>
      </c>
      <c r="AF11" s="2370">
        <f t="shared" ref="AF11" si="78">AE11</f>
        <v>1.4E-2</v>
      </c>
      <c r="AG11" s="2370">
        <f>ROUND(AVERAGE(K11:K$34)/100,4)</f>
        <v>2.1899999999999999E-2</v>
      </c>
      <c r="AH11" s="2370">
        <f>ROUND(AVERAGE(L11:L$34)/100,4)</f>
        <v>1.4E-2</v>
      </c>
    </row>
    <row r="12" spans="1:34" s="2371" customFormat="1" ht="14.45" customHeight="1" thickBot="1">
      <c r="A12" s="2364" t="s">
        <v>2726</v>
      </c>
      <c r="B12" s="2365">
        <f t="shared" si="68"/>
        <v>477.19997390765138</v>
      </c>
      <c r="C12" s="2365">
        <f t="shared" ref="C12" si="79">C13*(1+O12)</f>
        <v>351.84874729536665</v>
      </c>
      <c r="D12" s="2365">
        <f t="shared" ref="D12" si="80">C12</f>
        <v>351.84874729536665</v>
      </c>
      <c r="E12" s="2365">
        <f t="shared" ref="E12" si="81">E13*(1+P12)</f>
        <v>682.29768951465201</v>
      </c>
      <c r="F12" s="2365">
        <f t="shared" ref="F12" si="82">F13*(1+Q12)</f>
        <v>315.26985675409043</v>
      </c>
      <c r="G12" s="2355">
        <v>2019</v>
      </c>
      <c r="H12" s="2366">
        <v>3</v>
      </c>
      <c r="I12" s="2366">
        <v>0.61</v>
      </c>
      <c r="J12" s="2366">
        <v>0.67</v>
      </c>
      <c r="K12" s="2366">
        <v>0.6</v>
      </c>
      <c r="L12" s="2367">
        <v>1.03</v>
      </c>
      <c r="M12" s="2368"/>
      <c r="N12" s="2369">
        <f t="shared" si="73"/>
        <v>6.0999999999999995E-3</v>
      </c>
      <c r="O12" s="2370">
        <f t="shared" ref="O12" si="83">J12/100</f>
        <v>6.7000000000000002E-3</v>
      </c>
      <c r="P12" s="2370">
        <f t="shared" ref="P12" si="84">K12/100</f>
        <v>6.0000000000000001E-3</v>
      </c>
      <c r="Q12" s="2370">
        <f t="shared" ref="Q12" si="85">L12/100</f>
        <v>1.03E-2</v>
      </c>
      <c r="R12" s="2368"/>
      <c r="S12" s="2369"/>
      <c r="T12" s="2370"/>
      <c r="U12" s="2370"/>
      <c r="V12" s="2370"/>
      <c r="W12" s="2368"/>
      <c r="X12" s="2368">
        <f>ROUND(SUMPRODUCT(PRODUCT(1+N12:N$33)),4)</f>
        <v>1.5516000000000001</v>
      </c>
      <c r="Y12" s="2368">
        <f>ROUND(SUMPRODUCT(PRODUCT(1+O12:O$33)),4)</f>
        <v>1.3649</v>
      </c>
      <c r="Z12" s="2368">
        <f t="shared" ref="Z12" si="86">Y12</f>
        <v>1.3649</v>
      </c>
      <c r="AA12" s="2368">
        <f>ROUND(SUMPRODUCT(PRODUCT(1+P12:P$33)),4)</f>
        <v>1.6133999999999999</v>
      </c>
      <c r="AB12" s="2368">
        <f>ROUND(SUMPRODUCT(PRODUCT(1+Q12:Q$33)),4)</f>
        <v>1.3713</v>
      </c>
      <c r="AC12" s="2368"/>
      <c r="AD12" s="2370">
        <f>ROUND(AVERAGE(I12:I$34)/100,4)</f>
        <v>2.07E-2</v>
      </c>
      <c r="AE12" s="2370">
        <f>ROUND(AVERAGE(J12:J$34)/100,4)</f>
        <v>1.47E-2</v>
      </c>
      <c r="AF12" s="2370">
        <f t="shared" ref="AF12" si="87">AE12</f>
        <v>1.47E-2</v>
      </c>
      <c r="AG12" s="2370">
        <f>ROUND(AVERAGE(K12:K$34)/100,4)</f>
        <v>2.2599999999999999E-2</v>
      </c>
      <c r="AH12" s="2370">
        <f>ROUND(AVERAGE(L12:L$34)/100,4)</f>
        <v>1.44E-2</v>
      </c>
    </row>
    <row r="13" spans="1:34" s="2371" customFormat="1" ht="14.45" customHeight="1">
      <c r="A13" s="2364" t="s">
        <v>2720</v>
      </c>
      <c r="B13" s="2365">
        <f t="shared" si="68"/>
        <v>474.30670301923408</v>
      </c>
      <c r="C13" s="2365">
        <f t="shared" ref="C13" si="88">C14*(1+O13)</f>
        <v>349.50705005996491</v>
      </c>
      <c r="D13" s="2365">
        <f t="shared" ref="D13" si="89">C13</f>
        <v>349.50705005996491</v>
      </c>
      <c r="E13" s="2365">
        <f t="shared" ref="E13" si="90">E14*(1+P13)</f>
        <v>678.22831959706957</v>
      </c>
      <c r="F13" s="2365">
        <f t="shared" ref="F13" si="91">F14*(1+Q13)</f>
        <v>312.0556832169558</v>
      </c>
      <c r="G13" s="2355">
        <v>2019</v>
      </c>
      <c r="H13" s="2372">
        <v>2</v>
      </c>
      <c r="I13" s="2372">
        <v>1.53</v>
      </c>
      <c r="J13" s="2372">
        <v>1.01</v>
      </c>
      <c r="K13" s="2372">
        <v>1.62</v>
      </c>
      <c r="L13" s="2373">
        <v>1.25</v>
      </c>
      <c r="M13" s="2368"/>
      <c r="N13" s="2369">
        <f t="shared" si="73"/>
        <v>1.5300000000000001E-2</v>
      </c>
      <c r="O13" s="2370">
        <f t="shared" ref="O13" si="92">J13/100</f>
        <v>1.01E-2</v>
      </c>
      <c r="P13" s="2370">
        <f t="shared" ref="P13" si="93">K13/100</f>
        <v>1.6200000000000003E-2</v>
      </c>
      <c r="Q13" s="2370">
        <f t="shared" ref="Q13" si="94">L13/100</f>
        <v>1.2500000000000001E-2</v>
      </c>
      <c r="R13" s="2368"/>
      <c r="S13" s="2369"/>
      <c r="T13" s="2370"/>
      <c r="U13" s="2370"/>
      <c r="V13" s="2370"/>
      <c r="W13" s="2368"/>
      <c r="X13" s="2368">
        <f>ROUND(SUMPRODUCT(PRODUCT(1+N13:N$33)),4)</f>
        <v>1.5422</v>
      </c>
      <c r="Y13" s="2368">
        <f>ROUND(SUMPRODUCT(PRODUCT(1+O13:O$33)),4)</f>
        <v>1.3557999999999999</v>
      </c>
      <c r="Z13" s="2368">
        <f t="shared" ref="Z13" si="95">Y13</f>
        <v>1.3557999999999999</v>
      </c>
      <c r="AA13" s="2368">
        <f>ROUND(SUMPRODUCT(PRODUCT(1+P13:P$33)),4)</f>
        <v>1.6036999999999999</v>
      </c>
      <c r="AB13" s="2368">
        <f>ROUND(SUMPRODUCT(PRODUCT(1+Q13:Q$33)),4)</f>
        <v>1.3573</v>
      </c>
      <c r="AC13" s="2368"/>
      <c r="AD13" s="2370">
        <f>ROUND(AVERAGE(I13:I$34)/100,4)</f>
        <v>2.1299999999999999E-2</v>
      </c>
      <c r="AE13" s="2370">
        <f>ROUND(AVERAGE(J13:J$34)/100,4)</f>
        <v>1.4999999999999999E-2</v>
      </c>
      <c r="AF13" s="2370">
        <f t="shared" ref="AF13" si="96">AE13</f>
        <v>1.4999999999999999E-2</v>
      </c>
      <c r="AG13" s="2370">
        <f>ROUND(AVERAGE(K13:K$34)/100,4)</f>
        <v>2.3300000000000001E-2</v>
      </c>
      <c r="AH13" s="2370">
        <f>ROUND(AVERAGE(L13:L$34)/100,4)</f>
        <v>1.46E-2</v>
      </c>
    </row>
    <row r="14" spans="1:34" s="2371" customFormat="1" ht="14.45" customHeight="1" thickBot="1">
      <c r="A14" s="2364" t="s">
        <v>2721</v>
      </c>
      <c r="B14" s="2365">
        <f t="shared" si="68"/>
        <v>467.15916775261894</v>
      </c>
      <c r="C14" s="2365">
        <f t="shared" ref="C14" si="97">C15*(1+O14)</f>
        <v>346.01232557169084</v>
      </c>
      <c r="D14" s="2365">
        <f t="shared" ref="D14" si="98">C14</f>
        <v>346.01232557169084</v>
      </c>
      <c r="E14" s="2365">
        <f t="shared" ref="E14" si="99">E15*(1+P14)</f>
        <v>667.41617752122568</v>
      </c>
      <c r="F14" s="2365">
        <f t="shared" ref="F14" si="100">F15*(1+Q14)</f>
        <v>308.20314391798104</v>
      </c>
      <c r="G14" s="2355">
        <v>2019</v>
      </c>
      <c r="H14" s="2366">
        <v>1</v>
      </c>
      <c r="I14" s="2366">
        <v>0.6</v>
      </c>
      <c r="J14" s="2366">
        <v>0.37</v>
      </c>
      <c r="K14" s="2366">
        <v>0.63</v>
      </c>
      <c r="L14" s="2367">
        <v>1.1299999999999999</v>
      </c>
      <c r="M14" s="2368"/>
      <c r="N14" s="2369">
        <f t="shared" si="73"/>
        <v>6.0000000000000001E-3</v>
      </c>
      <c r="O14" s="2370">
        <f t="shared" ref="O14" si="101">J14/100</f>
        <v>3.7000000000000002E-3</v>
      </c>
      <c r="P14" s="2370">
        <f t="shared" ref="P14" si="102">K14/100</f>
        <v>6.3E-3</v>
      </c>
      <c r="Q14" s="2370">
        <f t="shared" ref="Q14" si="103">L14/100</f>
        <v>1.1299999999999999E-2</v>
      </c>
      <c r="R14" s="2368"/>
      <c r="S14" s="2369">
        <f>B14/B15-1</f>
        <v>6.0000000000000053E-3</v>
      </c>
      <c r="T14" s="2370">
        <f>C14/C15-1</f>
        <v>3.7000000000000366E-3</v>
      </c>
      <c r="U14" s="2370">
        <f>E14/E15-1</f>
        <v>6.2999999999999723E-3</v>
      </c>
      <c r="V14" s="2370">
        <f>F14/F15-1</f>
        <v>1.1300000000000088E-2</v>
      </c>
      <c r="W14" s="2368"/>
      <c r="X14" s="2368">
        <f>ROUND(SUMPRODUCT(PRODUCT(1+N14:N$33)),4)</f>
        <v>1.5189999999999999</v>
      </c>
      <c r="Y14" s="2368">
        <f>ROUND(SUMPRODUCT(PRODUCT(1+O14:O$33)),4)</f>
        <v>1.3423</v>
      </c>
      <c r="Z14" s="2368">
        <f t="shared" ref="Z14" si="104">Y14</f>
        <v>1.3423</v>
      </c>
      <c r="AA14" s="2368">
        <f>ROUND(SUMPRODUCT(PRODUCT(1+P14:P$33)),4)</f>
        <v>1.5782</v>
      </c>
      <c r="AB14" s="2368">
        <f>ROUND(SUMPRODUCT(PRODUCT(1+Q14:Q$33)),4)</f>
        <v>1.3405</v>
      </c>
      <c r="AC14" s="2368"/>
      <c r="AD14" s="2370">
        <f>ROUND(AVERAGE(I14:I$34)/100,4)</f>
        <v>2.1600000000000001E-2</v>
      </c>
      <c r="AE14" s="2370">
        <f>ROUND(AVERAGE(J14:J$34)/100,4)</f>
        <v>1.5299999999999999E-2</v>
      </c>
      <c r="AF14" s="2370">
        <f t="shared" ref="AF14" si="105">AE14</f>
        <v>1.5299999999999999E-2</v>
      </c>
      <c r="AG14" s="2370">
        <f>ROUND(AVERAGE(K14:K$34)/100,4)</f>
        <v>2.3699999999999999E-2</v>
      </c>
      <c r="AH14" s="2370">
        <f>ROUND(AVERAGE(L14:L$34)/100,4)</f>
        <v>1.47E-2</v>
      </c>
    </row>
    <row r="15" spans="1:34">
      <c r="A15" s="2364" t="s">
        <v>2716</v>
      </c>
      <c r="B15" s="2374">
        <f t="shared" si="68"/>
        <v>464.37293017158942</v>
      </c>
      <c r="C15" s="2374">
        <f t="shared" ref="C15" si="106">C16*(1+O15)</f>
        <v>344.73679941385956</v>
      </c>
      <c r="D15" s="2374">
        <f t="shared" ref="D15" si="107">C15</f>
        <v>344.73679941385956</v>
      </c>
      <c r="E15" s="2374">
        <f t="shared" ref="E15" si="108">E16*(1+P15)</f>
        <v>663.2377795103107</v>
      </c>
      <c r="F15" s="2375">
        <f t="shared" ref="F15" si="109">F16*(1+Q15)</f>
        <v>304.75936311478398</v>
      </c>
      <c r="G15" s="3565">
        <v>2018</v>
      </c>
      <c r="H15" s="2372">
        <v>4</v>
      </c>
      <c r="I15" s="2372">
        <v>0.96</v>
      </c>
      <c r="J15" s="2372">
        <v>1.03</v>
      </c>
      <c r="K15" s="2372">
        <v>0.92</v>
      </c>
      <c r="L15" s="2373">
        <v>1.29</v>
      </c>
      <c r="N15" s="2376">
        <f t="shared" si="73"/>
        <v>9.5999999999999992E-3</v>
      </c>
      <c r="O15" s="2377">
        <f t="shared" ref="O15" si="110">J15/100</f>
        <v>1.03E-2</v>
      </c>
      <c r="P15" s="2377">
        <f t="shared" ref="P15" si="111">K15/100</f>
        <v>9.1999999999999998E-3</v>
      </c>
      <c r="Q15" s="2377">
        <f t="shared" ref="Q15" si="112">L15/100</f>
        <v>1.29E-2</v>
      </c>
      <c r="R15" s="2378"/>
      <c r="S15" s="2379"/>
      <c r="T15" s="2380"/>
      <c r="U15" s="2380"/>
      <c r="V15" s="2380"/>
      <c r="X15" s="2350">
        <f>ROUND(SUMPRODUCT(PRODUCT(1+N15:N$33)),4)</f>
        <v>1.5099</v>
      </c>
      <c r="Y15" s="2350">
        <f>ROUND(SUMPRODUCT(PRODUCT(1+O15:O$33)),4)</f>
        <v>1.3372999999999999</v>
      </c>
      <c r="Z15" s="2350">
        <f t="shared" ref="Z15" si="113">Y15</f>
        <v>1.3372999999999999</v>
      </c>
      <c r="AA15" s="2350">
        <f>ROUND(SUMPRODUCT(PRODUCT(1+P15:P$33)),4)</f>
        <v>1.5683</v>
      </c>
      <c r="AB15" s="2350">
        <f>ROUND(SUMPRODUCT(PRODUCT(1+Q15:Q$33)),4)</f>
        <v>1.3255999999999999</v>
      </c>
      <c r="AD15" s="2351">
        <f>ROUND(AVERAGE(I15:I$34)/100,4)</f>
        <v>2.24E-2</v>
      </c>
      <c r="AE15" s="2351">
        <f>ROUND(AVERAGE(J15:J$34)/100,4)</f>
        <v>1.5800000000000002E-2</v>
      </c>
      <c r="AF15" s="2351">
        <f t="shared" ref="AF15" si="114">AE15</f>
        <v>1.5800000000000002E-2</v>
      </c>
      <c r="AG15" s="2351">
        <f>ROUND(AVERAGE(K15:K$34)/100,4)</f>
        <v>2.4500000000000001E-2</v>
      </c>
      <c r="AH15" s="2351">
        <f>ROUND(AVERAGE(L15:L$34)/100,4)</f>
        <v>1.49E-2</v>
      </c>
    </row>
    <row r="16" spans="1:34" s="2383" customFormat="1" ht="14.45" customHeight="1">
      <c r="A16" s="2364" t="s">
        <v>2711</v>
      </c>
      <c r="B16" s="2381">
        <f t="shared" si="68"/>
        <v>459.95733971036987</v>
      </c>
      <c r="C16" s="2381">
        <f t="shared" ref="C16" si="115">C17*(1+O16)</f>
        <v>341.22221064422405</v>
      </c>
      <c r="D16" s="2381">
        <f t="shared" ref="D16" si="116">C16</f>
        <v>341.22221064422405</v>
      </c>
      <c r="E16" s="2381">
        <f t="shared" ref="E16" si="117">E17*(1+P16)</f>
        <v>657.19161663724799</v>
      </c>
      <c r="F16" s="2381">
        <f t="shared" ref="F16" si="118">F17*(1+Q16)</f>
        <v>300.87803644464805</v>
      </c>
      <c r="G16" s="3565"/>
      <c r="H16" s="2366">
        <v>3</v>
      </c>
      <c r="I16" s="2366">
        <v>1.51</v>
      </c>
      <c r="J16" s="2366">
        <v>1.41</v>
      </c>
      <c r="K16" s="2366">
        <v>1.52</v>
      </c>
      <c r="L16" s="2367">
        <v>1.74</v>
      </c>
      <c r="M16" s="2350"/>
      <c r="N16" s="2382">
        <f t="shared" si="73"/>
        <v>1.5100000000000001E-2</v>
      </c>
      <c r="O16" s="2351">
        <f t="shared" ref="O16" si="119">J16/100</f>
        <v>1.41E-2</v>
      </c>
      <c r="P16" s="2351">
        <f t="shared" ref="P16" si="120">K16/100</f>
        <v>1.52E-2</v>
      </c>
      <c r="Q16" s="2351">
        <f t="shared" ref="Q16" si="121">L16/100</f>
        <v>1.7399999999999999E-2</v>
      </c>
      <c r="R16" s="2350"/>
      <c r="S16" s="2382"/>
      <c r="T16" s="2351"/>
      <c r="U16" s="2351"/>
      <c r="V16" s="2351"/>
      <c r="W16" s="2350"/>
      <c r="X16" s="2350">
        <f>ROUND(SUMPRODUCT(PRODUCT(1+N16:N$33)),4)</f>
        <v>1.4956</v>
      </c>
      <c r="Y16" s="2350">
        <f>ROUND(SUMPRODUCT(PRODUCT(1+O16:O$33)),4)</f>
        <v>1.3237000000000001</v>
      </c>
      <c r="Z16" s="2350">
        <f t="shared" ref="Z16" si="122">Y16</f>
        <v>1.3237000000000001</v>
      </c>
      <c r="AA16" s="2350">
        <f>ROUND(SUMPRODUCT(PRODUCT(1+P16:P$33)),4)</f>
        <v>1.554</v>
      </c>
      <c r="AB16" s="2350">
        <f>ROUND(SUMPRODUCT(PRODUCT(1+Q16:Q$33)),4)</f>
        <v>1.3087</v>
      </c>
      <c r="AC16" s="2350"/>
      <c r="AD16" s="2351">
        <f>ROUND(AVERAGE(I16:I$34)/100,4)</f>
        <v>2.3099999999999999E-2</v>
      </c>
      <c r="AE16" s="2351">
        <f>ROUND(AVERAGE(J16:J$34)/100,4)</f>
        <v>1.61E-2</v>
      </c>
      <c r="AF16" s="2351">
        <f t="shared" ref="AF16" si="123">AE16</f>
        <v>1.61E-2</v>
      </c>
      <c r="AG16" s="2351">
        <f>ROUND(AVERAGE(K16:K$34)/100,4)</f>
        <v>2.53E-2</v>
      </c>
      <c r="AH16" s="2351">
        <f>ROUND(AVERAGE(L16:L$34)/100,4)</f>
        <v>1.4999999999999999E-2</v>
      </c>
    </row>
    <row r="17" spans="1:34" s="2383" customFormat="1" ht="14.45" customHeight="1">
      <c r="A17" s="2364" t="s">
        <v>2710</v>
      </c>
      <c r="B17" s="2381">
        <f t="shared" ref="B17:B22" si="124">B18*(1+N17)</f>
        <v>453.11529869999993</v>
      </c>
      <c r="C17" s="2381">
        <f t="shared" ref="C17" si="125">C18*(1+O17)</f>
        <v>336.47787264000004</v>
      </c>
      <c r="D17" s="2381">
        <f t="shared" ref="D17" si="126">C17</f>
        <v>336.47787264000004</v>
      </c>
      <c r="E17" s="2381">
        <f t="shared" ref="E17" si="127">E18*(1+P17)</f>
        <v>647.35186823999993</v>
      </c>
      <c r="F17" s="2381">
        <f t="shared" ref="F17" si="128">F18*(1+Q17)</f>
        <v>295.73229452000004</v>
      </c>
      <c r="G17" s="3565"/>
      <c r="H17" s="2384">
        <v>2</v>
      </c>
      <c r="I17" s="2384">
        <v>1.49</v>
      </c>
      <c r="J17" s="2384">
        <v>0.96</v>
      </c>
      <c r="K17" s="2384">
        <v>1.58</v>
      </c>
      <c r="L17" s="2385">
        <v>2.44</v>
      </c>
      <c r="M17" s="2350"/>
      <c r="N17" s="2382">
        <f t="shared" ref="N17" si="129">I17/100</f>
        <v>1.49E-2</v>
      </c>
      <c r="O17" s="2351">
        <f t="shared" ref="O17" si="130">J17/100</f>
        <v>9.5999999999999992E-3</v>
      </c>
      <c r="P17" s="2351">
        <f t="shared" ref="P17" si="131">K17/100</f>
        <v>1.5800000000000002E-2</v>
      </c>
      <c r="Q17" s="2351">
        <f t="shared" ref="Q17" si="132">L17/100</f>
        <v>2.4399999999999998E-2</v>
      </c>
      <c r="R17" s="2350"/>
      <c r="S17" s="2382"/>
      <c r="T17" s="2351"/>
      <c r="U17" s="2351"/>
      <c r="V17" s="2351"/>
      <c r="W17" s="2350"/>
      <c r="X17" s="2350">
        <f>ROUND(SUMPRODUCT(PRODUCT(1+N17:N$33)),4)</f>
        <v>1.4733000000000001</v>
      </c>
      <c r="Y17" s="2350">
        <f>ROUND(SUMPRODUCT(PRODUCT(1+O17:O$33)),4)</f>
        <v>1.3052999999999999</v>
      </c>
      <c r="Z17" s="2350">
        <f t="shared" ref="Z17" si="133">Y17</f>
        <v>1.3052999999999999</v>
      </c>
      <c r="AA17" s="2350">
        <f>ROUND(SUMPRODUCT(PRODUCT(1+P17:P$33)),4)</f>
        <v>1.5306999999999999</v>
      </c>
      <c r="AB17" s="2350">
        <f>ROUND(SUMPRODUCT(PRODUCT(1+Q17:Q$33)),4)</f>
        <v>1.2863</v>
      </c>
      <c r="AC17" s="2350"/>
      <c r="AD17" s="2351">
        <f>ROUND(AVERAGE(I17:I$34)/100,4)</f>
        <v>2.35E-2</v>
      </c>
      <c r="AE17" s="2351">
        <f>ROUND(AVERAGE(J17:J$34)/100,4)</f>
        <v>1.6199999999999999E-2</v>
      </c>
      <c r="AF17" s="2351">
        <f t="shared" ref="AF17" si="134">AE17</f>
        <v>1.6199999999999999E-2</v>
      </c>
      <c r="AG17" s="2351">
        <f>ROUND(AVERAGE(K17:K$34)/100,4)</f>
        <v>2.5899999999999999E-2</v>
      </c>
      <c r="AH17" s="2351">
        <f>ROUND(AVERAGE(L17:L$34)/100,4)</f>
        <v>1.49E-2</v>
      </c>
    </row>
    <row r="18" spans="1:34" s="2383" customFormat="1" ht="15" customHeight="1" thickBot="1">
      <c r="A18" s="2364" t="s">
        <v>2707</v>
      </c>
      <c r="B18" s="2381">
        <f t="shared" si="124"/>
        <v>446.46299999999997</v>
      </c>
      <c r="C18" s="2381">
        <f t="shared" ref="C18" si="135">C19*(1+O18)</f>
        <v>333.27840000000003</v>
      </c>
      <c r="D18" s="2381">
        <f t="shared" ref="D18:D23" si="136">C18</f>
        <v>333.27840000000003</v>
      </c>
      <c r="E18" s="2381">
        <f t="shared" ref="E18" si="137">E19*(1+P18)</f>
        <v>637.28279999999995</v>
      </c>
      <c r="F18" s="2381">
        <f t="shared" ref="F18" si="138">F19*(1+Q18)</f>
        <v>288.68830000000003</v>
      </c>
      <c r="G18" s="3574"/>
      <c r="H18" s="2366">
        <v>1</v>
      </c>
      <c r="I18" s="2366">
        <v>1.7</v>
      </c>
      <c r="J18" s="2366">
        <v>1.92</v>
      </c>
      <c r="K18" s="2366">
        <v>1.64</v>
      </c>
      <c r="L18" s="2367">
        <v>2.0099999999999998</v>
      </c>
      <c r="M18" s="2350"/>
      <c r="N18" s="2382">
        <f t="shared" ref="N18:N23" si="139">I18/100</f>
        <v>1.7000000000000001E-2</v>
      </c>
      <c r="O18" s="2351">
        <f t="shared" ref="O18" si="140">J18/100</f>
        <v>1.9199999999999998E-2</v>
      </c>
      <c r="P18" s="2351">
        <f t="shared" ref="P18" si="141">K18/100</f>
        <v>1.6399999999999998E-2</v>
      </c>
      <c r="Q18" s="2351">
        <f t="shared" ref="Q18" si="142">L18/100</f>
        <v>2.0099999999999996E-2</v>
      </c>
      <c r="R18" s="2350"/>
      <c r="S18" s="2386">
        <f>B18/B19-1</f>
        <v>1.6999999999999904E-2</v>
      </c>
      <c r="T18" s="2387">
        <f>C18/C19-1</f>
        <v>1.9200000000000106E-2</v>
      </c>
      <c r="U18" s="2387">
        <f>E18/E19-1</f>
        <v>1.639999999999997E-2</v>
      </c>
      <c r="V18" s="2387">
        <f>F18/F19-1</f>
        <v>2.0100000000000007E-2</v>
      </c>
      <c r="W18" s="2350"/>
      <c r="X18" s="2350">
        <f>ROUND(SUMPRODUCT(PRODUCT(1+N18:N$33)),4)</f>
        <v>1.4517</v>
      </c>
      <c r="Y18" s="2350">
        <f>ROUND(SUMPRODUCT(PRODUCT(1+O18:O$33)),4)</f>
        <v>1.2928999999999999</v>
      </c>
      <c r="Z18" s="2350">
        <f t="shared" ref="Z18" si="143">Y18</f>
        <v>1.2928999999999999</v>
      </c>
      <c r="AA18" s="2350">
        <f>ROUND(SUMPRODUCT(PRODUCT(1+P18:P$33)),4)</f>
        <v>1.5068999999999999</v>
      </c>
      <c r="AB18" s="2350">
        <f>ROUND(SUMPRODUCT(PRODUCT(1+Q18:Q$33)),4)</f>
        <v>1.2557</v>
      </c>
      <c r="AC18" s="2350"/>
      <c r="AD18" s="2351">
        <f>ROUND(AVERAGE(I18:I$34)/100,4)</f>
        <v>2.4E-2</v>
      </c>
      <c r="AE18" s="2351">
        <f>ROUND(AVERAGE(J18:J$34)/100,4)</f>
        <v>1.66E-2</v>
      </c>
      <c r="AF18" s="2351">
        <f t="shared" ref="AF18" si="144">AE18</f>
        <v>1.66E-2</v>
      </c>
      <c r="AG18" s="2351">
        <f>ROUND(AVERAGE(K18:K$34)/100,4)</f>
        <v>2.6499999999999999E-2</v>
      </c>
      <c r="AH18" s="2351">
        <f>ROUND(AVERAGE(L18:L$34)/100,4)</f>
        <v>1.43E-2</v>
      </c>
    </row>
    <row r="19" spans="1:34">
      <c r="A19" s="2364" t="s">
        <v>2704</v>
      </c>
      <c r="B19" s="2374">
        <v>439</v>
      </c>
      <c r="C19" s="2374">
        <v>327</v>
      </c>
      <c r="D19" s="2374">
        <f t="shared" si="136"/>
        <v>327</v>
      </c>
      <c r="E19" s="2374">
        <v>627</v>
      </c>
      <c r="F19" s="2375">
        <v>283</v>
      </c>
      <c r="G19" s="3570">
        <v>2017</v>
      </c>
      <c r="H19" s="2372">
        <v>4</v>
      </c>
      <c r="I19" s="2372">
        <v>1.71</v>
      </c>
      <c r="J19" s="2372">
        <v>1.78</v>
      </c>
      <c r="K19" s="2372">
        <v>1.71</v>
      </c>
      <c r="L19" s="2373">
        <v>1.43</v>
      </c>
      <c r="N19" s="2376">
        <f t="shared" si="139"/>
        <v>1.7100000000000001E-2</v>
      </c>
      <c r="O19" s="2377">
        <f t="shared" ref="O19" si="145">J19/100</f>
        <v>1.78E-2</v>
      </c>
      <c r="P19" s="2377">
        <f t="shared" ref="P19" si="146">K19/100</f>
        <v>1.7100000000000001E-2</v>
      </c>
      <c r="Q19" s="2377">
        <f t="shared" ref="Q19" si="147">L19/100</f>
        <v>1.43E-2</v>
      </c>
      <c r="R19" s="2378"/>
      <c r="S19" s="2379"/>
      <c r="T19" s="2380"/>
      <c r="U19" s="2380"/>
      <c r="V19" s="2380"/>
      <c r="X19" s="2350">
        <f>ROUND(SUMPRODUCT(PRODUCT(1+N19:N$33)),4)</f>
        <v>1.4274</v>
      </c>
      <c r="Y19" s="2350">
        <f>ROUND(SUMPRODUCT(PRODUCT(1+O19:O$33)),4)</f>
        <v>1.2685</v>
      </c>
      <c r="Z19" s="2350">
        <f t="shared" si="0"/>
        <v>1.2685</v>
      </c>
      <c r="AA19" s="2350">
        <f>ROUND(SUMPRODUCT(PRODUCT(1+P19:P$33)),4)</f>
        <v>1.4825999999999999</v>
      </c>
      <c r="AB19" s="2350">
        <f>ROUND(SUMPRODUCT(PRODUCT(1+Q19:Q$33)),4)</f>
        <v>1.2309000000000001</v>
      </c>
      <c r="AD19" s="2351">
        <f>ROUND(AVERAGE(I19:I$34)/100,4)</f>
        <v>2.4500000000000001E-2</v>
      </c>
      <c r="AE19" s="2351">
        <f>ROUND(AVERAGE(J19:J$34)/100,4)</f>
        <v>1.6500000000000001E-2</v>
      </c>
      <c r="AF19" s="2351">
        <f t="shared" si="1"/>
        <v>1.6500000000000001E-2</v>
      </c>
      <c r="AG19" s="2351">
        <f>ROUND(AVERAGE(K19:K$34)/100,4)</f>
        <v>2.7099999999999999E-2</v>
      </c>
      <c r="AH19" s="2351">
        <f>ROUND(AVERAGE(L19:L$34)/100,4)</f>
        <v>1.3899999999999999E-2</v>
      </c>
    </row>
    <row r="20" spans="1:34" s="2383" customFormat="1" ht="14.45" customHeight="1">
      <c r="A20" s="2364" t="s">
        <v>2701</v>
      </c>
      <c r="B20" s="2381">
        <f t="shared" si="124"/>
        <v>431.80730811680002</v>
      </c>
      <c r="C20" s="2381">
        <f t="shared" ref="C20" si="148">C21*(1+O20)</f>
        <v>320.57880516480003</v>
      </c>
      <c r="D20" s="2381">
        <f t="shared" si="136"/>
        <v>320.57880516480003</v>
      </c>
      <c r="E20" s="2381">
        <f t="shared" ref="E20:F22" si="149">E21*(1+P20)</f>
        <v>615.96110553196797</v>
      </c>
      <c r="F20" s="2381">
        <f t="shared" si="149"/>
        <v>279.46777300108801</v>
      </c>
      <c r="G20" s="3565"/>
      <c r="H20" s="2366">
        <v>3</v>
      </c>
      <c r="I20" s="2366">
        <v>2.98</v>
      </c>
      <c r="J20" s="2366">
        <v>2.11</v>
      </c>
      <c r="K20" s="2366">
        <v>3.24</v>
      </c>
      <c r="L20" s="2367">
        <v>1.72</v>
      </c>
      <c r="M20" s="2350"/>
      <c r="N20" s="2382">
        <f t="shared" si="139"/>
        <v>2.98E-2</v>
      </c>
      <c r="O20" s="2388">
        <f t="shared" ref="O20" si="150">J20/100</f>
        <v>2.1099999999999997E-2</v>
      </c>
      <c r="P20" s="2388">
        <f t="shared" ref="P20" si="151">K20/100</f>
        <v>3.2400000000000005E-2</v>
      </c>
      <c r="Q20" s="2388">
        <f t="shared" ref="Q20" si="152">L20/100</f>
        <v>1.72E-2</v>
      </c>
      <c r="R20" s="2350"/>
      <c r="S20" s="2382"/>
      <c r="T20" s="2351"/>
      <c r="U20" s="2351"/>
      <c r="V20" s="2351"/>
      <c r="W20" s="2350"/>
      <c r="X20" s="2350">
        <f>ROUND(SUMPRODUCT(PRODUCT(1+N20:N$33)),4)</f>
        <v>1.4034</v>
      </c>
      <c r="Y20" s="2350">
        <f>ROUND(SUMPRODUCT(PRODUCT(1+O20:O$33)),4)</f>
        <v>1.2463</v>
      </c>
      <c r="Z20" s="2350">
        <f t="shared" si="0"/>
        <v>1.2463</v>
      </c>
      <c r="AA20" s="2350">
        <f>ROUND(SUMPRODUCT(PRODUCT(1+P20:P$33)),4)</f>
        <v>1.4577</v>
      </c>
      <c r="AB20" s="2350">
        <f>ROUND(SUMPRODUCT(PRODUCT(1+Q20:Q$33)),4)</f>
        <v>1.2136</v>
      </c>
      <c r="AC20" s="2350"/>
      <c r="AD20" s="2351">
        <f>ROUND(AVERAGE(I20:I$34)/100,4)</f>
        <v>2.4899999999999999E-2</v>
      </c>
      <c r="AE20" s="2351">
        <f>ROUND(AVERAGE(J20:J$34)/100,4)</f>
        <v>1.6400000000000001E-2</v>
      </c>
      <c r="AF20" s="2351">
        <f t="shared" si="1"/>
        <v>1.6400000000000001E-2</v>
      </c>
      <c r="AG20" s="2351">
        <f>ROUND(AVERAGE(K20:K$34)/100,4)</f>
        <v>2.7799999999999998E-2</v>
      </c>
      <c r="AH20" s="2351">
        <f>ROUND(AVERAGE(L20:L$34)/100,4)</f>
        <v>1.3899999999999999E-2</v>
      </c>
    </row>
    <row r="21" spans="1:34" s="2359" customFormat="1" ht="14.45" customHeight="1">
      <c r="A21" s="2364" t="s">
        <v>1246</v>
      </c>
      <c r="B21" s="2381">
        <f t="shared" si="124"/>
        <v>419.31181600000002</v>
      </c>
      <c r="C21" s="2381">
        <f t="shared" ref="C21" si="153">C22*(1+O21)</f>
        <v>313.95436800000004</v>
      </c>
      <c r="D21" s="2381">
        <f t="shared" si="136"/>
        <v>313.95436800000004</v>
      </c>
      <c r="E21" s="2381">
        <f t="shared" si="149"/>
        <v>596.63028431999999</v>
      </c>
      <c r="F21" s="2381">
        <f t="shared" si="149"/>
        <v>274.74220703999998</v>
      </c>
      <c r="G21" s="3565"/>
      <c r="H21" s="2384">
        <v>2</v>
      </c>
      <c r="I21" s="2384">
        <v>3.4</v>
      </c>
      <c r="J21" s="2384">
        <v>2</v>
      </c>
      <c r="K21" s="2384">
        <v>3.82</v>
      </c>
      <c r="L21" s="2385">
        <v>1.68</v>
      </c>
      <c r="M21" s="2350"/>
      <c r="N21" s="2382">
        <f t="shared" si="139"/>
        <v>3.4000000000000002E-2</v>
      </c>
      <c r="O21" s="2388">
        <f t="shared" ref="O21" si="154">J21/100</f>
        <v>0.02</v>
      </c>
      <c r="P21" s="2388">
        <f t="shared" ref="P21" si="155">K21/100</f>
        <v>3.8199999999999998E-2</v>
      </c>
      <c r="Q21" s="2388">
        <f t="shared" ref="Q21" si="156">L21/100</f>
        <v>1.6799999999999999E-2</v>
      </c>
      <c r="R21" s="2350"/>
      <c r="S21" s="2382"/>
      <c r="T21" s="2351"/>
      <c r="U21" s="2351"/>
      <c r="V21" s="2351"/>
      <c r="W21" s="2350"/>
      <c r="X21" s="2389">
        <f>ROUND(SUMPRODUCT(PRODUCT(1+N21:N$33)),4)</f>
        <v>1.3628</v>
      </c>
      <c r="Y21" s="2389">
        <f>ROUND(SUMPRODUCT(PRODUCT(1+O21:O$33)),4)</f>
        <v>1.2205999999999999</v>
      </c>
      <c r="Z21" s="2389">
        <f t="shared" si="0"/>
        <v>1.2205999999999999</v>
      </c>
      <c r="AA21" s="2389">
        <f>ROUND(SUMPRODUCT(PRODUCT(1+P21:P$33)),4)</f>
        <v>1.4118999999999999</v>
      </c>
      <c r="AB21" s="2389">
        <f>ROUND(SUMPRODUCT(PRODUCT(1+Q21:Q$33)),4)</f>
        <v>1.1930000000000001</v>
      </c>
      <c r="AC21" s="2344"/>
      <c r="AD21" s="2390">
        <f>ROUND(AVERAGE(I21:I$34)/100,4)</f>
        <v>2.46E-2</v>
      </c>
      <c r="AE21" s="2390">
        <f>ROUND(AVERAGE(J21:J$34)/100,4)</f>
        <v>1.6E-2</v>
      </c>
      <c r="AF21" s="2390">
        <f t="shared" si="1"/>
        <v>1.6E-2</v>
      </c>
      <c r="AG21" s="2390">
        <f>ROUND(AVERAGE(K21:K$34)/100,4)</f>
        <v>2.75E-2</v>
      </c>
      <c r="AH21" s="2390">
        <f>ROUND(AVERAGE(L21:L$34)/100,4)</f>
        <v>1.37E-2</v>
      </c>
    </row>
    <row r="22" spans="1:34" s="2383" customFormat="1" ht="15" customHeight="1" thickBot="1">
      <c r="A22" s="2364" t="s">
        <v>1036</v>
      </c>
      <c r="B22" s="2381">
        <f t="shared" si="124"/>
        <v>405.524</v>
      </c>
      <c r="C22" s="2381">
        <f t="shared" ref="C22" si="157">C23*(1+O22)</f>
        <v>307.79840000000002</v>
      </c>
      <c r="D22" s="2381">
        <f t="shared" si="136"/>
        <v>307.79840000000002</v>
      </c>
      <c r="E22" s="2381">
        <f t="shared" si="149"/>
        <v>574.67759999999998</v>
      </c>
      <c r="F22" s="2381">
        <f t="shared" si="149"/>
        <v>270.20280000000002</v>
      </c>
      <c r="G22" s="3574"/>
      <c r="H22" s="2366">
        <v>1</v>
      </c>
      <c r="I22" s="2366">
        <v>3.45</v>
      </c>
      <c r="J22" s="2366">
        <v>1.92</v>
      </c>
      <c r="K22" s="2366">
        <v>3.92</v>
      </c>
      <c r="L22" s="2367">
        <v>1.58</v>
      </c>
      <c r="M22" s="2350"/>
      <c r="N22" s="2386">
        <f t="shared" si="139"/>
        <v>3.4500000000000003E-2</v>
      </c>
      <c r="O22" s="2387">
        <f t="shared" ref="O22:Q37" si="158">J22/100</f>
        <v>1.9199999999999998E-2</v>
      </c>
      <c r="P22" s="2387">
        <f t="shared" si="158"/>
        <v>3.9199999999999999E-2</v>
      </c>
      <c r="Q22" s="2387">
        <f t="shared" si="158"/>
        <v>1.5800000000000002E-2</v>
      </c>
      <c r="R22" s="2350"/>
      <c r="S22" s="2386">
        <f>B22/B23-1</f>
        <v>3.4499999999999975E-2</v>
      </c>
      <c r="T22" s="2387">
        <f>C22/C23-1</f>
        <v>1.9200000000000106E-2</v>
      </c>
      <c r="U22" s="2387">
        <f>E22/E23-1</f>
        <v>3.9199999999999902E-2</v>
      </c>
      <c r="V22" s="2387">
        <f>F22/F23-1</f>
        <v>1.5800000000000036E-2</v>
      </c>
      <c r="W22" s="2350"/>
      <c r="X22" s="2350">
        <f>ROUND(SUMPRODUCT(PRODUCT(1+N22:N$33)),4)</f>
        <v>1.3180000000000001</v>
      </c>
      <c r="Y22" s="2350">
        <f>ROUND(SUMPRODUCT(PRODUCT(1+O22:O$33)),4)</f>
        <v>1.1966000000000001</v>
      </c>
      <c r="Z22" s="2350">
        <f t="shared" si="0"/>
        <v>1.1966000000000001</v>
      </c>
      <c r="AA22" s="2350">
        <f>ROUND(SUMPRODUCT(PRODUCT(1+P22:P$33)),4)</f>
        <v>1.36</v>
      </c>
      <c r="AB22" s="2350">
        <f>ROUND(SUMPRODUCT(PRODUCT(1+Q22:Q$33)),4)</f>
        <v>1.1733</v>
      </c>
      <c r="AC22" s="2350"/>
      <c r="AD22" s="2351">
        <f>ROUND(AVERAGE(I22:I$34)/100,4)</f>
        <v>2.3900000000000001E-2</v>
      </c>
      <c r="AE22" s="2351">
        <f>ROUND(AVERAGE(J22:J$34)/100,4)</f>
        <v>1.5699999999999999E-2</v>
      </c>
      <c r="AF22" s="2351">
        <f t="shared" si="1"/>
        <v>1.5699999999999999E-2</v>
      </c>
      <c r="AG22" s="2351">
        <f>ROUND(AVERAGE(K22:K$34)/100,4)</f>
        <v>2.6599999999999999E-2</v>
      </c>
      <c r="AH22" s="2351">
        <f>ROUND(AVERAGE(L22:L$34)/100,4)</f>
        <v>1.34E-2</v>
      </c>
    </row>
    <row r="23" spans="1:34">
      <c r="A23" s="2364" t="s">
        <v>1037</v>
      </c>
      <c r="B23" s="2374">
        <v>392</v>
      </c>
      <c r="C23" s="2374">
        <v>302</v>
      </c>
      <c r="D23" s="2374">
        <f t="shared" si="136"/>
        <v>302</v>
      </c>
      <c r="E23" s="2374">
        <v>553</v>
      </c>
      <c r="F23" s="2375">
        <v>266</v>
      </c>
      <c r="G23" s="3570">
        <v>2016</v>
      </c>
      <c r="H23" s="2372">
        <v>4</v>
      </c>
      <c r="I23" s="2372">
        <v>4.5599999999999996</v>
      </c>
      <c r="J23" s="2372">
        <v>2.15</v>
      </c>
      <c r="K23" s="2372">
        <v>5.32</v>
      </c>
      <c r="L23" s="2373">
        <v>1.57</v>
      </c>
      <c r="N23" s="2382">
        <f t="shared" si="139"/>
        <v>4.5599999999999995E-2</v>
      </c>
      <c r="O23" s="2351">
        <f t="shared" si="158"/>
        <v>2.1499999999999998E-2</v>
      </c>
      <c r="P23" s="2351">
        <f t="shared" si="158"/>
        <v>5.3200000000000004E-2</v>
      </c>
      <c r="Q23" s="2351">
        <f t="shared" si="158"/>
        <v>1.5700000000000002E-2</v>
      </c>
      <c r="R23" s="2378"/>
      <c r="S23" s="2379"/>
      <c r="T23" s="2380"/>
      <c r="U23" s="2380"/>
      <c r="V23" s="2380"/>
      <c r="X23" s="2350">
        <f>ROUND(SUMPRODUCT(PRODUCT(1+N23:N$33)),4)</f>
        <v>1.274</v>
      </c>
      <c r="Y23" s="2350">
        <f>ROUND(SUMPRODUCT(PRODUCT(1+O23:O$33)),4)</f>
        <v>1.1740999999999999</v>
      </c>
      <c r="Z23" s="2350">
        <f t="shared" si="0"/>
        <v>1.1740999999999999</v>
      </c>
      <c r="AA23" s="2350">
        <f>ROUND(SUMPRODUCT(PRODUCT(1+P23:P$33)),4)</f>
        <v>1.3087</v>
      </c>
      <c r="AB23" s="2350">
        <f>ROUND(SUMPRODUCT(PRODUCT(1+Q23:Q$33)),4)</f>
        <v>1.1551</v>
      </c>
      <c r="AD23" s="2351">
        <f>ROUND(AVERAGE(I23:I$34)/100,4)</f>
        <v>2.3E-2</v>
      </c>
      <c r="AE23" s="2351">
        <f>ROUND(AVERAGE(J23:J$34)/100,4)</f>
        <v>1.55E-2</v>
      </c>
      <c r="AF23" s="2351">
        <f t="shared" ref="AF23:AF32" si="159">AE23</f>
        <v>1.55E-2</v>
      </c>
      <c r="AG23" s="2351">
        <f>ROUND(AVERAGE(K23:K$34)/100,4)</f>
        <v>2.5600000000000001E-2</v>
      </c>
      <c r="AH23" s="2351">
        <f>ROUND(AVERAGE(L23:L$34)/100,4)</f>
        <v>1.32E-2</v>
      </c>
    </row>
    <row r="24" spans="1:34">
      <c r="A24" s="2364" t="s">
        <v>103</v>
      </c>
      <c r="B24" s="2381">
        <f t="shared" ref="B24:C26" si="160">B23/(1+N23)</f>
        <v>374.90436113236416</v>
      </c>
      <c r="C24" s="2381">
        <f t="shared" si="160"/>
        <v>295.64366128242779</v>
      </c>
      <c r="D24" s="2381">
        <f t="shared" ref="D24:D83" si="161">C24</f>
        <v>295.64366128242779</v>
      </c>
      <c r="E24" s="2381">
        <f t="shared" ref="E24:F26" si="162">E23/(1+P23)</f>
        <v>525.06646410938095</v>
      </c>
      <c r="F24" s="2381">
        <f t="shared" si="162"/>
        <v>261.88835286009646</v>
      </c>
      <c r="G24" s="3565"/>
      <c r="H24" s="2366">
        <v>3</v>
      </c>
      <c r="I24" s="2366">
        <v>4.12</v>
      </c>
      <c r="J24" s="2366">
        <v>2</v>
      </c>
      <c r="K24" s="2366">
        <v>4.79</v>
      </c>
      <c r="L24" s="2367">
        <v>1.97</v>
      </c>
      <c r="N24" s="2382">
        <f t="shared" ref="N24:Q58" si="163">I24/100</f>
        <v>4.1200000000000001E-2</v>
      </c>
      <c r="O24" s="2351">
        <f t="shared" si="158"/>
        <v>0.02</v>
      </c>
      <c r="P24" s="2351">
        <f t="shared" si="158"/>
        <v>4.7899999999999998E-2</v>
      </c>
      <c r="Q24" s="2351">
        <f t="shared" si="158"/>
        <v>1.9699999999999999E-2</v>
      </c>
      <c r="R24" s="2378"/>
      <c r="S24" s="2382"/>
      <c r="T24" s="2351"/>
      <c r="U24" s="2351"/>
      <c r="V24" s="2351"/>
      <c r="X24" s="2350">
        <f>ROUND(SUMPRODUCT(PRODUCT(1+N24:N$33)),4)</f>
        <v>1.2184999999999999</v>
      </c>
      <c r="Y24" s="2350">
        <f>ROUND(SUMPRODUCT(PRODUCT(1+O24:O$33)),4)</f>
        <v>1.1494</v>
      </c>
      <c r="Z24" s="2350">
        <f t="shared" si="0"/>
        <v>1.1494</v>
      </c>
      <c r="AA24" s="2350">
        <f>ROUND(SUMPRODUCT(PRODUCT(1+P24:P$33)),4)</f>
        <v>1.2425999999999999</v>
      </c>
      <c r="AB24" s="2350">
        <f>ROUND(SUMPRODUCT(PRODUCT(1+Q24:Q$33)),4)</f>
        <v>1.1372</v>
      </c>
      <c r="AD24" s="2351">
        <f>ROUND(AVERAGE(I24:I$34)/100,4)</f>
        <v>2.0899999999999998E-2</v>
      </c>
      <c r="AE24" s="2351">
        <f>ROUND(AVERAGE(J24:J$34)/100,4)</f>
        <v>1.49E-2</v>
      </c>
      <c r="AF24" s="2351">
        <f t="shared" si="159"/>
        <v>1.49E-2</v>
      </c>
      <c r="AG24" s="2351">
        <f>ROUND(AVERAGE(K24:K$34)/100,4)</f>
        <v>2.3099999999999999E-2</v>
      </c>
      <c r="AH24" s="2351">
        <f>ROUND(AVERAGE(L24:L$34)/100,4)</f>
        <v>1.2999999999999999E-2</v>
      </c>
    </row>
    <row r="25" spans="1:34">
      <c r="A25" s="2364" t="s">
        <v>93</v>
      </c>
      <c r="B25" s="2381">
        <f t="shared" si="160"/>
        <v>360.06949782209392</v>
      </c>
      <c r="C25" s="2381">
        <f t="shared" si="160"/>
        <v>289.84672674747821</v>
      </c>
      <c r="D25" s="2381">
        <f t="shared" si="161"/>
        <v>289.84672674747821</v>
      </c>
      <c r="E25" s="2381">
        <f t="shared" si="162"/>
        <v>501.06543001181495</v>
      </c>
      <c r="F25" s="2381">
        <f t="shared" si="162"/>
        <v>256.82882500744967</v>
      </c>
      <c r="G25" s="3565"/>
      <c r="H25" s="2384">
        <v>2</v>
      </c>
      <c r="I25" s="2384">
        <v>3.85</v>
      </c>
      <c r="J25" s="2384">
        <v>1.95</v>
      </c>
      <c r="K25" s="2384">
        <v>4.4800000000000004</v>
      </c>
      <c r="L25" s="2385">
        <v>1.41</v>
      </c>
      <c r="N25" s="2382">
        <f t="shared" si="163"/>
        <v>3.85E-2</v>
      </c>
      <c r="O25" s="2351">
        <f t="shared" si="158"/>
        <v>1.95E-2</v>
      </c>
      <c r="P25" s="2351">
        <f t="shared" si="158"/>
        <v>4.4800000000000006E-2</v>
      </c>
      <c r="Q25" s="2351">
        <f t="shared" si="158"/>
        <v>1.41E-2</v>
      </c>
      <c r="R25" s="2378"/>
      <c r="S25" s="2382"/>
      <c r="T25" s="2351"/>
      <c r="U25" s="2351"/>
      <c r="V25" s="2351"/>
      <c r="X25" s="2350">
        <f>ROUND(SUMPRODUCT(PRODUCT(1+N25:N$33)),4)</f>
        <v>1.1702999999999999</v>
      </c>
      <c r="Y25" s="2350">
        <f>ROUND(SUMPRODUCT(PRODUCT(1+O25:O$33)),4)</f>
        <v>1.1269</v>
      </c>
      <c r="Z25" s="2350">
        <f t="shared" si="0"/>
        <v>1.1269</v>
      </c>
      <c r="AA25" s="2350">
        <f>ROUND(SUMPRODUCT(PRODUCT(1+P25:P$33)),4)</f>
        <v>1.1858</v>
      </c>
      <c r="AB25" s="2350">
        <f>ROUND(SUMPRODUCT(PRODUCT(1+Q25:Q$33)),4)</f>
        <v>1.1152</v>
      </c>
      <c r="AD25" s="2351">
        <f>ROUND(AVERAGE(I25:I$34)/100,4)</f>
        <v>1.89E-2</v>
      </c>
      <c r="AE25" s="2351">
        <f>ROUND(AVERAGE(J25:J$34)/100,4)</f>
        <v>1.44E-2</v>
      </c>
      <c r="AF25" s="2351">
        <f t="shared" si="159"/>
        <v>1.44E-2</v>
      </c>
      <c r="AG25" s="2351">
        <f>ROUND(AVERAGE(K25:K$34)/100,4)</f>
        <v>2.06E-2</v>
      </c>
      <c r="AH25" s="2351">
        <f>ROUND(AVERAGE(L25:L$34)/100,4)</f>
        <v>1.23E-2</v>
      </c>
    </row>
    <row r="26" spans="1:34" ht="13.5" thickBot="1">
      <c r="A26" s="2364" t="s">
        <v>102</v>
      </c>
      <c r="B26" s="2381">
        <f t="shared" si="160"/>
        <v>346.720748986128</v>
      </c>
      <c r="C26" s="2381">
        <f t="shared" si="160"/>
        <v>284.30282172386285</v>
      </c>
      <c r="D26" s="2381">
        <f t="shared" si="161"/>
        <v>284.30282172386285</v>
      </c>
      <c r="E26" s="2381">
        <f t="shared" si="162"/>
        <v>479.58023546306947</v>
      </c>
      <c r="F26" s="2381">
        <f t="shared" si="162"/>
        <v>253.25788877571213</v>
      </c>
      <c r="G26" s="3566"/>
      <c r="H26" s="2366">
        <v>1</v>
      </c>
      <c r="I26" s="2366">
        <v>4.09</v>
      </c>
      <c r="J26" s="2366">
        <v>2.93</v>
      </c>
      <c r="K26" s="2366">
        <v>4.54</v>
      </c>
      <c r="L26" s="2367">
        <v>1.48</v>
      </c>
      <c r="N26" s="2382">
        <f t="shared" si="163"/>
        <v>4.0899999999999999E-2</v>
      </c>
      <c r="O26" s="2351">
        <f t="shared" si="158"/>
        <v>2.9300000000000003E-2</v>
      </c>
      <c r="P26" s="2351">
        <f t="shared" si="158"/>
        <v>4.5400000000000003E-2</v>
      </c>
      <c r="Q26" s="2351">
        <f t="shared" si="158"/>
        <v>1.4800000000000001E-2</v>
      </c>
      <c r="R26" s="2378"/>
      <c r="S26" s="2386">
        <f>B26/B27-1</f>
        <v>4.1203450408792808E-2</v>
      </c>
      <c r="T26" s="2387">
        <f>C26/C27-1</f>
        <v>2.6363977342465095E-2</v>
      </c>
      <c r="U26" s="2387">
        <f>E26/E27-1</f>
        <v>4.4837114298626357E-2</v>
      </c>
      <c r="V26" s="2387">
        <f>F26/F27-1</f>
        <v>1.7099954922538574E-2</v>
      </c>
      <c r="X26" s="2350">
        <f>ROUND(SUMPRODUCT(PRODUCT(1+N26:N$33)),4)</f>
        <v>1.1269</v>
      </c>
      <c r="Y26" s="2350">
        <f>ROUND(SUMPRODUCT(PRODUCT(1+O26:O$33)),4)</f>
        <v>1.1052999999999999</v>
      </c>
      <c r="Z26" s="2350">
        <f t="shared" si="0"/>
        <v>1.1052999999999999</v>
      </c>
      <c r="AA26" s="2350">
        <f>ROUND(SUMPRODUCT(PRODUCT(1+P26:P$33)),4)</f>
        <v>1.1349</v>
      </c>
      <c r="AB26" s="2350">
        <f>ROUND(SUMPRODUCT(PRODUCT(1+Q26:Q$33)),4)</f>
        <v>1.0996999999999999</v>
      </c>
      <c r="AD26" s="2351">
        <f>ROUND(AVERAGE(I26:I$34)/100,4)</f>
        <v>1.67E-2</v>
      </c>
      <c r="AE26" s="2351">
        <f>ROUND(AVERAGE(J26:J$34)/100,4)</f>
        <v>1.38E-2</v>
      </c>
      <c r="AF26" s="2351">
        <f t="shared" si="159"/>
        <v>1.38E-2</v>
      </c>
      <c r="AG26" s="2351">
        <f>ROUND(AVERAGE(K26:K$34)/100,4)</f>
        <v>1.7899999999999999E-2</v>
      </c>
      <c r="AH26" s="2351">
        <f>ROUND(AVERAGE(L26:L$34)/100,4)</f>
        <v>1.21E-2</v>
      </c>
    </row>
    <row r="27" spans="1:34" ht="13.5" thickBot="1">
      <c r="A27" s="2364" t="s">
        <v>101</v>
      </c>
      <c r="B27" s="2374">
        <v>333</v>
      </c>
      <c r="C27" s="2374">
        <v>277</v>
      </c>
      <c r="D27" s="2374">
        <f t="shared" si="161"/>
        <v>277</v>
      </c>
      <c r="E27" s="2374">
        <v>459</v>
      </c>
      <c r="F27" s="2375">
        <v>249</v>
      </c>
      <c r="G27" s="3564">
        <v>2015</v>
      </c>
      <c r="H27" s="2391">
        <v>4</v>
      </c>
      <c r="I27" s="2391">
        <v>1.63</v>
      </c>
      <c r="J27" s="2391">
        <v>1.1100000000000001</v>
      </c>
      <c r="K27" s="2391">
        <v>1.77</v>
      </c>
      <c r="L27" s="2392">
        <v>1.89</v>
      </c>
      <c r="N27" s="2376">
        <f t="shared" si="163"/>
        <v>1.6299999999999999E-2</v>
      </c>
      <c r="O27" s="2377">
        <f t="shared" si="158"/>
        <v>1.11E-2</v>
      </c>
      <c r="P27" s="2377">
        <f t="shared" si="158"/>
        <v>1.77E-2</v>
      </c>
      <c r="Q27" s="2377">
        <f t="shared" si="158"/>
        <v>1.89E-2</v>
      </c>
      <c r="R27" s="2378"/>
      <c r="X27" s="2350">
        <f>ROUND(SUMPRODUCT(PRODUCT(1+N27:N$33)),4)</f>
        <v>1.0826</v>
      </c>
      <c r="Y27" s="2350">
        <f>ROUND(SUMPRODUCT(PRODUCT(1+O27:O$33)),4)</f>
        <v>1.0738000000000001</v>
      </c>
      <c r="Z27" s="2350">
        <f t="shared" si="0"/>
        <v>1.0738000000000001</v>
      </c>
      <c r="AA27" s="2350">
        <f>ROUND(SUMPRODUCT(PRODUCT(1+P27:P$33)),4)</f>
        <v>1.0855999999999999</v>
      </c>
      <c r="AB27" s="2350">
        <f>ROUND(SUMPRODUCT(PRODUCT(1+Q27:Q$33)),4)</f>
        <v>1.0837000000000001</v>
      </c>
      <c r="AD27" s="2351">
        <f>ROUND(AVERAGE(I27:I$34)/100,4)</f>
        <v>1.37E-2</v>
      </c>
      <c r="AE27" s="2351">
        <f>ROUND(AVERAGE(J27:J$34)/100,4)</f>
        <v>1.1900000000000001E-2</v>
      </c>
      <c r="AF27" s="2351">
        <f t="shared" si="159"/>
        <v>1.1900000000000001E-2</v>
      </c>
      <c r="AG27" s="2351">
        <f>ROUND(AVERAGE(K27:K$34)/100,4)</f>
        <v>1.4500000000000001E-2</v>
      </c>
      <c r="AH27" s="2351">
        <f>ROUND(AVERAGE(L27:L$34)/100,4)</f>
        <v>1.18E-2</v>
      </c>
    </row>
    <row r="28" spans="1:34">
      <c r="A28" s="2364" t="s">
        <v>100</v>
      </c>
      <c r="B28" s="2381">
        <f t="shared" ref="B28:C30" si="164">B27/(1+N27)</f>
        <v>327.65915576109415</v>
      </c>
      <c r="C28" s="2381">
        <f t="shared" si="164"/>
        <v>273.95905449510434</v>
      </c>
      <c r="D28" s="2381">
        <f t="shared" si="161"/>
        <v>273.95905449510434</v>
      </c>
      <c r="E28" s="2381">
        <f t="shared" ref="E28:F30" si="165">E27/(1+P27)</f>
        <v>451.01699911565294</v>
      </c>
      <c r="F28" s="2381">
        <f t="shared" si="165"/>
        <v>244.38119540681129</v>
      </c>
      <c r="G28" s="3565"/>
      <c r="H28" s="2394">
        <v>3</v>
      </c>
      <c r="I28" s="2394">
        <v>1.65</v>
      </c>
      <c r="J28" s="2394">
        <v>0.92</v>
      </c>
      <c r="K28" s="2394">
        <v>1.88</v>
      </c>
      <c r="L28" s="2395">
        <v>1.26</v>
      </c>
      <c r="N28" s="2382">
        <f t="shared" si="163"/>
        <v>1.6500000000000001E-2</v>
      </c>
      <c r="O28" s="2388">
        <f t="shared" si="158"/>
        <v>9.1999999999999998E-3</v>
      </c>
      <c r="P28" s="2388">
        <f t="shared" si="158"/>
        <v>1.8799999999999997E-2</v>
      </c>
      <c r="Q28" s="2388">
        <f t="shared" si="158"/>
        <v>1.26E-2</v>
      </c>
      <c r="R28" s="2378"/>
      <c r="S28" s="2382"/>
      <c r="T28" s="2351"/>
      <c r="U28" s="2351"/>
      <c r="V28" s="2351"/>
      <c r="X28" s="2350">
        <f>ROUND(SUMPRODUCT(PRODUCT(1+N28:N$33)),4)</f>
        <v>1.0651999999999999</v>
      </c>
      <c r="Y28" s="2350">
        <f>ROUND(SUMPRODUCT(PRODUCT(1+O28:O$33)),4)</f>
        <v>1.0621</v>
      </c>
      <c r="Z28" s="2350">
        <f t="shared" si="0"/>
        <v>1.0621</v>
      </c>
      <c r="AA28" s="2350">
        <f>ROUND(SUMPRODUCT(PRODUCT(1+P28:P$33)),4)</f>
        <v>1.0668</v>
      </c>
      <c r="AB28" s="2350">
        <f>ROUND(SUMPRODUCT(PRODUCT(1+Q28:Q$33)),4)</f>
        <v>1.0636000000000001</v>
      </c>
      <c r="AD28" s="2351">
        <f>ROUND(AVERAGE(I28:I$34)/100,4)</f>
        <v>1.3299999999999999E-2</v>
      </c>
      <c r="AE28" s="2351">
        <f>ROUND(AVERAGE(J28:J$34)/100,4)</f>
        <v>1.2E-2</v>
      </c>
      <c r="AF28" s="2351">
        <f t="shared" si="159"/>
        <v>1.2E-2</v>
      </c>
      <c r="AG28" s="2351">
        <f>ROUND(AVERAGE(K28:K$34)/100,4)</f>
        <v>1.4E-2</v>
      </c>
      <c r="AH28" s="2351">
        <f>ROUND(AVERAGE(L28:L$34)/100,4)</f>
        <v>1.0800000000000001E-2</v>
      </c>
    </row>
    <row r="29" spans="1:34">
      <c r="A29" s="2364" t="s">
        <v>99</v>
      </c>
      <c r="B29" s="2381">
        <f t="shared" si="164"/>
        <v>322.34053690220776</v>
      </c>
      <c r="C29" s="2381">
        <f t="shared" si="164"/>
        <v>271.46160770422546</v>
      </c>
      <c r="D29" s="2381">
        <f t="shared" si="161"/>
        <v>271.46160770422546</v>
      </c>
      <c r="E29" s="2381">
        <f t="shared" si="165"/>
        <v>442.69434542172456</v>
      </c>
      <c r="F29" s="2381">
        <f t="shared" si="165"/>
        <v>241.34030753190925</v>
      </c>
      <c r="G29" s="3565"/>
      <c r="H29" s="2384">
        <v>2</v>
      </c>
      <c r="I29" s="2384">
        <v>0.77</v>
      </c>
      <c r="J29" s="2384">
        <v>0.69</v>
      </c>
      <c r="K29" s="2384">
        <v>0.8</v>
      </c>
      <c r="L29" s="2385">
        <v>0.88</v>
      </c>
      <c r="N29" s="2382">
        <f t="shared" si="163"/>
        <v>7.7000000000000002E-3</v>
      </c>
      <c r="O29" s="2388">
        <f t="shared" si="158"/>
        <v>6.8999999999999999E-3</v>
      </c>
      <c r="P29" s="2388">
        <f t="shared" si="158"/>
        <v>8.0000000000000002E-3</v>
      </c>
      <c r="Q29" s="2388">
        <f t="shared" si="158"/>
        <v>8.8000000000000005E-3</v>
      </c>
      <c r="R29" s="2378"/>
      <c r="S29" s="2382"/>
      <c r="T29" s="2351"/>
      <c r="U29" s="2351"/>
      <c r="V29" s="2351"/>
      <c r="X29" s="2350">
        <f>ROUND(SUMPRODUCT(PRODUCT(1+N29:N$33)),4)</f>
        <v>1.048</v>
      </c>
      <c r="Y29" s="2350">
        <f>ROUND(SUMPRODUCT(PRODUCT(1+O29:O$33)),4)</f>
        <v>1.0524</v>
      </c>
      <c r="Z29" s="2350">
        <f t="shared" si="0"/>
        <v>1.0524</v>
      </c>
      <c r="AA29" s="2350">
        <f>ROUND(SUMPRODUCT(PRODUCT(1+P29:P$33)),4)</f>
        <v>1.0470999999999999</v>
      </c>
      <c r="AB29" s="2350">
        <f>ROUND(SUMPRODUCT(PRODUCT(1+Q29:Q$33)),4)</f>
        <v>1.0504</v>
      </c>
      <c r="AD29" s="2351">
        <f>ROUND(AVERAGE(I29:I$34)/100,4)</f>
        <v>1.2800000000000001E-2</v>
      </c>
      <c r="AE29" s="2351">
        <f>ROUND(AVERAGE(J29:J$34)/100,4)</f>
        <v>1.2500000000000001E-2</v>
      </c>
      <c r="AF29" s="2351">
        <f t="shared" si="159"/>
        <v>1.2500000000000001E-2</v>
      </c>
      <c r="AG29" s="2351">
        <f>ROUND(AVERAGE(K29:K$34)/100,4)</f>
        <v>1.32E-2</v>
      </c>
      <c r="AH29" s="2351">
        <f>ROUND(AVERAGE(L29:L$34)/100,4)</f>
        <v>1.0500000000000001E-2</v>
      </c>
    </row>
    <row r="30" spans="1:34">
      <c r="A30" s="2364" t="s">
        <v>98</v>
      </c>
      <c r="B30" s="2381">
        <f t="shared" si="164"/>
        <v>319.87748030386797</v>
      </c>
      <c r="C30" s="2381">
        <f t="shared" si="164"/>
        <v>269.60135833173649</v>
      </c>
      <c r="D30" s="2381">
        <f t="shared" si="161"/>
        <v>269.60135833173649</v>
      </c>
      <c r="E30" s="2381">
        <f t="shared" si="165"/>
        <v>439.18089823583784</v>
      </c>
      <c r="F30" s="2381">
        <f t="shared" si="165"/>
        <v>239.23503918706311</v>
      </c>
      <c r="G30" s="3566"/>
      <c r="H30" s="2366">
        <v>1</v>
      </c>
      <c r="I30" s="2366">
        <v>0.51</v>
      </c>
      <c r="J30" s="2366">
        <v>0.54</v>
      </c>
      <c r="K30" s="2366">
        <v>0.48</v>
      </c>
      <c r="L30" s="2367">
        <v>0.93</v>
      </c>
      <c r="N30" s="2386">
        <f t="shared" si="163"/>
        <v>5.1000000000000004E-3</v>
      </c>
      <c r="O30" s="2387">
        <f t="shared" si="158"/>
        <v>5.4000000000000003E-3</v>
      </c>
      <c r="P30" s="2387">
        <f t="shared" si="158"/>
        <v>4.7999999999999996E-3</v>
      </c>
      <c r="Q30" s="2387">
        <f t="shared" si="158"/>
        <v>9.300000000000001E-3</v>
      </c>
      <c r="R30" s="2378"/>
      <c r="S30" s="2386">
        <f>B30/B31-1</f>
        <v>5.9040261127922822E-3</v>
      </c>
      <c r="T30" s="2387">
        <f>C30/C31-1</f>
        <v>5.9752176557332781E-3</v>
      </c>
      <c r="U30" s="2387">
        <f>E30/E31-1</f>
        <v>4.9906138119859556E-3</v>
      </c>
      <c r="V30" s="2387">
        <f>F30/F31-1</f>
        <v>9.4305450930933787E-3</v>
      </c>
      <c r="X30" s="2350">
        <f>ROUND(SUMPRODUCT(PRODUCT(1+N30:N$33)),4)</f>
        <v>1.0399</v>
      </c>
      <c r="Y30" s="2350">
        <f>ROUND(SUMPRODUCT(PRODUCT(1+O30:O$33)),4)</f>
        <v>1.0451999999999999</v>
      </c>
      <c r="Z30" s="2350">
        <f t="shared" si="0"/>
        <v>1.0451999999999999</v>
      </c>
      <c r="AA30" s="2350">
        <f>ROUND(SUMPRODUCT(PRODUCT(1+P30:P$33)),4)</f>
        <v>1.0387999999999999</v>
      </c>
      <c r="AB30" s="2350">
        <f>ROUND(SUMPRODUCT(PRODUCT(1+Q30:Q$33)),4)</f>
        <v>1.0411999999999999</v>
      </c>
      <c r="AD30" s="2351">
        <f>ROUND(AVERAGE(I30:I$34)/100,4)</f>
        <v>1.38E-2</v>
      </c>
      <c r="AE30" s="2351">
        <f>ROUND(AVERAGE(J30:J$34)/100,4)</f>
        <v>1.3599999999999999E-2</v>
      </c>
      <c r="AF30" s="2351">
        <f t="shared" si="159"/>
        <v>1.3599999999999999E-2</v>
      </c>
      <c r="AG30" s="2351">
        <f>ROUND(AVERAGE(K30:K$34)/100,4)</f>
        <v>1.4200000000000001E-2</v>
      </c>
      <c r="AH30" s="2351">
        <f>ROUND(AVERAGE(L30:L$34)/100,4)</f>
        <v>1.0800000000000001E-2</v>
      </c>
    </row>
    <row r="31" spans="1:34" ht="13.5" thickBot="1">
      <c r="A31" s="2364" t="s">
        <v>97</v>
      </c>
      <c r="B31" s="2396">
        <v>318</v>
      </c>
      <c r="C31" s="2396">
        <v>268</v>
      </c>
      <c r="D31" s="2396">
        <f t="shared" si="161"/>
        <v>268</v>
      </c>
      <c r="E31" s="2396">
        <v>437</v>
      </c>
      <c r="F31" s="2397">
        <v>237</v>
      </c>
      <c r="G31" s="3564">
        <v>2014</v>
      </c>
      <c r="H31" s="2391">
        <v>4</v>
      </c>
      <c r="I31" s="2391">
        <v>0.21</v>
      </c>
      <c r="J31" s="2391">
        <v>0.41</v>
      </c>
      <c r="K31" s="2391">
        <v>0.12</v>
      </c>
      <c r="L31" s="2392">
        <v>0.89</v>
      </c>
      <c r="N31" s="2382">
        <f t="shared" si="163"/>
        <v>2.0999999999999999E-3</v>
      </c>
      <c r="O31" s="2351">
        <f t="shared" si="158"/>
        <v>4.0999999999999995E-3</v>
      </c>
      <c r="P31" s="2351">
        <f t="shared" si="158"/>
        <v>1.1999999999999999E-3</v>
      </c>
      <c r="Q31" s="2351">
        <f t="shared" si="158"/>
        <v>8.8999999999999999E-3</v>
      </c>
      <c r="R31" s="2378"/>
      <c r="S31" s="2379"/>
      <c r="T31" s="2380"/>
      <c r="U31" s="2380"/>
      <c r="V31" s="2380"/>
      <c r="X31" s="2350">
        <f>ROUND(SUMPRODUCT(PRODUCT(1+N31:N$33)),4)</f>
        <v>1.0347</v>
      </c>
      <c r="Y31" s="2350">
        <f>ROUND(SUMPRODUCT(PRODUCT(1+O31:O$33)),4)</f>
        <v>1.0395000000000001</v>
      </c>
      <c r="Z31" s="2350">
        <f t="shared" si="0"/>
        <v>1.0395000000000001</v>
      </c>
      <c r="AA31" s="2350">
        <f>ROUND(SUMPRODUCT(PRODUCT(1+P31:P$33)),4)</f>
        <v>1.0338000000000001</v>
      </c>
      <c r="AB31" s="2350">
        <f>ROUND(SUMPRODUCT(PRODUCT(1+Q31:Q$33)),4)</f>
        <v>1.0316000000000001</v>
      </c>
      <c r="AD31" s="2351">
        <f>ROUND(AVERAGE(I31:I$34)/100,4)</f>
        <v>1.6E-2</v>
      </c>
      <c r="AE31" s="2351">
        <f>ROUND(AVERAGE(J31:J$34)/100,4)</f>
        <v>1.5599999999999999E-2</v>
      </c>
      <c r="AF31" s="2351">
        <f t="shared" si="159"/>
        <v>1.5599999999999999E-2</v>
      </c>
      <c r="AG31" s="2351">
        <f>ROUND(AVERAGE(K31:K$34)/100,4)</f>
        <v>1.66E-2</v>
      </c>
      <c r="AH31" s="2351">
        <f>ROUND(AVERAGE(L31:L$34)/100,4)</f>
        <v>1.12E-2</v>
      </c>
    </row>
    <row r="32" spans="1:34">
      <c r="A32" s="2364" t="s">
        <v>96</v>
      </c>
      <c r="B32" s="2381">
        <f t="shared" ref="B32:C34" si="166">B31/(1+N31)</f>
        <v>317.33359944117353</v>
      </c>
      <c r="C32" s="2381">
        <f t="shared" si="166"/>
        <v>266.90568668459315</v>
      </c>
      <c r="D32" s="2381">
        <f t="shared" si="161"/>
        <v>266.90568668459315</v>
      </c>
      <c r="E32" s="2381">
        <f t="shared" ref="E32:F34" si="167">E31/(1+P31)</f>
        <v>436.47622852576905</v>
      </c>
      <c r="F32" s="2381">
        <f t="shared" si="167"/>
        <v>234.90930716622066</v>
      </c>
      <c r="G32" s="3565"/>
      <c r="H32" s="2398">
        <v>3</v>
      </c>
      <c r="I32" s="2398">
        <v>0.83</v>
      </c>
      <c r="J32" s="2398">
        <v>1.47</v>
      </c>
      <c r="K32" s="2398">
        <v>0.65</v>
      </c>
      <c r="L32" s="2399">
        <v>0.72</v>
      </c>
      <c r="N32" s="2382">
        <f t="shared" si="163"/>
        <v>8.3000000000000001E-3</v>
      </c>
      <c r="O32" s="2351">
        <f t="shared" si="158"/>
        <v>1.47E-2</v>
      </c>
      <c r="P32" s="2351">
        <f t="shared" si="158"/>
        <v>6.5000000000000006E-3</v>
      </c>
      <c r="Q32" s="2351">
        <f t="shared" si="158"/>
        <v>7.1999999999999998E-3</v>
      </c>
      <c r="R32" s="2378"/>
      <c r="S32" s="2382"/>
      <c r="T32" s="2351"/>
      <c r="U32" s="2351"/>
      <c r="V32" s="2351"/>
      <c r="X32" s="2350">
        <f>ROUND(SUMPRODUCT(PRODUCT(1+N32:N$33)),4)</f>
        <v>1.0325</v>
      </c>
      <c r="Y32" s="2350">
        <f>ROUND(SUMPRODUCT(PRODUCT(1+O32:O$33)),4)</f>
        <v>1.0353000000000001</v>
      </c>
      <c r="Z32" s="2350">
        <f t="shared" ref="Z32:Z33" si="168">Y32</f>
        <v>1.0353000000000001</v>
      </c>
      <c r="AA32" s="2350">
        <f>ROUND(SUMPRODUCT(PRODUCT(1+P32:P$33)),4)</f>
        <v>1.0326</v>
      </c>
      <c r="AB32" s="2350">
        <f>ROUND(SUMPRODUCT(PRODUCT(1+Q32:Q$33)),4)</f>
        <v>1.0225</v>
      </c>
      <c r="AD32" s="2351">
        <f>ROUND(AVERAGE(I32:I$34)/100,4)</f>
        <v>2.07E-2</v>
      </c>
      <c r="AE32" s="2351">
        <f>ROUND(AVERAGE(J32:J$34)/100,4)</f>
        <v>1.95E-2</v>
      </c>
      <c r="AF32" s="2351">
        <f t="shared" si="159"/>
        <v>1.95E-2</v>
      </c>
      <c r="AG32" s="2351">
        <f>ROUND(AVERAGE(K32:K$34)/100,4)</f>
        <v>2.1700000000000001E-2</v>
      </c>
      <c r="AH32" s="2351">
        <f>ROUND(AVERAGE(L32:L$34)/100,4)</f>
        <v>1.2E-2</v>
      </c>
    </row>
    <row r="33" spans="1:34" ht="13.5" thickBot="1">
      <c r="A33" s="2364" t="s">
        <v>95</v>
      </c>
      <c r="B33" s="2381">
        <f t="shared" si="166"/>
        <v>314.72141172386546</v>
      </c>
      <c r="C33" s="2381">
        <f t="shared" si="166"/>
        <v>263.03901319069001</v>
      </c>
      <c r="D33" s="2381">
        <f t="shared" si="161"/>
        <v>263.03901319069001</v>
      </c>
      <c r="E33" s="2381">
        <f t="shared" si="167"/>
        <v>433.65745506782821</v>
      </c>
      <c r="F33" s="2381">
        <f t="shared" si="167"/>
        <v>233.23005080045735</v>
      </c>
      <c r="G33" s="3565"/>
      <c r="H33" s="2391">
        <v>2</v>
      </c>
      <c r="I33" s="2391">
        <v>2.4</v>
      </c>
      <c r="J33" s="2391">
        <v>2.0299999999999998</v>
      </c>
      <c r="K33" s="2391">
        <v>2.59</v>
      </c>
      <c r="L33" s="2392">
        <v>1.52</v>
      </c>
      <c r="N33" s="2382">
        <f t="shared" si="163"/>
        <v>2.4E-2</v>
      </c>
      <c r="O33" s="2351">
        <f t="shared" si="158"/>
        <v>2.0299999999999999E-2</v>
      </c>
      <c r="P33" s="2351">
        <f t="shared" si="158"/>
        <v>2.5899999999999999E-2</v>
      </c>
      <c r="Q33" s="2351">
        <f t="shared" si="158"/>
        <v>1.52E-2</v>
      </c>
      <c r="R33" s="2378"/>
      <c r="S33" s="2382"/>
      <c r="T33" s="2351"/>
      <c r="U33" s="2351"/>
      <c r="V33" s="2351"/>
      <c r="X33" s="2350">
        <f>1+N33</f>
        <v>1.024</v>
      </c>
      <c r="Y33" s="2350">
        <f>1+O33</f>
        <v>1.0203</v>
      </c>
      <c r="Z33" s="2350">
        <f t="shared" si="168"/>
        <v>1.0203</v>
      </c>
      <c r="AA33" s="2350">
        <f>1+P33</f>
        <v>1.0259</v>
      </c>
      <c r="AB33" s="2350">
        <f>1+Q33</f>
        <v>1.0152000000000001</v>
      </c>
      <c r="AD33" s="2351">
        <f>ROUND(AVERAGE(I33:I$34)/100,4)</f>
        <v>2.69E-2</v>
      </c>
      <c r="AE33" s="2351">
        <f>ROUND(AVERAGE(J33:J$34)/100,4)</f>
        <v>2.1899999999999999E-2</v>
      </c>
      <c r="AF33" s="2351">
        <f t="shared" ref="AF33" si="169">AE33</f>
        <v>2.1899999999999999E-2</v>
      </c>
      <c r="AG33" s="2351">
        <f>ROUND(AVERAGE(K33:K$34)/100,4)</f>
        <v>2.9399999999999999E-2</v>
      </c>
      <c r="AH33" s="2351">
        <f>ROUND(AVERAGE(L33:L$34)/100,4)</f>
        <v>1.44E-2</v>
      </c>
    </row>
    <row r="34" spans="1:34" s="2404" customFormat="1" ht="13.5" thickBot="1">
      <c r="A34" s="2400" t="s">
        <v>94</v>
      </c>
      <c r="B34" s="2401">
        <f t="shared" si="166"/>
        <v>307.34512863658733</v>
      </c>
      <c r="C34" s="2401">
        <f t="shared" si="166"/>
        <v>257.80556031626975</v>
      </c>
      <c r="D34" s="2401">
        <f t="shared" si="161"/>
        <v>257.80556031626975</v>
      </c>
      <c r="E34" s="2401">
        <f t="shared" si="167"/>
        <v>422.70928459677179</v>
      </c>
      <c r="F34" s="2401">
        <f t="shared" si="167"/>
        <v>229.73803270336617</v>
      </c>
      <c r="G34" s="3566"/>
      <c r="H34" s="2402">
        <v>1</v>
      </c>
      <c r="I34" s="2402">
        <v>2.97</v>
      </c>
      <c r="J34" s="2402">
        <v>2.34</v>
      </c>
      <c r="K34" s="2402">
        <v>3.28</v>
      </c>
      <c r="L34" s="2403">
        <v>1.36</v>
      </c>
      <c r="N34" s="2405">
        <f t="shared" si="163"/>
        <v>2.9700000000000001E-2</v>
      </c>
      <c r="O34" s="2406">
        <f t="shared" si="158"/>
        <v>2.3399999999999997E-2</v>
      </c>
      <c r="P34" s="2406">
        <f t="shared" si="158"/>
        <v>3.2799999999999996E-2</v>
      </c>
      <c r="Q34" s="2406">
        <f t="shared" si="158"/>
        <v>1.3600000000000001E-2</v>
      </c>
      <c r="R34" s="2407"/>
      <c r="S34" s="2408">
        <f>B34/B35-1</f>
        <v>2.7910129219355539E-2</v>
      </c>
      <c r="T34" s="2409">
        <f>C34/C35-1</f>
        <v>2.3037937762975247E-2</v>
      </c>
      <c r="U34" s="2409">
        <f>E34/E35-1</f>
        <v>3.3519033243940788E-2</v>
      </c>
      <c r="V34" s="2409">
        <f>F34/F35-1</f>
        <v>1.2061818076502862E-2</v>
      </c>
      <c r="W34" s="2410" t="s">
        <v>1205</v>
      </c>
      <c r="X34" s="2411">
        <v>1</v>
      </c>
      <c r="Y34" s="2411">
        <v>1</v>
      </c>
      <c r="Z34" s="2411">
        <v>1</v>
      </c>
      <c r="AA34" s="2411">
        <v>1</v>
      </c>
      <c r="AB34" s="2411">
        <v>1</v>
      </c>
      <c r="AD34" s="2406">
        <f>I34/100</f>
        <v>2.9700000000000001E-2</v>
      </c>
      <c r="AE34" s="2406">
        <f>J34/100</f>
        <v>2.3399999999999997E-2</v>
      </c>
      <c r="AF34" s="2406">
        <f>AE34</f>
        <v>2.3399999999999997E-2</v>
      </c>
      <c r="AG34" s="2406">
        <f>K34/100</f>
        <v>3.2799999999999996E-2</v>
      </c>
      <c r="AH34" s="2406">
        <f>L34/100</f>
        <v>1.3600000000000001E-2</v>
      </c>
    </row>
    <row r="35" spans="1:34" ht="13.5" thickBot="1">
      <c r="A35" s="2364" t="s">
        <v>1038</v>
      </c>
      <c r="B35" s="2374">
        <v>299</v>
      </c>
      <c r="C35" s="2374">
        <v>252</v>
      </c>
      <c r="D35" s="2374">
        <f t="shared" si="161"/>
        <v>252</v>
      </c>
      <c r="E35" s="2374">
        <v>409</v>
      </c>
      <c r="F35" s="2375">
        <v>227</v>
      </c>
      <c r="G35" s="3571">
        <v>2013</v>
      </c>
      <c r="H35" s="2412">
        <v>4</v>
      </c>
      <c r="I35" s="2412">
        <v>1.83</v>
      </c>
      <c r="J35" s="2412">
        <v>1.68</v>
      </c>
      <c r="K35" s="2412">
        <v>1.97</v>
      </c>
      <c r="L35" s="2413">
        <v>0.87</v>
      </c>
      <c r="N35" s="2376">
        <f t="shared" si="163"/>
        <v>1.83E-2</v>
      </c>
      <c r="O35" s="2377">
        <f t="shared" si="158"/>
        <v>1.6799999999999999E-2</v>
      </c>
      <c r="P35" s="2377">
        <f t="shared" si="158"/>
        <v>1.9699999999999999E-2</v>
      </c>
      <c r="Q35" s="2377">
        <f t="shared" si="158"/>
        <v>8.6999999999999994E-3</v>
      </c>
      <c r="R35" s="2378"/>
      <c r="S35" s="2379"/>
      <c r="T35" s="2380"/>
      <c r="U35" s="2380"/>
      <c r="V35" s="2380"/>
      <c r="X35" s="2380"/>
      <c r="Y35" s="2380"/>
      <c r="Z35" s="2380"/>
    </row>
    <row r="36" spans="1:34">
      <c r="A36" s="2364" t="s">
        <v>1039</v>
      </c>
      <c r="B36" s="2381">
        <f t="shared" ref="B36:C38" si="170">B35/(1+N35)</f>
        <v>293.62663262299913</v>
      </c>
      <c r="C36" s="2381">
        <f t="shared" si="170"/>
        <v>247.83634933123525</v>
      </c>
      <c r="D36" s="2381">
        <f t="shared" si="161"/>
        <v>247.83634933123525</v>
      </c>
      <c r="E36" s="2381">
        <f t="shared" ref="E36:F38" si="171">E35/(1+P35)</f>
        <v>401.09836226341076</v>
      </c>
      <c r="F36" s="2381">
        <f t="shared" si="171"/>
        <v>225.04213343908003</v>
      </c>
      <c r="G36" s="3572"/>
      <c r="H36" s="2394">
        <v>3</v>
      </c>
      <c r="I36" s="2394">
        <v>1.86</v>
      </c>
      <c r="J36" s="2394">
        <v>1.72</v>
      </c>
      <c r="K36" s="2394">
        <v>1.98</v>
      </c>
      <c r="L36" s="2395">
        <v>0.88</v>
      </c>
      <c r="N36" s="2382">
        <f t="shared" si="163"/>
        <v>1.8600000000000002E-2</v>
      </c>
      <c r="O36" s="2388">
        <f t="shared" si="158"/>
        <v>1.72E-2</v>
      </c>
      <c r="P36" s="2388">
        <f t="shared" si="158"/>
        <v>1.9799999999999998E-2</v>
      </c>
      <c r="Q36" s="2388">
        <f t="shared" si="158"/>
        <v>8.8000000000000005E-3</v>
      </c>
      <c r="R36" s="2378"/>
      <c r="S36" s="2382"/>
      <c r="T36" s="2351"/>
      <c r="U36" s="2351"/>
      <c r="V36" s="2351"/>
    </row>
    <row r="37" spans="1:34">
      <c r="A37" s="2364" t="s">
        <v>1040</v>
      </c>
      <c r="B37" s="2381">
        <f t="shared" si="170"/>
        <v>288.2649053828776</v>
      </c>
      <c r="C37" s="2381">
        <f t="shared" si="170"/>
        <v>243.64564425013293</v>
      </c>
      <c r="D37" s="2381">
        <f t="shared" si="161"/>
        <v>243.64564425013293</v>
      </c>
      <c r="E37" s="2381">
        <f t="shared" si="171"/>
        <v>393.31080825986544</v>
      </c>
      <c r="F37" s="2381">
        <f t="shared" si="171"/>
        <v>223.07903790551154</v>
      </c>
      <c r="G37" s="3572"/>
      <c r="H37" s="2384">
        <v>2</v>
      </c>
      <c r="I37" s="2384">
        <v>2.04</v>
      </c>
      <c r="J37" s="2384">
        <v>2.33</v>
      </c>
      <c r="K37" s="2384">
        <v>2.0699999999999998</v>
      </c>
      <c r="L37" s="2385">
        <v>0.69</v>
      </c>
      <c r="N37" s="2382">
        <f t="shared" si="163"/>
        <v>2.0400000000000001E-2</v>
      </c>
      <c r="O37" s="2388">
        <f t="shared" si="158"/>
        <v>2.3300000000000001E-2</v>
      </c>
      <c r="P37" s="2388">
        <f t="shared" si="158"/>
        <v>2.07E-2</v>
      </c>
      <c r="Q37" s="2388">
        <f t="shared" si="158"/>
        <v>6.8999999999999999E-3</v>
      </c>
      <c r="R37" s="2378"/>
      <c r="S37" s="2382"/>
      <c r="T37" s="2351"/>
      <c r="U37" s="2351"/>
      <c r="V37" s="2351"/>
      <c r="X37" s="2414"/>
      <c r="Y37" s="2415"/>
    </row>
    <row r="38" spans="1:34">
      <c r="A38" s="2364" t="s">
        <v>1041</v>
      </c>
      <c r="B38" s="2381">
        <f t="shared" si="170"/>
        <v>282.50186729015837</v>
      </c>
      <c r="C38" s="2381">
        <f t="shared" si="170"/>
        <v>238.09796174155468</v>
      </c>
      <c r="D38" s="2381">
        <f t="shared" si="161"/>
        <v>238.09796174155468</v>
      </c>
      <c r="E38" s="2381">
        <f t="shared" si="171"/>
        <v>385.33438646014054</v>
      </c>
      <c r="F38" s="2381">
        <f t="shared" si="171"/>
        <v>221.55034055567739</v>
      </c>
      <c r="G38" s="3573"/>
      <c r="H38" s="2366">
        <v>1</v>
      </c>
      <c r="I38" s="2366">
        <v>1.67</v>
      </c>
      <c r="J38" s="2366">
        <v>1.31</v>
      </c>
      <c r="K38" s="2366">
        <v>1.85</v>
      </c>
      <c r="L38" s="2367">
        <v>0.96</v>
      </c>
      <c r="N38" s="2386">
        <f t="shared" si="163"/>
        <v>1.67E-2</v>
      </c>
      <c r="O38" s="2387">
        <f t="shared" si="163"/>
        <v>1.3100000000000001E-2</v>
      </c>
      <c r="P38" s="2387">
        <f t="shared" si="163"/>
        <v>1.8500000000000003E-2</v>
      </c>
      <c r="Q38" s="2387">
        <f t="shared" si="163"/>
        <v>9.5999999999999992E-3</v>
      </c>
      <c r="R38" s="2378"/>
      <c r="S38" s="2386">
        <f>B38/B39-1</f>
        <v>1.6193767230785472E-2</v>
      </c>
      <c r="T38" s="2387">
        <f>C38/C39-1</f>
        <v>1.7512657015190891E-2</v>
      </c>
      <c r="U38" s="2387">
        <f>E38/E39-1</f>
        <v>1.6713420739157048E-2</v>
      </c>
      <c r="V38" s="2387">
        <f>F38/F39-1</f>
        <v>7.0470025258062563E-3</v>
      </c>
      <c r="X38" s="2416"/>
      <c r="Y38" s="2351"/>
      <c r="Z38" s="2351"/>
    </row>
    <row r="39" spans="1:34" ht="13.5" thickBot="1">
      <c r="A39" s="2364" t="s">
        <v>1042</v>
      </c>
      <c r="B39" s="2417">
        <v>278</v>
      </c>
      <c r="C39" s="2417">
        <v>234</v>
      </c>
      <c r="D39" s="2417">
        <f t="shared" si="161"/>
        <v>234</v>
      </c>
      <c r="E39" s="2417">
        <v>379</v>
      </c>
      <c r="F39" s="2418">
        <v>220</v>
      </c>
      <c r="G39" s="3564">
        <v>2012</v>
      </c>
      <c r="H39" s="2391">
        <v>4</v>
      </c>
      <c r="I39" s="2391">
        <v>0.91</v>
      </c>
      <c r="J39" s="2391">
        <v>0.68</v>
      </c>
      <c r="K39" s="2391">
        <v>0.98</v>
      </c>
      <c r="L39" s="2392">
        <v>0.9</v>
      </c>
      <c r="N39" s="2382">
        <f t="shared" si="163"/>
        <v>9.1000000000000004E-3</v>
      </c>
      <c r="O39" s="2351">
        <f t="shared" si="163"/>
        <v>6.8000000000000005E-3</v>
      </c>
      <c r="P39" s="2351">
        <f t="shared" si="163"/>
        <v>9.7999999999999997E-3</v>
      </c>
      <c r="Q39" s="2351">
        <f t="shared" si="163"/>
        <v>9.0000000000000011E-3</v>
      </c>
      <c r="R39" s="2378"/>
      <c r="S39" s="2379"/>
      <c r="T39" s="2380"/>
      <c r="U39" s="2380"/>
      <c r="V39" s="2380"/>
      <c r="X39" s="2380"/>
      <c r="Y39" s="2380"/>
      <c r="Z39" s="2380"/>
    </row>
    <row r="40" spans="1:34">
      <c r="A40" s="2364" t="s">
        <v>1043</v>
      </c>
      <c r="B40" s="2381">
        <f>B39/(1+N39)</f>
        <v>275.49301357645425</v>
      </c>
      <c r="C40" s="2381">
        <f>C39/(1+O39)</f>
        <v>232.41954707985698</v>
      </c>
      <c r="D40" s="2381">
        <f t="shared" si="161"/>
        <v>232.41954707985698</v>
      </c>
      <c r="E40" s="2381">
        <f t="shared" ref="E40:F42" si="172">E39/(1+P39)</f>
        <v>375.32184591008121</v>
      </c>
      <c r="F40" s="2381">
        <f t="shared" si="172"/>
        <v>218.03766105054513</v>
      </c>
      <c r="G40" s="3565"/>
      <c r="H40" s="2394">
        <v>3</v>
      </c>
      <c r="I40" s="2394">
        <v>0.09</v>
      </c>
      <c r="J40" s="2394">
        <v>0.28999999999999998</v>
      </c>
      <c r="K40" s="2394">
        <v>-0.01</v>
      </c>
      <c r="L40" s="2395">
        <v>0.57999999999999996</v>
      </c>
      <c r="N40" s="2382">
        <f t="shared" si="163"/>
        <v>8.9999999999999998E-4</v>
      </c>
      <c r="O40" s="2351">
        <f t="shared" si="163"/>
        <v>2.8999999999999998E-3</v>
      </c>
      <c r="P40" s="2351">
        <f t="shared" si="163"/>
        <v>-1E-4</v>
      </c>
      <c r="Q40" s="2351">
        <f t="shared" si="163"/>
        <v>5.7999999999999996E-3</v>
      </c>
      <c r="R40" s="2378"/>
      <c r="S40" s="2382"/>
      <c r="T40" s="2351"/>
      <c r="U40" s="2351"/>
      <c r="V40" s="2351"/>
    </row>
    <row r="41" spans="1:34">
      <c r="A41" s="2364" t="s">
        <v>1044</v>
      </c>
      <c r="B41" s="2381">
        <f>B40/(1+N40)</f>
        <v>275.24529281292263</v>
      </c>
      <c r="C41" s="2381">
        <f>C40/(1+O40)</f>
        <v>231.74747938962707</v>
      </c>
      <c r="D41" s="2381">
        <f t="shared" si="161"/>
        <v>231.74747938962707</v>
      </c>
      <c r="E41" s="2381">
        <f t="shared" si="172"/>
        <v>375.35938184826603</v>
      </c>
      <c r="F41" s="2381">
        <f t="shared" si="172"/>
        <v>216.78033510692495</v>
      </c>
      <c r="G41" s="3565"/>
      <c r="H41" s="2384">
        <v>2</v>
      </c>
      <c r="I41" s="2384">
        <v>0.02</v>
      </c>
      <c r="J41" s="2384">
        <v>0.12</v>
      </c>
      <c r="K41" s="2384">
        <v>-0.08</v>
      </c>
      <c r="L41" s="2385">
        <v>1.24</v>
      </c>
      <c r="N41" s="2382">
        <f t="shared" si="163"/>
        <v>2.0000000000000001E-4</v>
      </c>
      <c r="O41" s="2351">
        <f t="shared" si="163"/>
        <v>1.1999999999999999E-3</v>
      </c>
      <c r="P41" s="2351">
        <f t="shared" si="163"/>
        <v>-8.0000000000000004E-4</v>
      </c>
      <c r="Q41" s="2351">
        <f t="shared" si="163"/>
        <v>1.24E-2</v>
      </c>
      <c r="R41" s="2378"/>
      <c r="S41" s="2382"/>
      <c r="T41" s="2351"/>
      <c r="U41" s="2351"/>
      <c r="V41" s="2351"/>
    </row>
    <row r="42" spans="1:34" ht="13.5" thickBot="1">
      <c r="A42" s="2364" t="s">
        <v>1045</v>
      </c>
      <c r="B42" s="2381">
        <f>B41/(1+N41)</f>
        <v>275.19025476197027</v>
      </c>
      <c r="C42" s="2419">
        <v>232</v>
      </c>
      <c r="D42" s="2419">
        <f t="shared" si="161"/>
        <v>232</v>
      </c>
      <c r="E42" s="2381">
        <f t="shared" si="172"/>
        <v>375.65990977608692</v>
      </c>
      <c r="F42" s="2381">
        <f t="shared" si="172"/>
        <v>214.12518283971252</v>
      </c>
      <c r="G42" s="3566"/>
      <c r="H42" s="2366">
        <v>1</v>
      </c>
      <c r="I42" s="2366">
        <v>0.02</v>
      </c>
      <c r="J42" s="2366">
        <v>0.13</v>
      </c>
      <c r="K42" s="2366">
        <v>-0.04</v>
      </c>
      <c r="L42" s="2367">
        <v>0.46</v>
      </c>
      <c r="N42" s="2382">
        <f t="shared" si="163"/>
        <v>2.0000000000000001E-4</v>
      </c>
      <c r="O42" s="2351">
        <f t="shared" si="163"/>
        <v>1.2999999999999999E-3</v>
      </c>
      <c r="P42" s="2351">
        <f t="shared" si="163"/>
        <v>-4.0000000000000002E-4</v>
      </c>
      <c r="Q42" s="2351">
        <f t="shared" si="163"/>
        <v>4.5999999999999999E-3</v>
      </c>
      <c r="R42" s="2378"/>
      <c r="S42" s="2386">
        <f>B42/B43-1</f>
        <v>6.9183549807361189E-4</v>
      </c>
      <c r="T42" s="2387">
        <f>C42/C43-1</f>
        <v>0</v>
      </c>
      <c r="U42" s="2387">
        <f>E42/E43-1</f>
        <v>-9.0449527636460303E-4</v>
      </c>
      <c r="V42" s="2387">
        <f>F42/F43-1</f>
        <v>5.2825485432512753E-3</v>
      </c>
      <c r="X42" s="2351"/>
      <c r="Y42" s="2351"/>
      <c r="Z42" s="2351"/>
    </row>
    <row r="43" spans="1:34" ht="13.5" thickBot="1">
      <c r="A43" s="2364" t="s">
        <v>1046</v>
      </c>
      <c r="B43" s="2374">
        <v>275</v>
      </c>
      <c r="C43" s="2374">
        <v>232</v>
      </c>
      <c r="D43" s="2374">
        <f t="shared" si="161"/>
        <v>232</v>
      </c>
      <c r="E43" s="2374">
        <v>376</v>
      </c>
      <c r="F43" s="2375">
        <v>213</v>
      </c>
      <c r="G43" s="3564">
        <v>2011</v>
      </c>
      <c r="H43" s="2391">
        <v>4</v>
      </c>
      <c r="I43" s="2391">
        <v>-0.2</v>
      </c>
      <c r="J43" s="2391">
        <v>0.04</v>
      </c>
      <c r="K43" s="2391">
        <v>-0.34</v>
      </c>
      <c r="L43" s="2392">
        <v>0.46</v>
      </c>
      <c r="N43" s="2376">
        <f t="shared" si="163"/>
        <v>-2E-3</v>
      </c>
      <c r="O43" s="2377">
        <f t="shared" si="163"/>
        <v>4.0000000000000002E-4</v>
      </c>
      <c r="P43" s="2377">
        <f t="shared" si="163"/>
        <v>-3.4000000000000002E-3</v>
      </c>
      <c r="Q43" s="2377">
        <f t="shared" si="163"/>
        <v>4.5999999999999999E-3</v>
      </c>
      <c r="R43" s="2378"/>
      <c r="S43" s="2379"/>
      <c r="T43" s="2380"/>
      <c r="U43" s="2380"/>
      <c r="V43" s="2380"/>
      <c r="X43" s="2380"/>
      <c r="Y43" s="2380"/>
      <c r="Z43" s="2380"/>
    </row>
    <row r="44" spans="1:34">
      <c r="A44" s="2364" t="s">
        <v>1047</v>
      </c>
      <c r="B44" s="2381">
        <f t="shared" ref="B44:C46" si="173">B43/(1+N43)</f>
        <v>275.55110220440883</v>
      </c>
      <c r="C44" s="2381">
        <f t="shared" si="173"/>
        <v>231.90723710515795</v>
      </c>
      <c r="D44" s="2381">
        <f t="shared" si="161"/>
        <v>231.90723710515795</v>
      </c>
      <c r="E44" s="2381">
        <f t="shared" ref="E44:F46" si="174">E43/(1+P43)</f>
        <v>377.28276138872161</v>
      </c>
      <c r="F44" s="2381">
        <f t="shared" si="174"/>
        <v>212.02468644236512</v>
      </c>
      <c r="G44" s="3565">
        <v>2011</v>
      </c>
      <c r="H44" s="2394">
        <v>3</v>
      </c>
      <c r="I44" s="2394">
        <v>0.13</v>
      </c>
      <c r="J44" s="2394">
        <v>0.75</v>
      </c>
      <c r="K44" s="2394">
        <v>-0.08</v>
      </c>
      <c r="L44" s="2395">
        <v>0.53</v>
      </c>
      <c r="N44" s="2382">
        <f t="shared" si="163"/>
        <v>1.2999999999999999E-3</v>
      </c>
      <c r="O44" s="2388">
        <f t="shared" si="163"/>
        <v>7.4999999999999997E-3</v>
      </c>
      <c r="P44" s="2388">
        <f t="shared" si="163"/>
        <v>-8.0000000000000004E-4</v>
      </c>
      <c r="Q44" s="2388">
        <f t="shared" si="163"/>
        <v>5.3E-3</v>
      </c>
      <c r="R44" s="2378"/>
      <c r="S44" s="2382"/>
      <c r="T44" s="2351"/>
      <c r="U44" s="2351"/>
      <c r="V44" s="2351"/>
    </row>
    <row r="45" spans="1:34">
      <c r="A45" s="2364" t="s">
        <v>1048</v>
      </c>
      <c r="B45" s="2381">
        <f t="shared" si="173"/>
        <v>275.19335084830601</v>
      </c>
      <c r="C45" s="2381">
        <f t="shared" si="173"/>
        <v>230.18088050139744</v>
      </c>
      <c r="D45" s="2381">
        <f t="shared" si="161"/>
        <v>230.18088050139744</v>
      </c>
      <c r="E45" s="2381">
        <f t="shared" si="174"/>
        <v>377.58482925212331</v>
      </c>
      <c r="F45" s="2381">
        <f t="shared" si="174"/>
        <v>210.90687997847917</v>
      </c>
      <c r="G45" s="3565">
        <v>2011</v>
      </c>
      <c r="H45" s="2384">
        <v>2</v>
      </c>
      <c r="I45" s="2384">
        <v>-0.4</v>
      </c>
      <c r="J45" s="2384">
        <v>0.17</v>
      </c>
      <c r="K45" s="2384">
        <v>-0.57999999999999996</v>
      </c>
      <c r="L45" s="2385">
        <v>-0.2</v>
      </c>
      <c r="N45" s="2382">
        <f t="shared" si="163"/>
        <v>-4.0000000000000001E-3</v>
      </c>
      <c r="O45" s="2388">
        <f t="shared" si="163"/>
        <v>1.7000000000000001E-3</v>
      </c>
      <c r="P45" s="2388">
        <f t="shared" si="163"/>
        <v>-5.7999999999999996E-3</v>
      </c>
      <c r="Q45" s="2388">
        <f t="shared" si="163"/>
        <v>-2E-3</v>
      </c>
      <c r="R45" s="2378"/>
      <c r="S45" s="2382"/>
      <c r="T45" s="2351"/>
      <c r="U45" s="2351"/>
      <c r="V45" s="2351"/>
    </row>
    <row r="46" spans="1:34" ht="13.5" thickBot="1">
      <c r="A46" s="2364" t="s">
        <v>1049</v>
      </c>
      <c r="B46" s="2381">
        <f t="shared" si="173"/>
        <v>276.29854502841971</v>
      </c>
      <c r="C46" s="2381">
        <f t="shared" si="173"/>
        <v>229.79023709833027</v>
      </c>
      <c r="D46" s="2381">
        <f t="shared" si="161"/>
        <v>229.79023709833027</v>
      </c>
      <c r="E46" s="2381">
        <f t="shared" si="174"/>
        <v>379.78759731655936</v>
      </c>
      <c r="F46" s="2381">
        <f t="shared" si="174"/>
        <v>211.32953905659235</v>
      </c>
      <c r="G46" s="3566">
        <v>2011</v>
      </c>
      <c r="H46" s="2366">
        <v>1</v>
      </c>
      <c r="I46" s="2366">
        <v>2.65</v>
      </c>
      <c r="J46" s="2366">
        <v>3.76</v>
      </c>
      <c r="K46" s="2366">
        <v>1.89</v>
      </c>
      <c r="L46" s="2367">
        <v>7.95</v>
      </c>
      <c r="N46" s="2386">
        <f t="shared" si="163"/>
        <v>2.6499999999999999E-2</v>
      </c>
      <c r="O46" s="2387">
        <f t="shared" si="163"/>
        <v>3.7599999999999995E-2</v>
      </c>
      <c r="P46" s="2387">
        <f t="shared" si="163"/>
        <v>1.89E-2</v>
      </c>
      <c r="Q46" s="2387">
        <f t="shared" si="163"/>
        <v>7.9500000000000001E-2</v>
      </c>
      <c r="R46" s="2378"/>
      <c r="S46" s="2386">
        <f>B46/B47-1</f>
        <v>2.713213765211786E-2</v>
      </c>
      <c r="T46" s="2387">
        <f>C46/C47-1</f>
        <v>3.9774828499231862E-2</v>
      </c>
      <c r="U46" s="2387">
        <f>E46/E47-1</f>
        <v>1.8197311840641772E-2</v>
      </c>
      <c r="V46" s="2387">
        <f>F46/F47-1</f>
        <v>7.8211933962205826E-2</v>
      </c>
      <c r="X46" s="2351"/>
      <c r="Y46" s="2351"/>
      <c r="Z46" s="2351"/>
    </row>
    <row r="47" spans="1:34" ht="13.5" thickBot="1">
      <c r="A47" s="2364" t="s">
        <v>1050</v>
      </c>
      <c r="B47" s="2374">
        <v>269</v>
      </c>
      <c r="C47" s="2374">
        <v>221</v>
      </c>
      <c r="D47" s="2374">
        <f t="shared" si="161"/>
        <v>221</v>
      </c>
      <c r="E47" s="2374">
        <v>373</v>
      </c>
      <c r="F47" s="2375">
        <v>196</v>
      </c>
      <c r="G47" s="3564">
        <v>2010</v>
      </c>
      <c r="H47" s="2391">
        <v>4</v>
      </c>
      <c r="I47" s="2391">
        <v>5.72</v>
      </c>
      <c r="J47" s="2391">
        <v>6.57</v>
      </c>
      <c r="K47" s="2391">
        <v>5.72</v>
      </c>
      <c r="L47" s="2392">
        <v>2.72</v>
      </c>
      <c r="N47" s="2382">
        <f t="shared" si="163"/>
        <v>5.7200000000000001E-2</v>
      </c>
      <c r="O47" s="2351">
        <f t="shared" si="163"/>
        <v>6.5700000000000008E-2</v>
      </c>
      <c r="P47" s="2351">
        <f t="shared" si="163"/>
        <v>5.7200000000000001E-2</v>
      </c>
      <c r="Q47" s="2351">
        <f t="shared" si="163"/>
        <v>2.7200000000000002E-2</v>
      </c>
      <c r="R47" s="2378"/>
      <c r="S47" s="2379"/>
      <c r="T47" s="2380"/>
      <c r="U47" s="2380"/>
      <c r="V47" s="2380"/>
      <c r="X47" s="2380"/>
      <c r="Y47" s="2380"/>
      <c r="Z47" s="2380"/>
    </row>
    <row r="48" spans="1:34">
      <c r="A48" s="2364" t="s">
        <v>1051</v>
      </c>
      <c r="B48" s="2381">
        <f t="shared" ref="B48:C50" si="175">B47/(1+N47)</f>
        <v>254.44570563753314</v>
      </c>
      <c r="C48" s="2381">
        <f t="shared" si="175"/>
        <v>207.37543398705074</v>
      </c>
      <c r="D48" s="2381">
        <f t="shared" si="161"/>
        <v>207.37543398705074</v>
      </c>
      <c r="E48" s="2381">
        <f t="shared" ref="E48:F50" si="176">E47/(1+P47)</f>
        <v>352.81876655315932</v>
      </c>
      <c r="F48" s="2381">
        <f t="shared" si="176"/>
        <v>190.809968847352</v>
      </c>
      <c r="G48" s="3565">
        <v>2010</v>
      </c>
      <c r="H48" s="2394">
        <v>3</v>
      </c>
      <c r="I48" s="2394">
        <v>4.7300000000000004</v>
      </c>
      <c r="J48" s="2394">
        <v>3.9</v>
      </c>
      <c r="K48" s="2394">
        <v>5.03</v>
      </c>
      <c r="L48" s="2395">
        <v>4.21</v>
      </c>
      <c r="N48" s="2382">
        <f t="shared" si="163"/>
        <v>4.7300000000000002E-2</v>
      </c>
      <c r="O48" s="2351">
        <f t="shared" si="163"/>
        <v>3.9E-2</v>
      </c>
      <c r="P48" s="2351">
        <f t="shared" si="163"/>
        <v>5.0300000000000004E-2</v>
      </c>
      <c r="Q48" s="2351">
        <f t="shared" si="163"/>
        <v>4.2099999999999999E-2</v>
      </c>
      <c r="R48" s="2378"/>
      <c r="S48" s="2382"/>
      <c r="T48" s="2351"/>
      <c r="U48" s="2351"/>
      <c r="V48" s="2351"/>
    </row>
    <row r="49" spans="1:26">
      <c r="A49" s="2364" t="s">
        <v>1052</v>
      </c>
      <c r="B49" s="2381">
        <f t="shared" si="175"/>
        <v>242.95398227588385</v>
      </c>
      <c r="C49" s="2381">
        <f t="shared" si="175"/>
        <v>199.59137053614126</v>
      </c>
      <c r="D49" s="2381">
        <f t="shared" si="161"/>
        <v>199.59137053614126</v>
      </c>
      <c r="E49" s="2381">
        <f t="shared" si="176"/>
        <v>335.92189522342125</v>
      </c>
      <c r="F49" s="2381">
        <f t="shared" si="176"/>
        <v>183.10139991109489</v>
      </c>
      <c r="G49" s="3565">
        <v>2010</v>
      </c>
      <c r="H49" s="2384">
        <v>2</v>
      </c>
      <c r="I49" s="2384">
        <v>4.6900000000000004</v>
      </c>
      <c r="J49" s="2384">
        <v>3.55</v>
      </c>
      <c r="K49" s="2384">
        <v>5.07</v>
      </c>
      <c r="L49" s="2385">
        <v>4.2300000000000004</v>
      </c>
      <c r="N49" s="2382">
        <f t="shared" si="163"/>
        <v>4.6900000000000004E-2</v>
      </c>
      <c r="O49" s="2351">
        <f t="shared" si="163"/>
        <v>3.5499999999999997E-2</v>
      </c>
      <c r="P49" s="2351">
        <f t="shared" si="163"/>
        <v>5.0700000000000002E-2</v>
      </c>
      <c r="Q49" s="2351">
        <f t="shared" si="163"/>
        <v>4.2300000000000004E-2</v>
      </c>
      <c r="R49" s="2378"/>
      <c r="S49" s="2382"/>
      <c r="T49" s="2351"/>
      <c r="U49" s="2351"/>
      <c r="V49" s="2351"/>
    </row>
    <row r="50" spans="1:26" ht="13.5" thickBot="1">
      <c r="A50" s="2364" t="s">
        <v>1053</v>
      </c>
      <c r="B50" s="2381">
        <f t="shared" si="175"/>
        <v>232.06990378821649</v>
      </c>
      <c r="C50" s="2381">
        <f t="shared" si="175"/>
        <v>192.74878854286936</v>
      </c>
      <c r="D50" s="2381">
        <f t="shared" si="161"/>
        <v>192.74878854286936</v>
      </c>
      <c r="E50" s="2381">
        <f t="shared" si="176"/>
        <v>319.71247284992984</v>
      </c>
      <c r="F50" s="2381">
        <f t="shared" si="176"/>
        <v>175.67053622862409</v>
      </c>
      <c r="G50" s="3566">
        <v>2010</v>
      </c>
      <c r="H50" s="2366">
        <v>1</v>
      </c>
      <c r="I50" s="2366">
        <v>5.4</v>
      </c>
      <c r="J50" s="2366">
        <v>3.2</v>
      </c>
      <c r="K50" s="2366">
        <v>6.16</v>
      </c>
      <c r="L50" s="2367">
        <v>4.51</v>
      </c>
      <c r="N50" s="2382">
        <f t="shared" si="163"/>
        <v>5.4000000000000006E-2</v>
      </c>
      <c r="O50" s="2351">
        <f t="shared" si="163"/>
        <v>3.2000000000000001E-2</v>
      </c>
      <c r="P50" s="2351">
        <f t="shared" si="163"/>
        <v>6.1600000000000002E-2</v>
      </c>
      <c r="Q50" s="2351">
        <f t="shared" si="163"/>
        <v>4.5100000000000001E-2</v>
      </c>
      <c r="R50" s="2378"/>
      <c r="S50" s="2386">
        <f>B50/B51-1</f>
        <v>5.4863199037347599E-2</v>
      </c>
      <c r="T50" s="2387">
        <f>C50/C51-1</f>
        <v>3.0742184721226584E-2</v>
      </c>
      <c r="U50" s="2387">
        <f>E50/E51-1</f>
        <v>6.2167683886810154E-2</v>
      </c>
      <c r="V50" s="2387">
        <f>F50/F51-1</f>
        <v>4.5657953741810031E-2</v>
      </c>
      <c r="X50" s="2351"/>
      <c r="Y50" s="2351"/>
      <c r="Z50" s="2351"/>
    </row>
    <row r="51" spans="1:26" ht="13.5" thickBot="1">
      <c r="A51" s="2364" t="s">
        <v>1054</v>
      </c>
      <c r="B51" s="2374">
        <v>220</v>
      </c>
      <c r="C51" s="2374">
        <v>187</v>
      </c>
      <c r="D51" s="2374">
        <f t="shared" si="161"/>
        <v>187</v>
      </c>
      <c r="E51" s="2374">
        <v>301</v>
      </c>
      <c r="F51" s="2375">
        <v>168</v>
      </c>
      <c r="G51" s="3564">
        <v>2009</v>
      </c>
      <c r="H51" s="2391">
        <v>4</v>
      </c>
      <c r="I51" s="2391">
        <v>2.2999999999999998</v>
      </c>
      <c r="J51" s="2391">
        <v>1.04</v>
      </c>
      <c r="K51" s="2391">
        <v>2.84</v>
      </c>
      <c r="L51" s="2392">
        <v>0.67</v>
      </c>
      <c r="N51" s="2376">
        <f t="shared" si="163"/>
        <v>2.3E-2</v>
      </c>
      <c r="O51" s="2377">
        <f t="shared" si="163"/>
        <v>1.04E-2</v>
      </c>
      <c r="P51" s="2377">
        <f t="shared" si="163"/>
        <v>2.8399999999999998E-2</v>
      </c>
      <c r="Q51" s="2377">
        <f t="shared" si="163"/>
        <v>6.7000000000000002E-3</v>
      </c>
      <c r="R51" s="2378"/>
      <c r="S51" s="2379"/>
      <c r="T51" s="2380"/>
      <c r="U51" s="2380"/>
      <c r="V51" s="2380"/>
      <c r="X51" s="2380"/>
      <c r="Y51" s="2380"/>
      <c r="Z51" s="2380"/>
    </row>
    <row r="52" spans="1:26">
      <c r="A52" s="2364" t="s">
        <v>1055</v>
      </c>
      <c r="B52" s="2381">
        <f t="shared" ref="B52:C54" si="177">B51/(1+N51)</f>
        <v>215.05376344086022</v>
      </c>
      <c r="C52" s="2381">
        <f t="shared" si="177"/>
        <v>185.0752177355503</v>
      </c>
      <c r="D52" s="2381">
        <f t="shared" si="161"/>
        <v>185.0752177355503</v>
      </c>
      <c r="E52" s="2381">
        <f t="shared" ref="E52:F54" si="178">E51/(1+P51)</f>
        <v>292.68767016725008</v>
      </c>
      <c r="F52" s="2381">
        <f t="shared" si="178"/>
        <v>166.88189132810174</v>
      </c>
      <c r="G52" s="3565">
        <v>2009</v>
      </c>
      <c r="H52" s="2394">
        <v>3</v>
      </c>
      <c r="I52" s="2394">
        <v>2.1</v>
      </c>
      <c r="J52" s="2394">
        <v>1.86</v>
      </c>
      <c r="K52" s="2394">
        <v>2.29</v>
      </c>
      <c r="L52" s="2395">
        <v>0.85</v>
      </c>
      <c r="N52" s="2382">
        <f t="shared" si="163"/>
        <v>2.1000000000000001E-2</v>
      </c>
      <c r="O52" s="2388">
        <f t="shared" si="163"/>
        <v>1.8600000000000002E-2</v>
      </c>
      <c r="P52" s="2388">
        <f t="shared" si="163"/>
        <v>2.29E-2</v>
      </c>
      <c r="Q52" s="2388">
        <f t="shared" si="163"/>
        <v>8.5000000000000006E-3</v>
      </c>
      <c r="R52" s="2378"/>
      <c r="S52" s="2382"/>
      <c r="T52" s="2351"/>
      <c r="U52" s="2351"/>
      <c r="V52" s="2351"/>
    </row>
    <row r="53" spans="1:26">
      <c r="A53" s="2364" t="s">
        <v>1056</v>
      </c>
      <c r="B53" s="2381">
        <f t="shared" si="177"/>
        <v>210.630522469011</v>
      </c>
      <c r="C53" s="2381">
        <f t="shared" si="177"/>
        <v>181.69567812247232</v>
      </c>
      <c r="D53" s="2381">
        <f t="shared" si="161"/>
        <v>181.69567812247232</v>
      </c>
      <c r="E53" s="2381">
        <f t="shared" si="178"/>
        <v>286.13517466736738</v>
      </c>
      <c r="F53" s="2381">
        <f t="shared" si="178"/>
        <v>165.47535084591149</v>
      </c>
      <c r="G53" s="3565">
        <v>2009</v>
      </c>
      <c r="H53" s="2384">
        <v>2</v>
      </c>
      <c r="I53" s="2384">
        <v>0.86</v>
      </c>
      <c r="J53" s="2384">
        <v>-1.1299999999999999</v>
      </c>
      <c r="K53" s="2384">
        <v>1.79</v>
      </c>
      <c r="L53" s="2385">
        <v>-2.0699999999999998</v>
      </c>
      <c r="N53" s="2382">
        <f t="shared" si="163"/>
        <v>8.6E-3</v>
      </c>
      <c r="O53" s="2388">
        <f t="shared" si="163"/>
        <v>-1.1299999999999999E-2</v>
      </c>
      <c r="P53" s="2388">
        <f t="shared" si="163"/>
        <v>1.7899999999999999E-2</v>
      </c>
      <c r="Q53" s="2388">
        <f t="shared" si="163"/>
        <v>-2.07E-2</v>
      </c>
      <c r="R53" s="2378"/>
      <c r="S53" s="2382"/>
      <c r="T53" s="2351"/>
      <c r="U53" s="2351"/>
      <c r="V53" s="2351"/>
    </row>
    <row r="54" spans="1:26">
      <c r="A54" s="2364" t="s">
        <v>1057</v>
      </c>
      <c r="B54" s="2381">
        <f t="shared" si="177"/>
        <v>208.83454537875372</v>
      </c>
      <c r="C54" s="2381">
        <f t="shared" si="177"/>
        <v>183.77230517090351</v>
      </c>
      <c r="D54" s="2381">
        <f t="shared" si="161"/>
        <v>183.77230517090351</v>
      </c>
      <c r="E54" s="2381">
        <f t="shared" si="178"/>
        <v>281.10342338870947</v>
      </c>
      <c r="F54" s="2381">
        <f t="shared" si="178"/>
        <v>168.97309388942256</v>
      </c>
      <c r="G54" s="3566">
        <v>2009</v>
      </c>
      <c r="H54" s="2366">
        <v>1</v>
      </c>
      <c r="I54" s="2366">
        <v>-2.64</v>
      </c>
      <c r="J54" s="2366">
        <v>-2.5299999999999998</v>
      </c>
      <c r="K54" s="2366">
        <v>-3.02</v>
      </c>
      <c r="L54" s="2367">
        <v>1.52</v>
      </c>
      <c r="N54" s="2386">
        <f t="shared" si="163"/>
        <v>-2.64E-2</v>
      </c>
      <c r="O54" s="2387">
        <f t="shared" si="163"/>
        <v>-2.53E-2</v>
      </c>
      <c r="P54" s="2387">
        <f t="shared" si="163"/>
        <v>-3.0200000000000001E-2</v>
      </c>
      <c r="Q54" s="2387">
        <f t="shared" si="163"/>
        <v>1.52E-2</v>
      </c>
      <c r="R54" s="2378"/>
      <c r="S54" s="2386">
        <f>B54/B55-1</f>
        <v>-2.4137638417038754E-2</v>
      </c>
      <c r="T54" s="2387">
        <f>C54/C55-1</f>
        <v>-2.248773845264096E-2</v>
      </c>
      <c r="U54" s="2387">
        <f>E54/E55-1</f>
        <v>-2.7323794502735366E-2</v>
      </c>
      <c r="V54" s="2387">
        <f>F54/F55-1</f>
        <v>1.7910204153148035E-2</v>
      </c>
      <c r="X54" s="2351"/>
      <c r="Y54" s="2351"/>
      <c r="Z54" s="2351"/>
    </row>
    <row r="55" spans="1:26" ht="13.5" thickBot="1">
      <c r="A55" s="2364" t="s">
        <v>1058</v>
      </c>
      <c r="B55" s="2417">
        <v>214</v>
      </c>
      <c r="C55" s="2417">
        <v>188</v>
      </c>
      <c r="D55" s="2417">
        <f t="shared" si="161"/>
        <v>188</v>
      </c>
      <c r="E55" s="2417">
        <v>289</v>
      </c>
      <c r="F55" s="2418">
        <v>166</v>
      </c>
      <c r="G55" s="3564">
        <v>2008</v>
      </c>
      <c r="H55" s="2391">
        <v>4</v>
      </c>
      <c r="I55" s="2391">
        <v>1.73</v>
      </c>
      <c r="J55" s="2391">
        <v>0.03</v>
      </c>
      <c r="K55" s="2391">
        <v>2.59</v>
      </c>
      <c r="L55" s="2392">
        <v>-1.66</v>
      </c>
      <c r="N55" s="2382">
        <f t="shared" si="163"/>
        <v>1.7299999999999999E-2</v>
      </c>
      <c r="O55" s="2351">
        <f t="shared" si="163"/>
        <v>2.9999999999999997E-4</v>
      </c>
      <c r="P55" s="2351">
        <f t="shared" si="163"/>
        <v>2.5899999999999999E-2</v>
      </c>
      <c r="Q55" s="2351">
        <f t="shared" si="163"/>
        <v>-1.66E-2</v>
      </c>
      <c r="R55" s="2378"/>
      <c r="S55" s="2379"/>
      <c r="T55" s="2380"/>
      <c r="U55" s="2380"/>
      <c r="V55" s="2380"/>
      <c r="X55" s="2380"/>
      <c r="Y55" s="2380"/>
      <c r="Z55" s="2380"/>
    </row>
    <row r="56" spans="1:26">
      <c r="A56" s="2364" t="s">
        <v>1059</v>
      </c>
      <c r="B56" s="2381">
        <f t="shared" ref="B56:C58" si="179">B55/(1+N55)</f>
        <v>210.36075887152265</v>
      </c>
      <c r="C56" s="2381">
        <f t="shared" si="179"/>
        <v>187.94361691492554</v>
      </c>
      <c r="D56" s="2381">
        <f t="shared" si="161"/>
        <v>187.94361691492554</v>
      </c>
      <c r="E56" s="2381">
        <f t="shared" ref="E56:F58" si="180">E55/(1+P55)</f>
        <v>281.70386977288234</v>
      </c>
      <c r="F56" s="2381">
        <f t="shared" si="180"/>
        <v>168.80211511083994</v>
      </c>
      <c r="G56" s="3565">
        <v>2008</v>
      </c>
      <c r="H56" s="2394">
        <v>3</v>
      </c>
      <c r="I56" s="2394">
        <v>1.96</v>
      </c>
      <c r="J56" s="2394">
        <v>2.36</v>
      </c>
      <c r="K56" s="2394">
        <v>1.82</v>
      </c>
      <c r="L56" s="2395">
        <v>2.2200000000000002</v>
      </c>
      <c r="N56" s="2382">
        <f t="shared" si="163"/>
        <v>1.9599999999999999E-2</v>
      </c>
      <c r="O56" s="2351">
        <f t="shared" si="163"/>
        <v>2.3599999999999999E-2</v>
      </c>
      <c r="P56" s="2351">
        <f t="shared" si="163"/>
        <v>1.8200000000000001E-2</v>
      </c>
      <c r="Q56" s="2351">
        <f t="shared" si="163"/>
        <v>2.2200000000000001E-2</v>
      </c>
      <c r="R56" s="2378"/>
      <c r="S56" s="2382"/>
      <c r="T56" s="2351"/>
      <c r="U56" s="2351"/>
      <c r="V56" s="2351"/>
    </row>
    <row r="57" spans="1:26">
      <c r="A57" s="2364" t="s">
        <v>1060</v>
      </c>
      <c r="B57" s="2381">
        <f t="shared" si="179"/>
        <v>206.31694671589116</v>
      </c>
      <c r="C57" s="2381">
        <f t="shared" si="179"/>
        <v>183.61041121036101</v>
      </c>
      <c r="D57" s="2381">
        <f t="shared" si="161"/>
        <v>183.61041121036101</v>
      </c>
      <c r="E57" s="2381">
        <f t="shared" si="180"/>
        <v>276.66850301795557</v>
      </c>
      <c r="F57" s="2381">
        <f t="shared" si="180"/>
        <v>165.1360938278614</v>
      </c>
      <c r="G57" s="3565">
        <v>2008</v>
      </c>
      <c r="H57" s="2384">
        <v>2</v>
      </c>
      <c r="I57" s="2384">
        <v>4.93</v>
      </c>
      <c r="J57" s="2384">
        <v>7.38</v>
      </c>
      <c r="K57" s="2384">
        <v>3.98</v>
      </c>
      <c r="L57" s="2385">
        <v>6.86</v>
      </c>
      <c r="N57" s="2382">
        <f t="shared" si="163"/>
        <v>4.9299999999999997E-2</v>
      </c>
      <c r="O57" s="2351">
        <f t="shared" si="163"/>
        <v>7.3800000000000004E-2</v>
      </c>
      <c r="P57" s="2351">
        <f t="shared" si="163"/>
        <v>3.9800000000000002E-2</v>
      </c>
      <c r="Q57" s="2351">
        <f t="shared" si="163"/>
        <v>6.8600000000000008E-2</v>
      </c>
      <c r="R57" s="2378"/>
      <c r="S57" s="2382"/>
      <c r="T57" s="2351"/>
      <c r="U57" s="2351"/>
      <c r="V57" s="2351"/>
    </row>
    <row r="58" spans="1:26" s="2423" customFormat="1" ht="13.5" thickBot="1">
      <c r="A58" s="2364" t="s">
        <v>1061</v>
      </c>
      <c r="B58" s="2420">
        <f t="shared" si="179"/>
        <v>196.62341248059772</v>
      </c>
      <c r="C58" s="2420">
        <f t="shared" si="179"/>
        <v>170.99125648199012</v>
      </c>
      <c r="D58" s="2420">
        <f t="shared" si="161"/>
        <v>170.99125648199012</v>
      </c>
      <c r="E58" s="2420">
        <f t="shared" si="180"/>
        <v>266.07857570490052</v>
      </c>
      <c r="F58" s="2420">
        <f t="shared" si="180"/>
        <v>154.53499328828505</v>
      </c>
      <c r="G58" s="3566">
        <v>2008</v>
      </c>
      <c r="H58" s="2421">
        <v>1</v>
      </c>
      <c r="I58" s="2421">
        <v>4.1399999999999997</v>
      </c>
      <c r="J58" s="2421">
        <v>3.45</v>
      </c>
      <c r="K58" s="2421">
        <v>4.95</v>
      </c>
      <c r="L58" s="2422">
        <v>4.82</v>
      </c>
      <c r="N58" s="2424">
        <f t="shared" si="163"/>
        <v>4.1399999999999999E-2</v>
      </c>
      <c r="O58" s="2425">
        <f t="shared" si="163"/>
        <v>3.4500000000000003E-2</v>
      </c>
      <c r="P58" s="2425">
        <f t="shared" si="163"/>
        <v>4.9500000000000002E-2</v>
      </c>
      <c r="Q58" s="2425">
        <f t="shared" si="163"/>
        <v>4.82E-2</v>
      </c>
      <c r="R58" s="2426"/>
      <c r="S58" s="2424">
        <f>B58/B59-1</f>
        <v>4.5869215322328349E-2</v>
      </c>
      <c r="T58" s="2425">
        <f>C58/C59-1</f>
        <v>3.6310645345394743E-2</v>
      </c>
      <c r="U58" s="2425">
        <f>E58/E59-1</f>
        <v>4.7553447657088688E-2</v>
      </c>
      <c r="V58" s="2425">
        <f>F58/F59-1</f>
        <v>4.4155360055980086E-2</v>
      </c>
      <c r="X58" s="2425"/>
      <c r="Y58" s="2425"/>
      <c r="Z58" s="2425"/>
    </row>
    <row r="59" spans="1:26" ht="13.5" thickBot="1">
      <c r="A59" s="2364" t="s">
        <v>1062</v>
      </c>
      <c r="B59" s="2374">
        <v>188</v>
      </c>
      <c r="C59" s="2374">
        <v>165</v>
      </c>
      <c r="D59" s="2374">
        <f t="shared" si="161"/>
        <v>165</v>
      </c>
      <c r="E59" s="2374">
        <v>254</v>
      </c>
      <c r="F59" s="2375">
        <v>148</v>
      </c>
      <c r="G59" s="3564">
        <v>2007</v>
      </c>
      <c r="H59" s="2427">
        <v>4</v>
      </c>
      <c r="I59" s="2427">
        <v>5.51</v>
      </c>
      <c r="J59" s="2427">
        <v>4.8899999999999997</v>
      </c>
      <c r="K59" s="2427">
        <v>6.43</v>
      </c>
      <c r="L59" s="2428">
        <v>5.36</v>
      </c>
      <c r="N59" s="2429">
        <f t="shared" ref="N59:O62" si="181">B59/B60-1</f>
        <v>4.1339718365245526E-2</v>
      </c>
      <c r="O59" s="2430">
        <f t="shared" si="181"/>
        <v>4.0324492593776018E-2</v>
      </c>
      <c r="P59" s="2430">
        <f t="shared" ref="P59:Q62" si="182">E59/E60-1</f>
        <v>6.1625555347990968E-2</v>
      </c>
      <c r="Q59" s="2430">
        <f t="shared" si="182"/>
        <v>4.6757569250590603E-2</v>
      </c>
      <c r="R59" s="2378"/>
      <c r="S59" s="2379"/>
      <c r="T59" s="2380"/>
      <c r="U59" s="2380"/>
      <c r="V59" s="2380"/>
      <c r="X59" s="2380"/>
      <c r="Y59" s="2380"/>
      <c r="Z59" s="2380"/>
    </row>
    <row r="60" spans="1:26">
      <c r="A60" s="2364" t="s">
        <v>1063</v>
      </c>
      <c r="B60" s="2381">
        <f t="shared" ref="B60:C62" si="183">B61+(B$59-B$63)*I60/SUM(I$59:I$62)</f>
        <v>180.5366651097618</v>
      </c>
      <c r="C60" s="2381">
        <f t="shared" si="183"/>
        <v>158.60435967302453</v>
      </c>
      <c r="D60" s="2381">
        <f t="shared" si="161"/>
        <v>158.60435967302453</v>
      </c>
      <c r="E60" s="2381">
        <f t="shared" ref="E60:F62" si="184">E61+(E$59-E$63)*K60/SUM(K$59:K$62)</f>
        <v>239.25573260785075</v>
      </c>
      <c r="F60" s="2381">
        <f t="shared" si="184"/>
        <v>141.38899430740037</v>
      </c>
      <c r="G60" s="3565">
        <v>2007</v>
      </c>
      <c r="H60" s="2394">
        <v>3</v>
      </c>
      <c r="I60" s="2394">
        <v>8.65</v>
      </c>
      <c r="J60" s="2394">
        <v>8.06</v>
      </c>
      <c r="K60" s="2394">
        <v>9.94</v>
      </c>
      <c r="L60" s="2395">
        <v>5.8</v>
      </c>
      <c r="N60" s="2429">
        <f t="shared" si="181"/>
        <v>6.940217571740015E-2</v>
      </c>
      <c r="O60" s="2430">
        <f t="shared" si="181"/>
        <v>7.1197482471153428E-2</v>
      </c>
      <c r="P60" s="2430">
        <f t="shared" si="182"/>
        <v>0.10529679922579582</v>
      </c>
      <c r="Q60" s="2430">
        <f t="shared" si="182"/>
        <v>5.3292245059512133E-2</v>
      </c>
      <c r="R60" s="2378"/>
      <c r="S60" s="2382"/>
      <c r="T60" s="2351"/>
      <c r="U60" s="2351"/>
      <c r="V60" s="2351"/>
      <c r="X60" s="2431"/>
      <c r="Y60" s="2431"/>
      <c r="Z60" s="2431"/>
    </row>
    <row r="61" spans="1:26">
      <c r="A61" s="2364" t="s">
        <v>1064</v>
      </c>
      <c r="B61" s="2381">
        <f t="shared" si="183"/>
        <v>168.82017748715555</v>
      </c>
      <c r="C61" s="2381">
        <f t="shared" si="183"/>
        <v>148.06267029972753</v>
      </c>
      <c r="D61" s="2381">
        <f t="shared" si="161"/>
        <v>148.06267029972753</v>
      </c>
      <c r="E61" s="2381">
        <f t="shared" si="184"/>
        <v>216.46288379323747</v>
      </c>
      <c r="F61" s="2381">
        <f t="shared" si="184"/>
        <v>134.23529411764704</v>
      </c>
      <c r="G61" s="3565">
        <v>2007</v>
      </c>
      <c r="H61" s="2384">
        <v>2</v>
      </c>
      <c r="I61" s="2384">
        <v>3.67</v>
      </c>
      <c r="J61" s="2384">
        <v>2.3199999999999998</v>
      </c>
      <c r="K61" s="2384">
        <v>5.0199999999999996</v>
      </c>
      <c r="L61" s="2385">
        <v>6.71</v>
      </c>
      <c r="N61" s="2429">
        <f t="shared" si="181"/>
        <v>3.0339138143848032E-2</v>
      </c>
      <c r="O61" s="2430">
        <f t="shared" si="181"/>
        <v>2.0922341588790472E-2</v>
      </c>
      <c r="P61" s="2430">
        <f t="shared" si="182"/>
        <v>5.6164796592717003E-2</v>
      </c>
      <c r="Q61" s="2430">
        <f t="shared" si="182"/>
        <v>6.5704536723887319E-2</v>
      </c>
      <c r="R61" s="2378"/>
      <c r="S61" s="2382"/>
      <c r="T61" s="2351"/>
      <c r="U61" s="2351"/>
      <c r="V61" s="2351"/>
      <c r="X61" s="2431"/>
      <c r="Y61" s="2431"/>
      <c r="Z61" s="2431"/>
    </row>
    <row r="62" spans="1:26">
      <c r="A62" s="2364" t="s">
        <v>1065</v>
      </c>
      <c r="B62" s="2381">
        <f t="shared" si="183"/>
        <v>163.84913591779542</v>
      </c>
      <c r="C62" s="2381">
        <f t="shared" si="183"/>
        <v>145.0283378746594</v>
      </c>
      <c r="D62" s="2381">
        <f t="shared" si="161"/>
        <v>145.0283378746594</v>
      </c>
      <c r="E62" s="2381">
        <f t="shared" si="184"/>
        <v>204.95180722891567</v>
      </c>
      <c r="F62" s="2381">
        <f t="shared" si="184"/>
        <v>125.95920303605313</v>
      </c>
      <c r="G62" s="3566">
        <v>2007</v>
      </c>
      <c r="H62" s="2366">
        <v>1</v>
      </c>
      <c r="I62" s="2366">
        <v>3.58</v>
      </c>
      <c r="J62" s="2366">
        <v>3.08</v>
      </c>
      <c r="K62" s="2366">
        <v>4.34</v>
      </c>
      <c r="L62" s="2367">
        <v>3.21</v>
      </c>
      <c r="N62" s="2432">
        <f t="shared" si="181"/>
        <v>3.0497710174814063E-2</v>
      </c>
      <c r="O62" s="2433">
        <f t="shared" si="181"/>
        <v>2.8569772160704998E-2</v>
      </c>
      <c r="P62" s="2433">
        <f t="shared" si="182"/>
        <v>5.1034908866234296E-2</v>
      </c>
      <c r="Q62" s="2433">
        <f t="shared" si="182"/>
        <v>3.245248390207478E-2</v>
      </c>
      <c r="R62" s="2378"/>
      <c r="S62" s="2386">
        <f>B62/B63-1</f>
        <v>3.0497710174814063E-2</v>
      </c>
      <c r="T62" s="2387">
        <f>C62/C63-1</f>
        <v>2.8569772160704998E-2</v>
      </c>
      <c r="U62" s="2387">
        <f>E62/E63-1</f>
        <v>5.1034908866234296E-2</v>
      </c>
      <c r="V62" s="2387">
        <f>F62/F63-1</f>
        <v>3.245248390207478E-2</v>
      </c>
      <c r="X62" s="2431"/>
      <c r="Y62" s="2431"/>
      <c r="Z62" s="2431"/>
    </row>
    <row r="63" spans="1:26" ht="13.5" thickBot="1">
      <c r="A63" s="2364" t="s">
        <v>1066</v>
      </c>
      <c r="B63" s="2396">
        <v>159</v>
      </c>
      <c r="C63" s="2396">
        <v>141</v>
      </c>
      <c r="D63" s="2396">
        <f t="shared" si="161"/>
        <v>141</v>
      </c>
      <c r="E63" s="2396">
        <v>195</v>
      </c>
      <c r="F63" s="2397">
        <v>122</v>
      </c>
      <c r="G63" s="3564">
        <v>2006</v>
      </c>
      <c r="H63" s="2391">
        <v>4</v>
      </c>
      <c r="I63" s="2391">
        <v>3.79</v>
      </c>
      <c r="J63" s="2391">
        <v>2.21</v>
      </c>
      <c r="K63" s="2391">
        <v>5.65</v>
      </c>
      <c r="L63" s="2392">
        <v>5.41</v>
      </c>
      <c r="N63" s="2429">
        <f t="shared" ref="N63:O66" si="185">I63/SUM(I$63:I$66)*(B$63/B$67-1)</f>
        <v>7.245466462748526E-2</v>
      </c>
      <c r="O63" s="2430">
        <f t="shared" si="185"/>
        <v>2.3237230038062766E-2</v>
      </c>
      <c r="P63" s="2430">
        <f t="shared" ref="P63:Q66" si="186">K63/SUM(K$63:K$66)*(E$63/E$67-1)</f>
        <v>0.16146893866323722</v>
      </c>
      <c r="Q63" s="2430">
        <f t="shared" si="186"/>
        <v>5.0755230321793784E-2</v>
      </c>
      <c r="R63" s="2378"/>
      <c r="S63" s="2379"/>
      <c r="T63" s="2380"/>
      <c r="U63" s="2380"/>
      <c r="V63" s="2380"/>
      <c r="X63" s="2431"/>
      <c r="Y63" s="2431"/>
      <c r="Z63" s="2431"/>
    </row>
    <row r="64" spans="1:26">
      <c r="A64" s="2364" t="s">
        <v>1067</v>
      </c>
      <c r="B64" s="2381">
        <f t="shared" ref="B64:C66" si="187">B65+(B$63-B$67)*I64/SUM(I$63:I$66)</f>
        <v>149.00125628140702</v>
      </c>
      <c r="C64" s="2381">
        <f t="shared" si="187"/>
        <v>137.95592286501378</v>
      </c>
      <c r="D64" s="2381">
        <f t="shared" si="161"/>
        <v>137.95592286501378</v>
      </c>
      <c r="E64" s="2381">
        <f t="shared" ref="E64:F66" si="188">E65+(E$63-E$67)*K64/SUM(K$63:K$66)</f>
        <v>169.97231450719823</v>
      </c>
      <c r="F64" s="2381">
        <f t="shared" si="188"/>
        <v>116.21390374331551</v>
      </c>
      <c r="G64" s="3565">
        <v>2006</v>
      </c>
      <c r="H64" s="2394">
        <v>3</v>
      </c>
      <c r="I64" s="2394">
        <v>0.92</v>
      </c>
      <c r="J64" s="2394">
        <v>1.08</v>
      </c>
      <c r="K64" s="2394">
        <v>0.73</v>
      </c>
      <c r="L64" s="2395">
        <v>1.08</v>
      </c>
      <c r="N64" s="2429">
        <f t="shared" si="185"/>
        <v>1.7587939698492462E-2</v>
      </c>
      <c r="O64" s="2430">
        <f t="shared" si="185"/>
        <v>1.1355750425840628E-2</v>
      </c>
      <c r="P64" s="2430">
        <f t="shared" si="186"/>
        <v>2.0862358446754544E-2</v>
      </c>
      <c r="Q64" s="2430">
        <f t="shared" si="186"/>
        <v>1.0132282578103011E-2</v>
      </c>
      <c r="R64" s="2378"/>
      <c r="S64" s="2382"/>
      <c r="T64" s="2351"/>
      <c r="U64" s="2351"/>
      <c r="V64" s="2351"/>
      <c r="X64" s="2431"/>
      <c r="Y64" s="2431"/>
      <c r="Z64" s="2431"/>
    </row>
    <row r="65" spans="1:26">
      <c r="A65" s="2364" t="s">
        <v>1068</v>
      </c>
      <c r="B65" s="2381">
        <f t="shared" si="187"/>
        <v>146.57412060301507</v>
      </c>
      <c r="C65" s="2381">
        <f t="shared" si="187"/>
        <v>136.46831955922866</v>
      </c>
      <c r="D65" s="2381">
        <f t="shared" si="161"/>
        <v>136.46831955922866</v>
      </c>
      <c r="E65" s="2381">
        <f t="shared" si="188"/>
        <v>166.73864894795128</v>
      </c>
      <c r="F65" s="2381">
        <f t="shared" si="188"/>
        <v>115.05882352941177</v>
      </c>
      <c r="G65" s="3565">
        <v>2006</v>
      </c>
      <c r="H65" s="2384">
        <v>2</v>
      </c>
      <c r="I65" s="2384">
        <v>0.96</v>
      </c>
      <c r="J65" s="2384">
        <v>0.25</v>
      </c>
      <c r="K65" s="2384">
        <v>1.9</v>
      </c>
      <c r="L65" s="2385">
        <v>0.95</v>
      </c>
      <c r="N65" s="2429">
        <f t="shared" si="185"/>
        <v>1.8352632728861701E-2</v>
      </c>
      <c r="O65" s="2430">
        <f t="shared" si="185"/>
        <v>2.6286459319075526E-3</v>
      </c>
      <c r="P65" s="2430">
        <f t="shared" si="186"/>
        <v>5.4299289107991269E-2</v>
      </c>
      <c r="Q65" s="2430">
        <f t="shared" si="186"/>
        <v>8.9126559714794995E-3</v>
      </c>
      <c r="R65" s="2378"/>
      <c r="S65" s="2382"/>
      <c r="T65" s="2351"/>
      <c r="U65" s="2351"/>
      <c r="V65" s="2351"/>
      <c r="X65" s="2431"/>
      <c r="Y65" s="2431"/>
      <c r="Z65" s="2431"/>
    </row>
    <row r="66" spans="1:26">
      <c r="A66" s="2364" t="s">
        <v>1069</v>
      </c>
      <c r="B66" s="2381">
        <f t="shared" si="187"/>
        <v>144.04145728643215</v>
      </c>
      <c r="C66" s="2381">
        <f t="shared" si="187"/>
        <v>136.12396694214877</v>
      </c>
      <c r="D66" s="2381">
        <f t="shared" si="161"/>
        <v>136.12396694214877</v>
      </c>
      <c r="E66" s="2381">
        <f t="shared" si="188"/>
        <v>158.32225913621264</v>
      </c>
      <c r="F66" s="2381">
        <f t="shared" si="188"/>
        <v>114.04278074866311</v>
      </c>
      <c r="G66" s="3566">
        <v>2006</v>
      </c>
      <c r="H66" s="2366">
        <v>1</v>
      </c>
      <c r="I66" s="2366">
        <v>2.29</v>
      </c>
      <c r="J66" s="2366">
        <v>3.72</v>
      </c>
      <c r="K66" s="2366">
        <v>0.75</v>
      </c>
      <c r="L66" s="2367">
        <v>0.04</v>
      </c>
      <c r="N66" s="2432">
        <f t="shared" si="185"/>
        <v>4.3778675988638847E-2</v>
      </c>
      <c r="O66" s="2433">
        <f t="shared" si="185"/>
        <v>3.9114251466784385E-2</v>
      </c>
      <c r="P66" s="2433">
        <f t="shared" si="186"/>
        <v>2.1433929911049188E-2</v>
      </c>
      <c r="Q66" s="2433">
        <f t="shared" si="186"/>
        <v>3.7526972511492629E-4</v>
      </c>
      <c r="R66" s="2378"/>
      <c r="S66" s="2386">
        <f>B66/B67-1</f>
        <v>4.3778675988638716E-2</v>
      </c>
      <c r="T66" s="2387">
        <f>C66/C67-1</f>
        <v>3.91142514667846E-2</v>
      </c>
      <c r="U66" s="2387">
        <f>E66/E67-1</f>
        <v>2.143392991104931E-2</v>
      </c>
      <c r="V66" s="2387">
        <f>F66/F67-1</f>
        <v>3.7526972511492396E-4</v>
      </c>
      <c r="X66" s="2431"/>
      <c r="Y66" s="2431"/>
      <c r="Z66" s="2431"/>
    </row>
    <row r="67" spans="1:26" ht="13.5" thickBot="1">
      <c r="A67" s="2364" t="s">
        <v>1070</v>
      </c>
      <c r="B67" s="2396">
        <v>138</v>
      </c>
      <c r="C67" s="2396">
        <v>131</v>
      </c>
      <c r="D67" s="2396">
        <f t="shared" si="161"/>
        <v>131</v>
      </c>
      <c r="E67" s="2396">
        <v>155</v>
      </c>
      <c r="F67" s="2397">
        <v>114</v>
      </c>
      <c r="G67" s="3564">
        <v>2005</v>
      </c>
      <c r="H67" s="2391">
        <v>4</v>
      </c>
      <c r="I67" s="2391">
        <v>3.29</v>
      </c>
      <c r="J67" s="2391">
        <v>1.44</v>
      </c>
      <c r="K67" s="2391">
        <v>0.66</v>
      </c>
      <c r="L67" s="2392">
        <v>7.78</v>
      </c>
      <c r="N67" s="2429">
        <f t="shared" ref="N67:O70" si="189">I67/SUM(I$67:I$70)*(B$67/B$71-1)</f>
        <v>9.9404603216919935E-2</v>
      </c>
      <c r="O67" s="2430">
        <f t="shared" si="189"/>
        <v>4.7636550760861554E-2</v>
      </c>
      <c r="P67" s="2430">
        <f t="shared" ref="P67:Q70" si="190">K67/SUM(K$67:K$70)*(E$67/E$71-1)</f>
        <v>8.3756345177664976E-2</v>
      </c>
      <c r="Q67" s="2430">
        <f t="shared" si="190"/>
        <v>5.2148766661559584E-2</v>
      </c>
      <c r="R67" s="2378"/>
      <c r="S67" s="2379"/>
      <c r="T67" s="2380"/>
      <c r="U67" s="2380"/>
      <c r="V67" s="2380"/>
      <c r="X67" s="2431"/>
      <c r="Y67" s="2431"/>
      <c r="Z67" s="2431"/>
    </row>
    <row r="68" spans="1:26">
      <c r="A68" s="2364" t="s">
        <v>1071</v>
      </c>
      <c r="B68" s="2381">
        <f t="shared" ref="B68:C70" si="191">B69+(B$67-B$71)*I68/SUM(I$67:I$70)</f>
        <v>125.9720430107527</v>
      </c>
      <c r="C68" s="2381">
        <f t="shared" si="191"/>
        <v>125.1883408071749</v>
      </c>
      <c r="D68" s="2381">
        <f t="shared" si="161"/>
        <v>125.1883408071749</v>
      </c>
      <c r="E68" s="2381">
        <f t="shared" ref="E68:F70" si="192">E69+(E$67-E$71)*K68/SUM(K$67:K$70)</f>
        <v>144.61421319796952</v>
      </c>
      <c r="F68" s="2381">
        <f t="shared" si="192"/>
        <v>108.42008196721311</v>
      </c>
      <c r="G68" s="3565">
        <v>2005</v>
      </c>
      <c r="H68" s="2394">
        <v>3</v>
      </c>
      <c r="I68" s="2394">
        <v>0.46</v>
      </c>
      <c r="J68" s="2394">
        <v>0.32</v>
      </c>
      <c r="K68" s="2394">
        <v>0.42</v>
      </c>
      <c r="L68" s="2395">
        <v>0.64</v>
      </c>
      <c r="N68" s="2429">
        <f t="shared" si="189"/>
        <v>1.3898515951301874E-2</v>
      </c>
      <c r="O68" s="2430">
        <f t="shared" si="189"/>
        <v>1.0585900169080346E-2</v>
      </c>
      <c r="P68" s="2430">
        <f t="shared" si="190"/>
        <v>5.3299492385786795E-2</v>
      </c>
      <c r="Q68" s="2430">
        <f t="shared" si="190"/>
        <v>4.2898728359123568E-3</v>
      </c>
      <c r="R68" s="2378"/>
      <c r="S68" s="2382"/>
      <c r="T68" s="2351"/>
      <c r="U68" s="2351"/>
      <c r="V68" s="2351"/>
      <c r="X68" s="2431"/>
      <c r="Y68" s="2431"/>
      <c r="Z68" s="2431"/>
    </row>
    <row r="69" spans="1:26">
      <c r="A69" s="2364" t="s">
        <v>1072</v>
      </c>
      <c r="B69" s="2381">
        <f t="shared" si="191"/>
        <v>124.29032258064517</v>
      </c>
      <c r="C69" s="2381">
        <f t="shared" si="191"/>
        <v>123.8968609865471</v>
      </c>
      <c r="D69" s="2381">
        <f t="shared" si="161"/>
        <v>123.8968609865471</v>
      </c>
      <c r="E69" s="2381">
        <f t="shared" si="192"/>
        <v>138.00507614213197</v>
      </c>
      <c r="F69" s="2381">
        <f t="shared" si="192"/>
        <v>107.96106557377048</v>
      </c>
      <c r="G69" s="3565">
        <v>2005</v>
      </c>
      <c r="H69" s="2384">
        <v>2</v>
      </c>
      <c r="I69" s="2384">
        <v>0.47</v>
      </c>
      <c r="J69" s="2384">
        <v>0.1</v>
      </c>
      <c r="K69" s="2384">
        <v>0.52</v>
      </c>
      <c r="L69" s="2385">
        <v>0.79</v>
      </c>
      <c r="N69" s="2429">
        <f t="shared" si="189"/>
        <v>1.420065760241713E-2</v>
      </c>
      <c r="O69" s="2430">
        <f t="shared" si="189"/>
        <v>3.3080938028376083E-3</v>
      </c>
      <c r="P69" s="2430">
        <f t="shared" si="190"/>
        <v>6.598984771573603E-2</v>
      </c>
      <c r="Q69" s="2430">
        <f t="shared" si="190"/>
        <v>5.2953117818293153E-3</v>
      </c>
      <c r="R69" s="2378"/>
      <c r="S69" s="2382"/>
      <c r="T69" s="2351"/>
      <c r="U69" s="2351"/>
      <c r="V69" s="2351"/>
      <c r="X69" s="2431"/>
      <c r="Y69" s="2431"/>
      <c r="Z69" s="2431"/>
    </row>
    <row r="70" spans="1:26">
      <c r="A70" s="2364" t="s">
        <v>1073</v>
      </c>
      <c r="B70" s="2381">
        <f t="shared" si="191"/>
        <v>122.57204301075269</v>
      </c>
      <c r="C70" s="2381">
        <f t="shared" si="191"/>
        <v>123.4932735426009</v>
      </c>
      <c r="D70" s="2381">
        <f t="shared" si="161"/>
        <v>123.4932735426009</v>
      </c>
      <c r="E70" s="2381">
        <f t="shared" si="192"/>
        <v>129.82233502538071</v>
      </c>
      <c r="F70" s="2381">
        <f t="shared" si="192"/>
        <v>107.39446721311475</v>
      </c>
      <c r="G70" s="3566">
        <v>2005</v>
      </c>
      <c r="H70" s="2366">
        <v>1</v>
      </c>
      <c r="I70" s="2366">
        <v>0.43</v>
      </c>
      <c r="J70" s="2366">
        <v>0.37</v>
      </c>
      <c r="K70" s="2366">
        <v>0.37</v>
      </c>
      <c r="L70" s="2367">
        <v>0.55000000000000004</v>
      </c>
      <c r="N70" s="2432">
        <f t="shared" si="189"/>
        <v>1.2992090997956099E-2</v>
      </c>
      <c r="O70" s="2433">
        <f t="shared" si="189"/>
        <v>1.2239947070499151E-2</v>
      </c>
      <c r="P70" s="2433">
        <f t="shared" si="190"/>
        <v>4.6954314720812178E-2</v>
      </c>
      <c r="Q70" s="2433">
        <f t="shared" si="190"/>
        <v>3.6866094683621815E-3</v>
      </c>
      <c r="R70" s="2378"/>
      <c r="S70" s="2386">
        <f>B70/B71-1</f>
        <v>1.2992090997956174E-2</v>
      </c>
      <c r="T70" s="2387">
        <f>C70/C71-1</f>
        <v>1.2239947070499246E-2</v>
      </c>
      <c r="U70" s="2387">
        <f>E70/E71-1</f>
        <v>4.695431472081224E-2</v>
      </c>
      <c r="V70" s="2387">
        <f>F70/F71-1</f>
        <v>3.6866094683620787E-3</v>
      </c>
      <c r="X70" s="2431"/>
      <c r="Y70" s="2431"/>
      <c r="Z70" s="2431"/>
    </row>
    <row r="71" spans="1:26" ht="13.5" thickBot="1">
      <c r="A71" s="2364" t="s">
        <v>1074</v>
      </c>
      <c r="B71" s="2417">
        <v>121</v>
      </c>
      <c r="C71" s="2417">
        <v>122</v>
      </c>
      <c r="D71" s="2417">
        <f t="shared" si="161"/>
        <v>122</v>
      </c>
      <c r="E71" s="2417">
        <v>124</v>
      </c>
      <c r="F71" s="2418">
        <v>107</v>
      </c>
      <c r="G71" s="3564">
        <v>2004</v>
      </c>
      <c r="H71" s="2391">
        <v>4</v>
      </c>
      <c r="I71" s="2391">
        <v>0.33</v>
      </c>
      <c r="J71" s="2391">
        <v>0.5</v>
      </c>
      <c r="K71" s="2391">
        <v>0.5</v>
      </c>
      <c r="L71" s="2392">
        <v>0</v>
      </c>
      <c r="N71" s="2429">
        <f t="shared" ref="N71:O74" si="193">I71/SUM(I$71:I$74)*(B$71/B$75-1)</f>
        <v>1.3391770148526898E-2</v>
      </c>
      <c r="O71" s="2430">
        <f t="shared" si="193"/>
        <v>1.063264221158958E-2</v>
      </c>
      <c r="P71" s="2430">
        <f t="shared" ref="P71:Q74" si="194">K71/SUM(K$71:K$74)*(E$71/E$75-1)</f>
        <v>2.2244466688911134E-2</v>
      </c>
      <c r="Q71" s="2430">
        <f t="shared" si="194"/>
        <v>0</v>
      </c>
      <c r="R71" s="2378"/>
      <c r="S71" s="2379"/>
      <c r="T71" s="2380"/>
      <c r="U71" s="2380"/>
      <c r="V71" s="2380"/>
      <c r="X71" s="2431"/>
      <c r="Y71" s="2431"/>
      <c r="Z71" s="2431"/>
    </row>
    <row r="72" spans="1:26">
      <c r="A72" s="2364" t="s">
        <v>1075</v>
      </c>
      <c r="B72" s="2381">
        <f t="shared" ref="B72:C74" si="195">B73+(B$71-B$75)*I72/SUM(I$71:I$74)</f>
        <v>119.51351351351352</v>
      </c>
      <c r="C72" s="2381">
        <f t="shared" si="195"/>
        <v>120.7878787878788</v>
      </c>
      <c r="D72" s="2381">
        <f t="shared" si="161"/>
        <v>120.7878787878788</v>
      </c>
      <c r="E72" s="2381">
        <f t="shared" ref="E72:F74" si="196">E73+(E$71-E$75)*K72/SUM(K$71:K$74)</f>
        <v>121.5975975975976</v>
      </c>
      <c r="F72" s="2381">
        <f t="shared" si="196"/>
        <v>107</v>
      </c>
      <c r="G72" s="3565">
        <v>2004</v>
      </c>
      <c r="H72" s="2394">
        <v>3</v>
      </c>
      <c r="I72" s="2394">
        <v>0.56000000000000005</v>
      </c>
      <c r="J72" s="2394">
        <v>0.8</v>
      </c>
      <c r="K72" s="2394">
        <v>0.83</v>
      </c>
      <c r="L72" s="2395">
        <v>0.06</v>
      </c>
      <c r="N72" s="2429">
        <f t="shared" si="193"/>
        <v>2.2725428130833527E-2</v>
      </c>
      <c r="O72" s="2430">
        <f t="shared" si="193"/>
        <v>1.7012227538543329E-2</v>
      </c>
      <c r="P72" s="2430">
        <f t="shared" si="194"/>
        <v>3.6925814703592477E-2</v>
      </c>
      <c r="Q72" s="2430">
        <f t="shared" si="194"/>
        <v>2.8846153846153744E-2</v>
      </c>
      <c r="R72" s="2378"/>
      <c r="S72" s="2382"/>
      <c r="T72" s="2351"/>
      <c r="U72" s="2351"/>
      <c r="V72" s="2351"/>
      <c r="X72" s="2431"/>
      <c r="Y72" s="2431"/>
      <c r="Z72" s="2431"/>
    </row>
    <row r="73" spans="1:26">
      <c r="A73" s="2364" t="s">
        <v>1076</v>
      </c>
      <c r="B73" s="2381">
        <f t="shared" si="195"/>
        <v>116.99099099099099</v>
      </c>
      <c r="C73" s="2381">
        <f t="shared" si="195"/>
        <v>118.84848484848486</v>
      </c>
      <c r="D73" s="2381">
        <f t="shared" si="161"/>
        <v>118.84848484848486</v>
      </c>
      <c r="E73" s="2381">
        <f t="shared" si="196"/>
        <v>117.60960960960961</v>
      </c>
      <c r="F73" s="2381">
        <f t="shared" si="196"/>
        <v>104</v>
      </c>
      <c r="G73" s="3565">
        <v>2004</v>
      </c>
      <c r="H73" s="2384">
        <v>2</v>
      </c>
      <c r="I73" s="2384">
        <v>1</v>
      </c>
      <c r="J73" s="2384">
        <v>1.5</v>
      </c>
      <c r="K73" s="2384">
        <v>1.5</v>
      </c>
      <c r="L73" s="2385">
        <v>0</v>
      </c>
      <c r="N73" s="2429">
        <f t="shared" si="193"/>
        <v>4.0581121662202721E-2</v>
      </c>
      <c r="O73" s="2430">
        <f t="shared" si="193"/>
        <v>3.1897926634768738E-2</v>
      </c>
      <c r="P73" s="2430">
        <f t="shared" si="194"/>
        <v>6.6733400066733395E-2</v>
      </c>
      <c r="Q73" s="2430">
        <f t="shared" si="194"/>
        <v>0</v>
      </c>
      <c r="R73" s="2378"/>
      <c r="S73" s="2382"/>
      <c r="T73" s="2351"/>
      <c r="U73" s="2351"/>
      <c r="V73" s="2351"/>
      <c r="X73" s="2431"/>
      <c r="Y73" s="2431"/>
      <c r="Z73" s="2431"/>
    </row>
    <row r="74" spans="1:26" s="2423" customFormat="1" ht="13.5" thickBot="1">
      <c r="A74" s="2364" t="s">
        <v>1077</v>
      </c>
      <c r="B74" s="2420">
        <f t="shared" si="195"/>
        <v>112.48648648648648</v>
      </c>
      <c r="C74" s="2420">
        <f t="shared" si="195"/>
        <v>115.21212121212122</v>
      </c>
      <c r="D74" s="2420">
        <f t="shared" si="161"/>
        <v>115.21212121212122</v>
      </c>
      <c r="E74" s="2420">
        <f t="shared" si="196"/>
        <v>110.4024024024024</v>
      </c>
      <c r="F74" s="2420">
        <f t="shared" si="196"/>
        <v>104</v>
      </c>
      <c r="G74" s="3566">
        <v>2004</v>
      </c>
      <c r="H74" s="2421">
        <v>1</v>
      </c>
      <c r="I74" s="2421">
        <v>0.33</v>
      </c>
      <c r="J74" s="2421">
        <v>0.5</v>
      </c>
      <c r="K74" s="2421">
        <v>0.5</v>
      </c>
      <c r="L74" s="2422">
        <v>0</v>
      </c>
      <c r="N74" s="2434">
        <f t="shared" si="193"/>
        <v>1.3391770148526898E-2</v>
      </c>
      <c r="O74" s="2435">
        <f t="shared" si="193"/>
        <v>1.063264221158958E-2</v>
      </c>
      <c r="P74" s="2435">
        <f t="shared" si="194"/>
        <v>2.2244466688911134E-2</v>
      </c>
      <c r="Q74" s="2435">
        <f t="shared" si="194"/>
        <v>0</v>
      </c>
      <c r="R74" s="2426"/>
      <c r="S74" s="2424">
        <f>B74/B75-1</f>
        <v>1.3391770148526883E-2</v>
      </c>
      <c r="T74" s="2425">
        <f>C74/C75-1</f>
        <v>1.063264221158966E-2</v>
      </c>
      <c r="U74" s="2425">
        <f>E74/E75-1</f>
        <v>2.2244466688911224E-2</v>
      </c>
      <c r="V74" s="2425">
        <f>F74/F75-1</f>
        <v>0</v>
      </c>
      <c r="X74" s="2436"/>
      <c r="Y74" s="2436"/>
      <c r="Z74" s="2436"/>
    </row>
    <row r="75" spans="1:26" ht="13.5" thickBot="1">
      <c r="A75" s="2364" t="s">
        <v>1078</v>
      </c>
      <c r="B75" s="2437">
        <v>111</v>
      </c>
      <c r="C75" s="2437">
        <v>114</v>
      </c>
      <c r="D75" s="2437">
        <f t="shared" si="161"/>
        <v>114</v>
      </c>
      <c r="E75" s="2437">
        <v>108</v>
      </c>
      <c r="F75" s="2438">
        <v>104</v>
      </c>
      <c r="G75" s="3564">
        <v>2003</v>
      </c>
      <c r="H75" s="2427">
        <v>4</v>
      </c>
      <c r="I75" s="2439"/>
      <c r="J75" s="2439"/>
      <c r="K75" s="2439"/>
      <c r="L75" s="2439"/>
      <c r="N75" s="2440"/>
      <c r="O75" s="2439"/>
      <c r="P75" s="2439"/>
      <c r="Q75" s="2439"/>
      <c r="S75" s="2440"/>
      <c r="T75" s="2439"/>
      <c r="U75" s="2439"/>
      <c r="V75" s="2439"/>
      <c r="X75" s="2431"/>
      <c r="Y75" s="2431"/>
      <c r="Z75" s="2431"/>
    </row>
    <row r="76" spans="1:26">
      <c r="A76" s="2364" t="s">
        <v>1079</v>
      </c>
      <c r="B76" s="2441">
        <f t="shared" ref="B76:C78" si="197">B77+(B$75-B$79)/4</f>
        <v>109.75</v>
      </c>
      <c r="C76" s="2441">
        <f t="shared" si="197"/>
        <v>112.25</v>
      </c>
      <c r="D76" s="2441">
        <f t="shared" si="161"/>
        <v>112.25</v>
      </c>
      <c r="E76" s="2441">
        <f t="shared" ref="E76:F78" si="198">E77+(E$75-E$79)/4</f>
        <v>107.25</v>
      </c>
      <c r="F76" s="2441">
        <f t="shared" si="198"/>
        <v>103.5</v>
      </c>
      <c r="G76" s="3565">
        <v>2003</v>
      </c>
      <c r="H76" s="2394">
        <v>3</v>
      </c>
      <c r="I76" s="2439"/>
      <c r="J76" s="2439"/>
      <c r="K76" s="2439"/>
      <c r="L76" s="2439"/>
      <c r="X76" s="2431"/>
      <c r="Y76" s="2431"/>
      <c r="Z76" s="2431"/>
    </row>
    <row r="77" spans="1:26">
      <c r="A77" s="2364" t="s">
        <v>1080</v>
      </c>
      <c r="B77" s="2441">
        <f t="shared" si="197"/>
        <v>108.5</v>
      </c>
      <c r="C77" s="2441">
        <f t="shared" si="197"/>
        <v>110.5</v>
      </c>
      <c r="D77" s="2441">
        <f t="shared" si="161"/>
        <v>110.5</v>
      </c>
      <c r="E77" s="2441">
        <f t="shared" si="198"/>
        <v>106.5</v>
      </c>
      <c r="F77" s="2441">
        <f t="shared" si="198"/>
        <v>103</v>
      </c>
      <c r="G77" s="3565">
        <v>2003</v>
      </c>
      <c r="H77" s="2384">
        <v>2</v>
      </c>
      <c r="I77" s="2439"/>
      <c r="J77" s="2439"/>
      <c r="K77" s="2439"/>
      <c r="L77" s="2439"/>
      <c r="X77" s="2431"/>
      <c r="Y77" s="2431"/>
      <c r="Z77" s="2431"/>
    </row>
    <row r="78" spans="1:26" ht="13.5" thickBot="1">
      <c r="A78" s="2364" t="s">
        <v>1081</v>
      </c>
      <c r="B78" s="2441">
        <f t="shared" si="197"/>
        <v>107.25</v>
      </c>
      <c r="C78" s="2441">
        <f t="shared" si="197"/>
        <v>108.75</v>
      </c>
      <c r="D78" s="2441">
        <f t="shared" si="161"/>
        <v>108.75</v>
      </c>
      <c r="E78" s="2441">
        <f t="shared" si="198"/>
        <v>105.75</v>
      </c>
      <c r="F78" s="2441">
        <f t="shared" si="198"/>
        <v>102.5</v>
      </c>
      <c r="G78" s="3566">
        <v>2003</v>
      </c>
      <c r="H78" s="2442">
        <v>1</v>
      </c>
      <c r="I78" s="2439"/>
      <c r="J78" s="2439"/>
      <c r="K78" s="2439"/>
      <c r="L78" s="2439"/>
      <c r="S78" s="2382"/>
      <c r="T78" s="2351"/>
      <c r="U78" s="2351"/>
      <c r="X78" s="2431"/>
      <c r="Y78" s="2431"/>
      <c r="Z78" s="2431"/>
    </row>
    <row r="79" spans="1:26" ht="13.5" thickBot="1">
      <c r="A79" s="2364" t="s">
        <v>1082</v>
      </c>
      <c r="B79" s="2443">
        <v>106</v>
      </c>
      <c r="C79" s="2443">
        <v>107</v>
      </c>
      <c r="D79" s="2443">
        <f t="shared" si="161"/>
        <v>107</v>
      </c>
      <c r="E79" s="2443">
        <v>105</v>
      </c>
      <c r="F79" s="2444">
        <v>102</v>
      </c>
      <c r="G79" s="3564">
        <v>2002</v>
      </c>
      <c r="H79" s="2391">
        <v>4</v>
      </c>
      <c r="I79" s="2439"/>
      <c r="J79" s="2439"/>
      <c r="K79" s="2439"/>
      <c r="L79" s="2439"/>
      <c r="N79" s="2440"/>
      <c r="O79" s="2439"/>
      <c r="P79" s="2439"/>
      <c r="Q79" s="2439"/>
      <c r="S79" s="2440"/>
      <c r="T79" s="2439"/>
      <c r="U79" s="2439"/>
      <c r="V79" s="2439"/>
      <c r="X79" s="2431"/>
      <c r="Y79" s="2431"/>
      <c r="Z79" s="2431"/>
    </row>
    <row r="80" spans="1:26">
      <c r="A80" s="2364" t="s">
        <v>1083</v>
      </c>
      <c r="B80" s="2441">
        <f t="shared" ref="B80:C82" si="199">B81+(B$79-B$83)/4</f>
        <v>105</v>
      </c>
      <c r="C80" s="2441">
        <f t="shared" si="199"/>
        <v>106</v>
      </c>
      <c r="D80" s="2441">
        <f t="shared" si="161"/>
        <v>106</v>
      </c>
      <c r="E80" s="2441">
        <f t="shared" ref="E80:F82" si="200">E81+(E$79-E$83)/4</f>
        <v>104.5</v>
      </c>
      <c r="F80" s="2441">
        <f t="shared" si="200"/>
        <v>101.5</v>
      </c>
      <c r="G80" s="3565">
        <v>2002</v>
      </c>
      <c r="H80" s="2394">
        <v>3</v>
      </c>
      <c r="I80" s="2439"/>
      <c r="J80" s="2439"/>
      <c r="K80" s="2439"/>
      <c r="L80" s="2439"/>
      <c r="X80" s="2431"/>
      <c r="Y80" s="2431"/>
      <c r="Z80" s="2431"/>
    </row>
    <row r="81" spans="1:26">
      <c r="A81" s="2364" t="s">
        <v>1084</v>
      </c>
      <c r="B81" s="2441">
        <f t="shared" si="199"/>
        <v>104</v>
      </c>
      <c r="C81" s="2441">
        <f t="shared" si="199"/>
        <v>105</v>
      </c>
      <c r="D81" s="2441">
        <f t="shared" si="161"/>
        <v>105</v>
      </c>
      <c r="E81" s="2441">
        <f t="shared" si="200"/>
        <v>104</v>
      </c>
      <c r="F81" s="2441">
        <f t="shared" si="200"/>
        <v>101</v>
      </c>
      <c r="G81" s="3565">
        <v>2002</v>
      </c>
      <c r="H81" s="2384">
        <v>2</v>
      </c>
      <c r="I81" s="2439"/>
      <c r="J81" s="2439"/>
      <c r="K81" s="2439"/>
      <c r="L81" s="2439"/>
      <c r="X81" s="2431"/>
      <c r="Y81" s="2431"/>
      <c r="Z81" s="2431"/>
    </row>
    <row r="82" spans="1:26" s="2404" customFormat="1" ht="13.5" thickBot="1">
      <c r="A82" s="2400" t="s">
        <v>1085</v>
      </c>
      <c r="B82" s="2407">
        <f t="shared" si="199"/>
        <v>103</v>
      </c>
      <c r="C82" s="2407">
        <f t="shared" si="199"/>
        <v>104</v>
      </c>
      <c r="D82" s="2407">
        <f t="shared" si="161"/>
        <v>104</v>
      </c>
      <c r="E82" s="2407">
        <f t="shared" si="200"/>
        <v>103.5</v>
      </c>
      <c r="F82" s="2407">
        <f t="shared" si="200"/>
        <v>100.5</v>
      </c>
      <c r="G82" s="3566">
        <v>2002</v>
      </c>
      <c r="H82" s="2445">
        <v>1</v>
      </c>
      <c r="I82" s="2446"/>
      <c r="J82" s="2446"/>
      <c r="K82" s="2446"/>
      <c r="L82" s="2446"/>
      <c r="N82" s="2447"/>
      <c r="S82" s="2447"/>
      <c r="X82" s="2448"/>
      <c r="Y82" s="2448"/>
      <c r="Z82" s="2448"/>
    </row>
    <row r="83" spans="1:26" ht="13.5" thickBot="1">
      <c r="B83" s="2449">
        <v>102</v>
      </c>
      <c r="C83" s="2450">
        <v>103</v>
      </c>
      <c r="D83" s="2450">
        <f t="shared" si="161"/>
        <v>103</v>
      </c>
      <c r="E83" s="2450">
        <v>103</v>
      </c>
      <c r="F83" s="2451">
        <v>100</v>
      </c>
      <c r="I83" s="2439"/>
      <c r="J83" s="2439"/>
      <c r="K83" s="2439"/>
      <c r="L83" s="2439"/>
      <c r="N83" s="2440"/>
      <c r="O83" s="2439"/>
      <c r="P83" s="2439"/>
      <c r="Q83" s="2439"/>
      <c r="S83" s="2440"/>
      <c r="T83" s="2439"/>
      <c r="U83" s="2439"/>
      <c r="V83" s="2439"/>
      <c r="X83" s="2380"/>
      <c r="Y83" s="2380"/>
      <c r="Z83" s="2380"/>
    </row>
    <row r="85" spans="1:26" s="2453" customFormat="1">
      <c r="A85" s="2452" t="s">
        <v>1086</v>
      </c>
      <c r="G85" s="2454"/>
      <c r="N85" s="2454"/>
      <c r="S85" s="2454"/>
    </row>
    <row r="86" spans="1:26" s="2453" customFormat="1">
      <c r="A86" s="2453" t="s">
        <v>1087</v>
      </c>
      <c r="G86" s="2454"/>
      <c r="N86" s="2454"/>
      <c r="S86" s="2454"/>
    </row>
    <row r="87" spans="1:26" s="2453" customFormat="1">
      <c r="A87" s="2453" t="s">
        <v>1088</v>
      </c>
      <c r="G87" s="2454"/>
      <c r="I87" s="2455"/>
      <c r="J87" s="2455"/>
      <c r="K87" s="2455"/>
      <c r="L87" s="2455"/>
      <c r="N87" s="2456"/>
      <c r="O87" s="2455"/>
      <c r="P87" s="2455"/>
      <c r="Q87" s="2455"/>
      <c r="S87" s="2456"/>
      <c r="T87" s="2455"/>
      <c r="U87" s="2455"/>
      <c r="V87" s="2455"/>
    </row>
    <row r="88" spans="1:26" s="2453" customFormat="1">
      <c r="A88" s="2453" t="s">
        <v>1089</v>
      </c>
      <c r="G88" s="2454"/>
      <c r="N88" s="2454"/>
      <c r="S88" s="2454"/>
    </row>
    <row r="95" spans="1:26" ht="13.5" thickBot="1"/>
    <row r="96" spans="1:26">
      <c r="G96" s="2350"/>
      <c r="S96" s="2457" t="s">
        <v>1090</v>
      </c>
      <c r="T96" s="2458" t="s">
        <v>1091</v>
      </c>
      <c r="U96" s="2458" t="s">
        <v>1092</v>
      </c>
      <c r="V96" s="2458" t="s">
        <v>1093</v>
      </c>
    </row>
    <row r="97" spans="7:22">
      <c r="G97" s="2350"/>
      <c r="N97" s="2379"/>
      <c r="O97" s="2380"/>
      <c r="P97" s="2380"/>
      <c r="Q97" s="2380"/>
      <c r="S97" s="2459">
        <v>2006</v>
      </c>
      <c r="T97" s="2460">
        <v>15.1</v>
      </c>
      <c r="U97" s="2460">
        <v>7.43</v>
      </c>
      <c r="V97" s="2460">
        <v>26.26</v>
      </c>
    </row>
    <row r="98" spans="7:22">
      <c r="G98" s="2350"/>
      <c r="N98" s="2379"/>
      <c r="O98" s="2380"/>
      <c r="P98" s="2380"/>
      <c r="Q98" s="2380"/>
      <c r="S98" s="2461">
        <v>2005</v>
      </c>
      <c r="T98" s="2462">
        <v>13.9</v>
      </c>
      <c r="U98" s="2462">
        <v>7.49</v>
      </c>
      <c r="V98" s="2462">
        <v>24.92</v>
      </c>
    </row>
    <row r="99" spans="7:22">
      <c r="G99" s="2350"/>
      <c r="N99" s="2379"/>
      <c r="O99" s="2380"/>
      <c r="P99" s="2380"/>
      <c r="Q99" s="2380"/>
      <c r="S99" s="2459">
        <v>2004</v>
      </c>
      <c r="T99" s="2460">
        <v>9.48</v>
      </c>
      <c r="U99" s="2460">
        <v>7.2</v>
      </c>
      <c r="V99" s="2460">
        <v>14.68</v>
      </c>
    </row>
    <row r="100" spans="7:22">
      <c r="G100" s="2350"/>
      <c r="N100" s="2379"/>
      <c r="O100" s="2380"/>
      <c r="P100" s="2380"/>
      <c r="Q100" s="2380"/>
      <c r="S100" s="2461">
        <v>2003</v>
      </c>
      <c r="T100" s="2462">
        <v>4.5</v>
      </c>
      <c r="U100" s="2462">
        <v>6.12</v>
      </c>
      <c r="V100" s="2462">
        <v>2.34</v>
      </c>
    </row>
    <row r="101" spans="7:22" ht="13.5" thickBot="1">
      <c r="G101" s="2350"/>
      <c r="N101" s="2379"/>
      <c r="O101" s="2380"/>
      <c r="P101" s="2380"/>
      <c r="Q101" s="2380"/>
      <c r="S101" s="2463">
        <v>2002</v>
      </c>
      <c r="T101" s="2464">
        <v>3.59</v>
      </c>
      <c r="U101" s="2464">
        <v>4.54</v>
      </c>
      <c r="V101" s="2464">
        <v>2.5499999999999998</v>
      </c>
    </row>
    <row r="102" spans="7:22">
      <c r="G102" s="2350"/>
      <c r="N102" s="2379"/>
      <c r="O102" s="2380"/>
      <c r="P102" s="2380"/>
      <c r="Q102" s="2380"/>
    </row>
    <row r="103" spans="7:22">
      <c r="G103" s="2350"/>
      <c r="N103" s="2379"/>
      <c r="O103" s="2380"/>
      <c r="P103" s="2380"/>
      <c r="Q103" s="2380"/>
    </row>
    <row r="104" spans="7:22">
      <c r="G104" s="2350"/>
      <c r="N104" s="2379"/>
      <c r="O104" s="2380"/>
      <c r="P104" s="2380"/>
      <c r="Q104" s="2380"/>
    </row>
    <row r="105" spans="7:22">
      <c r="G105" s="2350"/>
      <c r="N105" s="2379"/>
      <c r="O105" s="2380"/>
      <c r="P105" s="2380"/>
      <c r="Q105" s="2380"/>
    </row>
    <row r="106" spans="7:22">
      <c r="G106" s="2350"/>
      <c r="N106" s="2379"/>
      <c r="O106" s="2380"/>
      <c r="P106" s="2380"/>
      <c r="Q106" s="2380"/>
    </row>
    <row r="107" spans="7:22">
      <c r="G107" s="2350"/>
      <c r="N107" s="2379"/>
      <c r="O107" s="2380"/>
      <c r="P107" s="2380"/>
      <c r="Q107" s="2380"/>
    </row>
    <row r="108" spans="7:22">
      <c r="G108" s="2350"/>
      <c r="N108" s="2379"/>
      <c r="O108" s="2380"/>
      <c r="P108" s="2380"/>
      <c r="Q108" s="2380"/>
    </row>
    <row r="109" spans="7:22">
      <c r="G109" s="2350"/>
      <c r="N109" s="2379"/>
      <c r="O109" s="2380"/>
      <c r="P109" s="2380"/>
      <c r="Q109" s="2380"/>
    </row>
    <row r="110" spans="7:22">
      <c r="G110" s="2350"/>
      <c r="N110" s="2379"/>
      <c r="O110" s="2380"/>
      <c r="P110" s="2380"/>
      <c r="Q110" s="2380"/>
    </row>
    <row r="111" spans="7:22">
      <c r="G111" s="2350"/>
      <c r="N111" s="2379"/>
      <c r="O111" s="2380"/>
      <c r="P111" s="2380"/>
      <c r="Q111" s="2380"/>
    </row>
    <row r="112" spans="7:22">
      <c r="G112" s="2350"/>
      <c r="N112" s="2379"/>
      <c r="O112" s="2380"/>
      <c r="P112" s="2380"/>
      <c r="Q112" s="2380"/>
      <c r="S112" s="2350"/>
    </row>
    <row r="113" spans="7:19">
      <c r="G113" s="2350"/>
      <c r="N113" s="2379"/>
      <c r="O113" s="2380"/>
      <c r="P113" s="2380"/>
      <c r="Q113" s="2380"/>
      <c r="S113" s="2350"/>
    </row>
    <row r="114" spans="7:19">
      <c r="G114" s="2350"/>
      <c r="N114" s="2379"/>
      <c r="O114" s="2380"/>
      <c r="P114" s="2380"/>
      <c r="Q114" s="2380"/>
      <c r="S114" s="2350"/>
    </row>
    <row r="115" spans="7:19">
      <c r="G115" s="2350"/>
      <c r="N115" s="2379"/>
      <c r="O115" s="2380"/>
      <c r="P115" s="2380"/>
      <c r="Q115" s="2380"/>
      <c r="S115" s="2350"/>
    </row>
    <row r="116" spans="7:19">
      <c r="G116" s="2350"/>
      <c r="N116" s="2379"/>
      <c r="O116" s="2380"/>
      <c r="P116" s="2380"/>
      <c r="Q116" s="2380"/>
      <c r="S116" s="2350"/>
    </row>
    <row r="117" spans="7:19">
      <c r="G117" s="2350"/>
      <c r="N117" s="2379"/>
      <c r="O117" s="2380"/>
      <c r="P117" s="2380"/>
      <c r="Q117" s="2380"/>
      <c r="S117" s="2350"/>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5" customWidth="1"/>
    <col min="2" max="2" width="13.25" style="1241" customWidth="1"/>
    <col min="3" max="3" width="15.625" style="1241" customWidth="1"/>
    <col min="4" max="4" width="9.375" style="1241" bestFit="1" customWidth="1"/>
    <col min="5" max="5" width="13.5" style="1241" customWidth="1"/>
    <col min="6" max="6" width="9" style="1241"/>
    <col min="7" max="7" width="9.375" style="1241" bestFit="1" customWidth="1"/>
    <col min="8" max="8" width="11.5" style="1241" customWidth="1"/>
    <col min="9" max="9" width="9" style="1241"/>
    <col min="10" max="10" width="9.375" style="1241" bestFit="1" customWidth="1"/>
    <col min="11" max="11" width="4" style="1235" customWidth="1"/>
    <col min="12" max="12" width="5.125" style="1241" customWidth="1"/>
    <col min="13" max="13" width="13.75" style="1241" customWidth="1"/>
    <col min="14" max="256" width="9" style="1241"/>
    <col min="257" max="257" width="4.875" style="1232" customWidth="1"/>
    <col min="258" max="258" width="13.25" style="1232" customWidth="1"/>
    <col min="259" max="259" width="15.625" style="1232" customWidth="1"/>
    <col min="260" max="260" width="9.375" style="1232" bestFit="1" customWidth="1"/>
    <col min="261" max="261" width="13.5" style="1232" customWidth="1"/>
    <col min="262" max="262" width="9" style="1232"/>
    <col min="263" max="263" width="9.375" style="1232" bestFit="1" customWidth="1"/>
    <col min="264" max="265" width="9" style="1232"/>
    <col min="266" max="266" width="9.375" style="1232" bestFit="1" customWidth="1"/>
    <col min="267" max="267" width="4" style="1232" customWidth="1"/>
    <col min="268" max="268" width="5.125" style="1232" customWidth="1"/>
    <col min="269" max="269" width="13.75" style="1232" customWidth="1"/>
    <col min="270" max="512" width="9" style="1232"/>
    <col min="513" max="513" width="4.875" style="1232" customWidth="1"/>
    <col min="514" max="514" width="13.25" style="1232" customWidth="1"/>
    <col min="515" max="515" width="15.625" style="1232" customWidth="1"/>
    <col min="516" max="516" width="9.375" style="1232" bestFit="1" customWidth="1"/>
    <col min="517" max="517" width="13.5" style="1232" customWidth="1"/>
    <col min="518" max="518" width="9" style="1232"/>
    <col min="519" max="519" width="9.375" style="1232" bestFit="1" customWidth="1"/>
    <col min="520" max="521" width="9" style="1232"/>
    <col min="522" max="522" width="9.375" style="1232" bestFit="1" customWidth="1"/>
    <col min="523" max="523" width="4" style="1232" customWidth="1"/>
    <col min="524" max="524" width="5.125" style="1232" customWidth="1"/>
    <col min="525" max="525" width="13.75" style="1232" customWidth="1"/>
    <col min="526" max="768" width="9" style="1232"/>
    <col min="769" max="769" width="4.875" style="1232" customWidth="1"/>
    <col min="770" max="770" width="13.25" style="1232" customWidth="1"/>
    <col min="771" max="771" width="15.625" style="1232" customWidth="1"/>
    <col min="772" max="772" width="9.375" style="1232" bestFit="1" customWidth="1"/>
    <col min="773" max="773" width="13.5" style="1232" customWidth="1"/>
    <col min="774" max="774" width="9" style="1232"/>
    <col min="775" max="775" width="9.375" style="1232" bestFit="1" customWidth="1"/>
    <col min="776" max="777" width="9" style="1232"/>
    <col min="778" max="778" width="9.375" style="1232" bestFit="1" customWidth="1"/>
    <col min="779" max="779" width="4" style="1232" customWidth="1"/>
    <col min="780" max="780" width="5.125" style="1232" customWidth="1"/>
    <col min="781" max="781" width="13.75" style="1232" customWidth="1"/>
    <col min="782" max="1024" width="9" style="1232"/>
    <col min="1025" max="1025" width="4.875" style="1232" customWidth="1"/>
    <col min="1026" max="1026" width="13.25" style="1232" customWidth="1"/>
    <col min="1027" max="1027" width="15.625" style="1232" customWidth="1"/>
    <col min="1028" max="1028" width="9.375" style="1232" bestFit="1" customWidth="1"/>
    <col min="1029" max="1029" width="13.5" style="1232" customWidth="1"/>
    <col min="1030" max="1030" width="9" style="1232"/>
    <col min="1031" max="1031" width="9.375" style="1232" bestFit="1" customWidth="1"/>
    <col min="1032" max="1033" width="9" style="1232"/>
    <col min="1034" max="1034" width="9.375" style="1232" bestFit="1" customWidth="1"/>
    <col min="1035" max="1035" width="4" style="1232" customWidth="1"/>
    <col min="1036" max="1036" width="5.125" style="1232" customWidth="1"/>
    <col min="1037" max="1037" width="13.75" style="1232" customWidth="1"/>
    <col min="1038" max="1280" width="9" style="1232"/>
    <col min="1281" max="1281" width="4.875" style="1232" customWidth="1"/>
    <col min="1282" max="1282" width="13.25" style="1232" customWidth="1"/>
    <col min="1283" max="1283" width="15.625" style="1232" customWidth="1"/>
    <col min="1284" max="1284" width="9.375" style="1232" bestFit="1" customWidth="1"/>
    <col min="1285" max="1285" width="13.5" style="1232" customWidth="1"/>
    <col min="1286" max="1286" width="9" style="1232"/>
    <col min="1287" max="1287" width="9.375" style="1232" bestFit="1" customWidth="1"/>
    <col min="1288" max="1289" width="9" style="1232"/>
    <col min="1290" max="1290" width="9.375" style="1232" bestFit="1" customWidth="1"/>
    <col min="1291" max="1291" width="4" style="1232" customWidth="1"/>
    <col min="1292" max="1292" width="5.125" style="1232" customWidth="1"/>
    <col min="1293" max="1293" width="13.75" style="1232" customWidth="1"/>
    <col min="1294" max="1536" width="9" style="1232"/>
    <col min="1537" max="1537" width="4.875" style="1232" customWidth="1"/>
    <col min="1538" max="1538" width="13.25" style="1232" customWidth="1"/>
    <col min="1539" max="1539" width="15.625" style="1232" customWidth="1"/>
    <col min="1540" max="1540" width="9.375" style="1232" bestFit="1" customWidth="1"/>
    <col min="1541" max="1541" width="13.5" style="1232" customWidth="1"/>
    <col min="1542" max="1542" width="9" style="1232"/>
    <col min="1543" max="1543" width="9.375" style="1232" bestFit="1" customWidth="1"/>
    <col min="1544" max="1545" width="9" style="1232"/>
    <col min="1546" max="1546" width="9.375" style="1232" bestFit="1" customWidth="1"/>
    <col min="1547" max="1547" width="4" style="1232" customWidth="1"/>
    <col min="1548" max="1548" width="5.125" style="1232" customWidth="1"/>
    <col min="1549" max="1549" width="13.75" style="1232" customWidth="1"/>
    <col min="1550" max="1792" width="9" style="1232"/>
    <col min="1793" max="1793" width="4.875" style="1232" customWidth="1"/>
    <col min="1794" max="1794" width="13.25" style="1232" customWidth="1"/>
    <col min="1795" max="1795" width="15.625" style="1232" customWidth="1"/>
    <col min="1796" max="1796" width="9.375" style="1232" bestFit="1" customWidth="1"/>
    <col min="1797" max="1797" width="13.5" style="1232" customWidth="1"/>
    <col min="1798" max="1798" width="9" style="1232"/>
    <col min="1799" max="1799" width="9.375" style="1232" bestFit="1" customWidth="1"/>
    <col min="1800" max="1801" width="9" style="1232"/>
    <col min="1802" max="1802" width="9.375" style="1232" bestFit="1" customWidth="1"/>
    <col min="1803" max="1803" width="4" style="1232" customWidth="1"/>
    <col min="1804" max="1804" width="5.125" style="1232" customWidth="1"/>
    <col min="1805" max="1805" width="13.75" style="1232" customWidth="1"/>
    <col min="1806" max="2048" width="9" style="1232"/>
    <col min="2049" max="2049" width="4.875" style="1232" customWidth="1"/>
    <col min="2050" max="2050" width="13.25" style="1232" customWidth="1"/>
    <col min="2051" max="2051" width="15.625" style="1232" customWidth="1"/>
    <col min="2052" max="2052" width="9.375" style="1232" bestFit="1" customWidth="1"/>
    <col min="2053" max="2053" width="13.5" style="1232" customWidth="1"/>
    <col min="2054" max="2054" width="9" style="1232"/>
    <col min="2055" max="2055" width="9.375" style="1232" bestFit="1" customWidth="1"/>
    <col min="2056" max="2057" width="9" style="1232"/>
    <col min="2058" max="2058" width="9.375" style="1232" bestFit="1" customWidth="1"/>
    <col min="2059" max="2059" width="4" style="1232" customWidth="1"/>
    <col min="2060" max="2060" width="5.125" style="1232" customWidth="1"/>
    <col min="2061" max="2061" width="13.75" style="1232" customWidth="1"/>
    <col min="2062" max="2304" width="9" style="1232"/>
    <col min="2305" max="2305" width="4.875" style="1232" customWidth="1"/>
    <col min="2306" max="2306" width="13.25" style="1232" customWidth="1"/>
    <col min="2307" max="2307" width="15.625" style="1232" customWidth="1"/>
    <col min="2308" max="2308" width="9.375" style="1232" bestFit="1" customWidth="1"/>
    <col min="2309" max="2309" width="13.5" style="1232" customWidth="1"/>
    <col min="2310" max="2310" width="9" style="1232"/>
    <col min="2311" max="2311" width="9.375" style="1232" bestFit="1" customWidth="1"/>
    <col min="2312" max="2313" width="9" style="1232"/>
    <col min="2314" max="2314" width="9.375" style="1232" bestFit="1" customWidth="1"/>
    <col min="2315" max="2315" width="4" style="1232" customWidth="1"/>
    <col min="2316" max="2316" width="5.125" style="1232" customWidth="1"/>
    <col min="2317" max="2317" width="13.75" style="1232" customWidth="1"/>
    <col min="2318" max="2560" width="9" style="1232"/>
    <col min="2561" max="2561" width="4.875" style="1232" customWidth="1"/>
    <col min="2562" max="2562" width="13.25" style="1232" customWidth="1"/>
    <col min="2563" max="2563" width="15.625" style="1232" customWidth="1"/>
    <col min="2564" max="2564" width="9.375" style="1232" bestFit="1" customWidth="1"/>
    <col min="2565" max="2565" width="13.5" style="1232" customWidth="1"/>
    <col min="2566" max="2566" width="9" style="1232"/>
    <col min="2567" max="2567" width="9.375" style="1232" bestFit="1" customWidth="1"/>
    <col min="2568" max="2569" width="9" style="1232"/>
    <col min="2570" max="2570" width="9.375" style="1232" bestFit="1" customWidth="1"/>
    <col min="2571" max="2571" width="4" style="1232" customWidth="1"/>
    <col min="2572" max="2572" width="5.125" style="1232" customWidth="1"/>
    <col min="2573" max="2573" width="13.75" style="1232" customWidth="1"/>
    <col min="2574" max="2816" width="9" style="1232"/>
    <col min="2817" max="2817" width="4.875" style="1232" customWidth="1"/>
    <col min="2818" max="2818" width="13.25" style="1232" customWidth="1"/>
    <col min="2819" max="2819" width="15.625" style="1232" customWidth="1"/>
    <col min="2820" max="2820" width="9.375" style="1232" bestFit="1" customWidth="1"/>
    <col min="2821" max="2821" width="13.5" style="1232" customWidth="1"/>
    <col min="2822" max="2822" width="9" style="1232"/>
    <col min="2823" max="2823" width="9.375" style="1232" bestFit="1" customWidth="1"/>
    <col min="2824" max="2825" width="9" style="1232"/>
    <col min="2826" max="2826" width="9.375" style="1232" bestFit="1" customWidth="1"/>
    <col min="2827" max="2827" width="4" style="1232" customWidth="1"/>
    <col min="2828" max="2828" width="5.125" style="1232" customWidth="1"/>
    <col min="2829" max="2829" width="13.75" style="1232" customWidth="1"/>
    <col min="2830" max="3072" width="9" style="1232"/>
    <col min="3073" max="3073" width="4.875" style="1232" customWidth="1"/>
    <col min="3074" max="3074" width="13.25" style="1232" customWidth="1"/>
    <col min="3075" max="3075" width="15.625" style="1232" customWidth="1"/>
    <col min="3076" max="3076" width="9.375" style="1232" bestFit="1" customWidth="1"/>
    <col min="3077" max="3077" width="13.5" style="1232" customWidth="1"/>
    <col min="3078" max="3078" width="9" style="1232"/>
    <col min="3079" max="3079" width="9.375" style="1232" bestFit="1" customWidth="1"/>
    <col min="3080" max="3081" width="9" style="1232"/>
    <col min="3082" max="3082" width="9.375" style="1232" bestFit="1" customWidth="1"/>
    <col min="3083" max="3083" width="4" style="1232" customWidth="1"/>
    <col min="3084" max="3084" width="5.125" style="1232" customWidth="1"/>
    <col min="3085" max="3085" width="13.75" style="1232" customWidth="1"/>
    <col min="3086" max="3328" width="9" style="1232"/>
    <col min="3329" max="3329" width="4.875" style="1232" customWidth="1"/>
    <col min="3330" max="3330" width="13.25" style="1232" customWidth="1"/>
    <col min="3331" max="3331" width="15.625" style="1232" customWidth="1"/>
    <col min="3332" max="3332" width="9.375" style="1232" bestFit="1" customWidth="1"/>
    <col min="3333" max="3333" width="13.5" style="1232" customWidth="1"/>
    <col min="3334" max="3334" width="9" style="1232"/>
    <col min="3335" max="3335" width="9.375" style="1232" bestFit="1" customWidth="1"/>
    <col min="3336" max="3337" width="9" style="1232"/>
    <col min="3338" max="3338" width="9.375" style="1232" bestFit="1" customWidth="1"/>
    <col min="3339" max="3339" width="4" style="1232" customWidth="1"/>
    <col min="3340" max="3340" width="5.125" style="1232" customWidth="1"/>
    <col min="3341" max="3341" width="13.75" style="1232" customWidth="1"/>
    <col min="3342" max="3584" width="9" style="1232"/>
    <col min="3585" max="3585" width="4.875" style="1232" customWidth="1"/>
    <col min="3586" max="3586" width="13.25" style="1232" customWidth="1"/>
    <col min="3587" max="3587" width="15.625" style="1232" customWidth="1"/>
    <col min="3588" max="3588" width="9.375" style="1232" bestFit="1" customWidth="1"/>
    <col min="3589" max="3589" width="13.5" style="1232" customWidth="1"/>
    <col min="3590" max="3590" width="9" style="1232"/>
    <col min="3591" max="3591" width="9.375" style="1232" bestFit="1" customWidth="1"/>
    <col min="3592" max="3593" width="9" style="1232"/>
    <col min="3594" max="3594" width="9.375" style="1232" bestFit="1" customWidth="1"/>
    <col min="3595" max="3595" width="4" style="1232" customWidth="1"/>
    <col min="3596" max="3596" width="5.125" style="1232" customWidth="1"/>
    <col min="3597" max="3597" width="13.75" style="1232" customWidth="1"/>
    <col min="3598" max="3840" width="9" style="1232"/>
    <col min="3841" max="3841" width="4.875" style="1232" customWidth="1"/>
    <col min="3842" max="3842" width="13.25" style="1232" customWidth="1"/>
    <col min="3843" max="3843" width="15.625" style="1232" customWidth="1"/>
    <col min="3844" max="3844" width="9.375" style="1232" bestFit="1" customWidth="1"/>
    <col min="3845" max="3845" width="13.5" style="1232" customWidth="1"/>
    <col min="3846" max="3846" width="9" style="1232"/>
    <col min="3847" max="3847" width="9.375" style="1232" bestFit="1" customWidth="1"/>
    <col min="3848" max="3849" width="9" style="1232"/>
    <col min="3850" max="3850" width="9.375" style="1232" bestFit="1" customWidth="1"/>
    <col min="3851" max="3851" width="4" style="1232" customWidth="1"/>
    <col min="3852" max="3852" width="5.125" style="1232" customWidth="1"/>
    <col min="3853" max="3853" width="13.75" style="1232" customWidth="1"/>
    <col min="3854" max="4096" width="9" style="1232"/>
    <col min="4097" max="4097" width="4.875" style="1232" customWidth="1"/>
    <col min="4098" max="4098" width="13.25" style="1232" customWidth="1"/>
    <col min="4099" max="4099" width="15.625" style="1232" customWidth="1"/>
    <col min="4100" max="4100" width="9.375" style="1232" bestFit="1" customWidth="1"/>
    <col min="4101" max="4101" width="13.5" style="1232" customWidth="1"/>
    <col min="4102" max="4102" width="9" style="1232"/>
    <col min="4103" max="4103" width="9.375" style="1232" bestFit="1" customWidth="1"/>
    <col min="4104" max="4105" width="9" style="1232"/>
    <col min="4106" max="4106" width="9.375" style="1232" bestFit="1" customWidth="1"/>
    <col min="4107" max="4107" width="4" style="1232" customWidth="1"/>
    <col min="4108" max="4108" width="5.125" style="1232" customWidth="1"/>
    <col min="4109" max="4109" width="13.75" style="1232" customWidth="1"/>
    <col min="4110" max="4352" width="9" style="1232"/>
    <col min="4353" max="4353" width="4.875" style="1232" customWidth="1"/>
    <col min="4354" max="4354" width="13.25" style="1232" customWidth="1"/>
    <col min="4355" max="4355" width="15.625" style="1232" customWidth="1"/>
    <col min="4356" max="4356" width="9.375" style="1232" bestFit="1" customWidth="1"/>
    <col min="4357" max="4357" width="13.5" style="1232" customWidth="1"/>
    <col min="4358" max="4358" width="9" style="1232"/>
    <col min="4359" max="4359" width="9.375" style="1232" bestFit="1" customWidth="1"/>
    <col min="4360" max="4361" width="9" style="1232"/>
    <col min="4362" max="4362" width="9.375" style="1232" bestFit="1" customWidth="1"/>
    <col min="4363" max="4363" width="4" style="1232" customWidth="1"/>
    <col min="4364" max="4364" width="5.125" style="1232" customWidth="1"/>
    <col min="4365" max="4365" width="13.75" style="1232" customWidth="1"/>
    <col min="4366" max="4608" width="9" style="1232"/>
    <col min="4609" max="4609" width="4.875" style="1232" customWidth="1"/>
    <col min="4610" max="4610" width="13.25" style="1232" customWidth="1"/>
    <col min="4611" max="4611" width="15.625" style="1232" customWidth="1"/>
    <col min="4612" max="4612" width="9.375" style="1232" bestFit="1" customWidth="1"/>
    <col min="4613" max="4613" width="13.5" style="1232" customWidth="1"/>
    <col min="4614" max="4614" width="9" style="1232"/>
    <col min="4615" max="4615" width="9.375" style="1232" bestFit="1" customWidth="1"/>
    <col min="4616" max="4617" width="9" style="1232"/>
    <col min="4618" max="4618" width="9.375" style="1232" bestFit="1" customWidth="1"/>
    <col min="4619" max="4619" width="4" style="1232" customWidth="1"/>
    <col min="4620" max="4620" width="5.125" style="1232" customWidth="1"/>
    <col min="4621" max="4621" width="13.75" style="1232" customWidth="1"/>
    <col min="4622" max="4864" width="9" style="1232"/>
    <col min="4865" max="4865" width="4.875" style="1232" customWidth="1"/>
    <col min="4866" max="4866" width="13.25" style="1232" customWidth="1"/>
    <col min="4867" max="4867" width="15.625" style="1232" customWidth="1"/>
    <col min="4868" max="4868" width="9.375" style="1232" bestFit="1" customWidth="1"/>
    <col min="4869" max="4869" width="13.5" style="1232" customWidth="1"/>
    <col min="4870" max="4870" width="9" style="1232"/>
    <col min="4871" max="4871" width="9.375" style="1232" bestFit="1" customWidth="1"/>
    <col min="4872" max="4873" width="9" style="1232"/>
    <col min="4874" max="4874" width="9.375" style="1232" bestFit="1" customWidth="1"/>
    <col min="4875" max="4875" width="4" style="1232" customWidth="1"/>
    <col min="4876" max="4876" width="5.125" style="1232" customWidth="1"/>
    <col min="4877" max="4877" width="13.75" style="1232" customWidth="1"/>
    <col min="4878" max="5120" width="9" style="1232"/>
    <col min="5121" max="5121" width="4.875" style="1232" customWidth="1"/>
    <col min="5122" max="5122" width="13.25" style="1232" customWidth="1"/>
    <col min="5123" max="5123" width="15.625" style="1232" customWidth="1"/>
    <col min="5124" max="5124" width="9.375" style="1232" bestFit="1" customWidth="1"/>
    <col min="5125" max="5125" width="13.5" style="1232" customWidth="1"/>
    <col min="5126" max="5126" width="9" style="1232"/>
    <col min="5127" max="5127" width="9.375" style="1232" bestFit="1" customWidth="1"/>
    <col min="5128" max="5129" width="9" style="1232"/>
    <col min="5130" max="5130" width="9.375" style="1232" bestFit="1" customWidth="1"/>
    <col min="5131" max="5131" width="4" style="1232" customWidth="1"/>
    <col min="5132" max="5132" width="5.125" style="1232" customWidth="1"/>
    <col min="5133" max="5133" width="13.75" style="1232" customWidth="1"/>
    <col min="5134" max="5376" width="9" style="1232"/>
    <col min="5377" max="5377" width="4.875" style="1232" customWidth="1"/>
    <col min="5378" max="5378" width="13.25" style="1232" customWidth="1"/>
    <col min="5379" max="5379" width="15.625" style="1232" customWidth="1"/>
    <col min="5380" max="5380" width="9.375" style="1232" bestFit="1" customWidth="1"/>
    <col min="5381" max="5381" width="13.5" style="1232" customWidth="1"/>
    <col min="5382" max="5382" width="9" style="1232"/>
    <col min="5383" max="5383" width="9.375" style="1232" bestFit="1" customWidth="1"/>
    <col min="5384" max="5385" width="9" style="1232"/>
    <col min="5386" max="5386" width="9.375" style="1232" bestFit="1" customWidth="1"/>
    <col min="5387" max="5387" width="4" style="1232" customWidth="1"/>
    <col min="5388" max="5388" width="5.125" style="1232" customWidth="1"/>
    <col min="5389" max="5389" width="13.75" style="1232" customWidth="1"/>
    <col min="5390" max="5632" width="9" style="1232"/>
    <col min="5633" max="5633" width="4.875" style="1232" customWidth="1"/>
    <col min="5634" max="5634" width="13.25" style="1232" customWidth="1"/>
    <col min="5635" max="5635" width="15.625" style="1232" customWidth="1"/>
    <col min="5636" max="5636" width="9.375" style="1232" bestFit="1" customWidth="1"/>
    <col min="5637" max="5637" width="13.5" style="1232" customWidth="1"/>
    <col min="5638" max="5638" width="9" style="1232"/>
    <col min="5639" max="5639" width="9.375" style="1232" bestFit="1" customWidth="1"/>
    <col min="5640" max="5641" width="9" style="1232"/>
    <col min="5642" max="5642" width="9.375" style="1232" bestFit="1" customWidth="1"/>
    <col min="5643" max="5643" width="4" style="1232" customWidth="1"/>
    <col min="5644" max="5644" width="5.125" style="1232" customWidth="1"/>
    <col min="5645" max="5645" width="13.75" style="1232" customWidth="1"/>
    <col min="5646" max="5888" width="9" style="1232"/>
    <col min="5889" max="5889" width="4.875" style="1232" customWidth="1"/>
    <col min="5890" max="5890" width="13.25" style="1232" customWidth="1"/>
    <col min="5891" max="5891" width="15.625" style="1232" customWidth="1"/>
    <col min="5892" max="5892" width="9.375" style="1232" bestFit="1" customWidth="1"/>
    <col min="5893" max="5893" width="13.5" style="1232" customWidth="1"/>
    <col min="5894" max="5894" width="9" style="1232"/>
    <col min="5895" max="5895" width="9.375" style="1232" bestFit="1" customWidth="1"/>
    <col min="5896" max="5897" width="9" style="1232"/>
    <col min="5898" max="5898" width="9.375" style="1232" bestFit="1" customWidth="1"/>
    <col min="5899" max="5899" width="4" style="1232" customWidth="1"/>
    <col min="5900" max="5900" width="5.125" style="1232" customWidth="1"/>
    <col min="5901" max="5901" width="13.75" style="1232" customWidth="1"/>
    <col min="5902" max="6144" width="9" style="1232"/>
    <col min="6145" max="6145" width="4.875" style="1232" customWidth="1"/>
    <col min="6146" max="6146" width="13.25" style="1232" customWidth="1"/>
    <col min="6147" max="6147" width="15.625" style="1232" customWidth="1"/>
    <col min="6148" max="6148" width="9.375" style="1232" bestFit="1" customWidth="1"/>
    <col min="6149" max="6149" width="13.5" style="1232" customWidth="1"/>
    <col min="6150" max="6150" width="9" style="1232"/>
    <col min="6151" max="6151" width="9.375" style="1232" bestFit="1" customWidth="1"/>
    <col min="6152" max="6153" width="9" style="1232"/>
    <col min="6154" max="6154" width="9.375" style="1232" bestFit="1" customWidth="1"/>
    <col min="6155" max="6155" width="4" style="1232" customWidth="1"/>
    <col min="6156" max="6156" width="5.125" style="1232" customWidth="1"/>
    <col min="6157" max="6157" width="13.75" style="1232" customWidth="1"/>
    <col min="6158" max="6400" width="9" style="1232"/>
    <col min="6401" max="6401" width="4.875" style="1232" customWidth="1"/>
    <col min="6402" max="6402" width="13.25" style="1232" customWidth="1"/>
    <col min="6403" max="6403" width="15.625" style="1232" customWidth="1"/>
    <col min="6404" max="6404" width="9.375" style="1232" bestFit="1" customWidth="1"/>
    <col min="6405" max="6405" width="13.5" style="1232" customWidth="1"/>
    <col min="6406" max="6406" width="9" style="1232"/>
    <col min="6407" max="6407" width="9.375" style="1232" bestFit="1" customWidth="1"/>
    <col min="6408" max="6409" width="9" style="1232"/>
    <col min="6410" max="6410" width="9.375" style="1232" bestFit="1" customWidth="1"/>
    <col min="6411" max="6411" width="4" style="1232" customWidth="1"/>
    <col min="6412" max="6412" width="5.125" style="1232" customWidth="1"/>
    <col min="6413" max="6413" width="13.75" style="1232" customWidth="1"/>
    <col min="6414" max="6656" width="9" style="1232"/>
    <col min="6657" max="6657" width="4.875" style="1232" customWidth="1"/>
    <col min="6658" max="6658" width="13.25" style="1232" customWidth="1"/>
    <col min="6659" max="6659" width="15.625" style="1232" customWidth="1"/>
    <col min="6660" max="6660" width="9.375" style="1232" bestFit="1" customWidth="1"/>
    <col min="6661" max="6661" width="13.5" style="1232" customWidth="1"/>
    <col min="6662" max="6662" width="9" style="1232"/>
    <col min="6663" max="6663" width="9.375" style="1232" bestFit="1" customWidth="1"/>
    <col min="6664" max="6665" width="9" style="1232"/>
    <col min="6666" max="6666" width="9.375" style="1232" bestFit="1" customWidth="1"/>
    <col min="6667" max="6667" width="4" style="1232" customWidth="1"/>
    <col min="6668" max="6668" width="5.125" style="1232" customWidth="1"/>
    <col min="6669" max="6669" width="13.75" style="1232" customWidth="1"/>
    <col min="6670" max="6912" width="9" style="1232"/>
    <col min="6913" max="6913" width="4.875" style="1232" customWidth="1"/>
    <col min="6914" max="6914" width="13.25" style="1232" customWidth="1"/>
    <col min="6915" max="6915" width="15.625" style="1232" customWidth="1"/>
    <col min="6916" max="6916" width="9.375" style="1232" bestFit="1" customWidth="1"/>
    <col min="6917" max="6917" width="13.5" style="1232" customWidth="1"/>
    <col min="6918" max="6918" width="9" style="1232"/>
    <col min="6919" max="6919" width="9.375" style="1232" bestFit="1" customWidth="1"/>
    <col min="6920" max="6921" width="9" style="1232"/>
    <col min="6922" max="6922" width="9.375" style="1232" bestFit="1" customWidth="1"/>
    <col min="6923" max="6923" width="4" style="1232" customWidth="1"/>
    <col min="6924" max="6924" width="5.125" style="1232" customWidth="1"/>
    <col min="6925" max="6925" width="13.75" style="1232" customWidth="1"/>
    <col min="6926" max="7168" width="9" style="1232"/>
    <col min="7169" max="7169" width="4.875" style="1232" customWidth="1"/>
    <col min="7170" max="7170" width="13.25" style="1232" customWidth="1"/>
    <col min="7171" max="7171" width="15.625" style="1232" customWidth="1"/>
    <col min="7172" max="7172" width="9.375" style="1232" bestFit="1" customWidth="1"/>
    <col min="7173" max="7173" width="13.5" style="1232" customWidth="1"/>
    <col min="7174" max="7174" width="9" style="1232"/>
    <col min="7175" max="7175" width="9.375" style="1232" bestFit="1" customWidth="1"/>
    <col min="7176" max="7177" width="9" style="1232"/>
    <col min="7178" max="7178" width="9.375" style="1232" bestFit="1" customWidth="1"/>
    <col min="7179" max="7179" width="4" style="1232" customWidth="1"/>
    <col min="7180" max="7180" width="5.125" style="1232" customWidth="1"/>
    <col min="7181" max="7181" width="13.75" style="1232" customWidth="1"/>
    <col min="7182" max="7424" width="9" style="1232"/>
    <col min="7425" max="7425" width="4.875" style="1232" customWidth="1"/>
    <col min="7426" max="7426" width="13.25" style="1232" customWidth="1"/>
    <col min="7427" max="7427" width="15.625" style="1232" customWidth="1"/>
    <col min="7428" max="7428" width="9.375" style="1232" bestFit="1" customWidth="1"/>
    <col min="7429" max="7429" width="13.5" style="1232" customWidth="1"/>
    <col min="7430" max="7430" width="9" style="1232"/>
    <col min="7431" max="7431" width="9.375" style="1232" bestFit="1" customWidth="1"/>
    <col min="7432" max="7433" width="9" style="1232"/>
    <col min="7434" max="7434" width="9.375" style="1232" bestFit="1" customWidth="1"/>
    <col min="7435" max="7435" width="4" style="1232" customWidth="1"/>
    <col min="7436" max="7436" width="5.125" style="1232" customWidth="1"/>
    <col min="7437" max="7437" width="13.75" style="1232" customWidth="1"/>
    <col min="7438" max="7680" width="9" style="1232"/>
    <col min="7681" max="7681" width="4.875" style="1232" customWidth="1"/>
    <col min="7682" max="7682" width="13.25" style="1232" customWidth="1"/>
    <col min="7683" max="7683" width="15.625" style="1232" customWidth="1"/>
    <col min="7684" max="7684" width="9.375" style="1232" bestFit="1" customWidth="1"/>
    <col min="7685" max="7685" width="13.5" style="1232" customWidth="1"/>
    <col min="7686" max="7686" width="9" style="1232"/>
    <col min="7687" max="7687" width="9.375" style="1232" bestFit="1" customWidth="1"/>
    <col min="7688" max="7689" width="9" style="1232"/>
    <col min="7690" max="7690" width="9.375" style="1232" bestFit="1" customWidth="1"/>
    <col min="7691" max="7691" width="4" style="1232" customWidth="1"/>
    <col min="7692" max="7692" width="5.125" style="1232" customWidth="1"/>
    <col min="7693" max="7693" width="13.75" style="1232" customWidth="1"/>
    <col min="7694" max="7936" width="9" style="1232"/>
    <col min="7937" max="7937" width="4.875" style="1232" customWidth="1"/>
    <col min="7938" max="7938" width="13.25" style="1232" customWidth="1"/>
    <col min="7939" max="7939" width="15.625" style="1232" customWidth="1"/>
    <col min="7940" max="7940" width="9.375" style="1232" bestFit="1" customWidth="1"/>
    <col min="7941" max="7941" width="13.5" style="1232" customWidth="1"/>
    <col min="7942" max="7942" width="9" style="1232"/>
    <col min="7943" max="7943" width="9.375" style="1232" bestFit="1" customWidth="1"/>
    <col min="7944" max="7945" width="9" style="1232"/>
    <col min="7946" max="7946" width="9.375" style="1232" bestFit="1" customWidth="1"/>
    <col min="7947" max="7947" width="4" style="1232" customWidth="1"/>
    <col min="7948" max="7948" width="5.125" style="1232" customWidth="1"/>
    <col min="7949" max="7949" width="13.75" style="1232" customWidth="1"/>
    <col min="7950" max="8192" width="9" style="1232"/>
    <col min="8193" max="8193" width="4.875" style="1232" customWidth="1"/>
    <col min="8194" max="8194" width="13.25" style="1232" customWidth="1"/>
    <col min="8195" max="8195" width="15.625" style="1232" customWidth="1"/>
    <col min="8196" max="8196" width="9.375" style="1232" bestFit="1" customWidth="1"/>
    <col min="8197" max="8197" width="13.5" style="1232" customWidth="1"/>
    <col min="8198" max="8198" width="9" style="1232"/>
    <col min="8199" max="8199" width="9.375" style="1232" bestFit="1" customWidth="1"/>
    <col min="8200" max="8201" width="9" style="1232"/>
    <col min="8202" max="8202" width="9.375" style="1232" bestFit="1" customWidth="1"/>
    <col min="8203" max="8203" width="4" style="1232" customWidth="1"/>
    <col min="8204" max="8204" width="5.125" style="1232" customWidth="1"/>
    <col min="8205" max="8205" width="13.75" style="1232" customWidth="1"/>
    <col min="8206" max="8448" width="9" style="1232"/>
    <col min="8449" max="8449" width="4.875" style="1232" customWidth="1"/>
    <col min="8450" max="8450" width="13.25" style="1232" customWidth="1"/>
    <col min="8451" max="8451" width="15.625" style="1232" customWidth="1"/>
    <col min="8452" max="8452" width="9.375" style="1232" bestFit="1" customWidth="1"/>
    <col min="8453" max="8453" width="13.5" style="1232" customWidth="1"/>
    <col min="8454" max="8454" width="9" style="1232"/>
    <col min="8455" max="8455" width="9.375" style="1232" bestFit="1" customWidth="1"/>
    <col min="8456" max="8457" width="9" style="1232"/>
    <col min="8458" max="8458" width="9.375" style="1232" bestFit="1" customWidth="1"/>
    <col min="8459" max="8459" width="4" style="1232" customWidth="1"/>
    <col min="8460" max="8460" width="5.125" style="1232" customWidth="1"/>
    <col min="8461" max="8461" width="13.75" style="1232" customWidth="1"/>
    <col min="8462" max="8704" width="9" style="1232"/>
    <col min="8705" max="8705" width="4.875" style="1232" customWidth="1"/>
    <col min="8706" max="8706" width="13.25" style="1232" customWidth="1"/>
    <col min="8707" max="8707" width="15.625" style="1232" customWidth="1"/>
    <col min="8708" max="8708" width="9.375" style="1232" bestFit="1" customWidth="1"/>
    <col min="8709" max="8709" width="13.5" style="1232" customWidth="1"/>
    <col min="8710" max="8710" width="9" style="1232"/>
    <col min="8711" max="8711" width="9.375" style="1232" bestFit="1" customWidth="1"/>
    <col min="8712" max="8713" width="9" style="1232"/>
    <col min="8714" max="8714" width="9.375" style="1232" bestFit="1" customWidth="1"/>
    <col min="8715" max="8715" width="4" style="1232" customWidth="1"/>
    <col min="8716" max="8716" width="5.125" style="1232" customWidth="1"/>
    <col min="8717" max="8717" width="13.75" style="1232" customWidth="1"/>
    <col min="8718" max="8960" width="9" style="1232"/>
    <col min="8961" max="8961" width="4.875" style="1232" customWidth="1"/>
    <col min="8962" max="8962" width="13.25" style="1232" customWidth="1"/>
    <col min="8963" max="8963" width="15.625" style="1232" customWidth="1"/>
    <col min="8964" max="8964" width="9.375" style="1232" bestFit="1" customWidth="1"/>
    <col min="8965" max="8965" width="13.5" style="1232" customWidth="1"/>
    <col min="8966" max="8966" width="9" style="1232"/>
    <col min="8967" max="8967" width="9.375" style="1232" bestFit="1" customWidth="1"/>
    <col min="8968" max="8969" width="9" style="1232"/>
    <col min="8970" max="8970" width="9.375" style="1232" bestFit="1" customWidth="1"/>
    <col min="8971" max="8971" width="4" style="1232" customWidth="1"/>
    <col min="8972" max="8972" width="5.125" style="1232" customWidth="1"/>
    <col min="8973" max="8973" width="13.75" style="1232" customWidth="1"/>
    <col min="8974" max="9216" width="9" style="1232"/>
    <col min="9217" max="9217" width="4.875" style="1232" customWidth="1"/>
    <col min="9218" max="9218" width="13.25" style="1232" customWidth="1"/>
    <col min="9219" max="9219" width="15.625" style="1232" customWidth="1"/>
    <col min="9220" max="9220" width="9.375" style="1232" bestFit="1" customWidth="1"/>
    <col min="9221" max="9221" width="13.5" style="1232" customWidth="1"/>
    <col min="9222" max="9222" width="9" style="1232"/>
    <col min="9223" max="9223" width="9.375" style="1232" bestFit="1" customWidth="1"/>
    <col min="9224" max="9225" width="9" style="1232"/>
    <col min="9226" max="9226" width="9.375" style="1232" bestFit="1" customWidth="1"/>
    <col min="9227" max="9227" width="4" style="1232" customWidth="1"/>
    <col min="9228" max="9228" width="5.125" style="1232" customWidth="1"/>
    <col min="9229" max="9229" width="13.75" style="1232" customWidth="1"/>
    <col min="9230" max="9472" width="9" style="1232"/>
    <col min="9473" max="9473" width="4.875" style="1232" customWidth="1"/>
    <col min="9474" max="9474" width="13.25" style="1232" customWidth="1"/>
    <col min="9475" max="9475" width="15.625" style="1232" customWidth="1"/>
    <col min="9476" max="9476" width="9.375" style="1232" bestFit="1" customWidth="1"/>
    <col min="9477" max="9477" width="13.5" style="1232" customWidth="1"/>
    <col min="9478" max="9478" width="9" style="1232"/>
    <col min="9479" max="9479" width="9.375" style="1232" bestFit="1" customWidth="1"/>
    <col min="9480" max="9481" width="9" style="1232"/>
    <col min="9482" max="9482" width="9.375" style="1232" bestFit="1" customWidth="1"/>
    <col min="9483" max="9483" width="4" style="1232" customWidth="1"/>
    <col min="9484" max="9484" width="5.125" style="1232" customWidth="1"/>
    <col min="9485" max="9485" width="13.75" style="1232" customWidth="1"/>
    <col min="9486" max="9728" width="9" style="1232"/>
    <col min="9729" max="9729" width="4.875" style="1232" customWidth="1"/>
    <col min="9730" max="9730" width="13.25" style="1232" customWidth="1"/>
    <col min="9731" max="9731" width="15.625" style="1232" customWidth="1"/>
    <col min="9732" max="9732" width="9.375" style="1232" bestFit="1" customWidth="1"/>
    <col min="9733" max="9733" width="13.5" style="1232" customWidth="1"/>
    <col min="9734" max="9734" width="9" style="1232"/>
    <col min="9735" max="9735" width="9.375" style="1232" bestFit="1" customWidth="1"/>
    <col min="9736" max="9737" width="9" style="1232"/>
    <col min="9738" max="9738" width="9.375" style="1232" bestFit="1" customWidth="1"/>
    <col min="9739" max="9739" width="4" style="1232" customWidth="1"/>
    <col min="9740" max="9740" width="5.125" style="1232" customWidth="1"/>
    <col min="9741" max="9741" width="13.75" style="1232" customWidth="1"/>
    <col min="9742" max="9984" width="9" style="1232"/>
    <col min="9985" max="9985" width="4.875" style="1232" customWidth="1"/>
    <col min="9986" max="9986" width="13.25" style="1232" customWidth="1"/>
    <col min="9987" max="9987" width="15.625" style="1232" customWidth="1"/>
    <col min="9988" max="9988" width="9.375" style="1232" bestFit="1" customWidth="1"/>
    <col min="9989" max="9989" width="13.5" style="1232" customWidth="1"/>
    <col min="9990" max="9990" width="9" style="1232"/>
    <col min="9991" max="9991" width="9.375" style="1232" bestFit="1" customWidth="1"/>
    <col min="9992" max="9993" width="9" style="1232"/>
    <col min="9994" max="9994" width="9.375" style="1232" bestFit="1" customWidth="1"/>
    <col min="9995" max="9995" width="4" style="1232" customWidth="1"/>
    <col min="9996" max="9996" width="5.125" style="1232" customWidth="1"/>
    <col min="9997" max="9997" width="13.75" style="1232" customWidth="1"/>
    <col min="9998" max="10240" width="9" style="1232"/>
    <col min="10241" max="10241" width="4.875" style="1232" customWidth="1"/>
    <col min="10242" max="10242" width="13.25" style="1232" customWidth="1"/>
    <col min="10243" max="10243" width="15.625" style="1232" customWidth="1"/>
    <col min="10244" max="10244" width="9.375" style="1232" bestFit="1" customWidth="1"/>
    <col min="10245" max="10245" width="13.5" style="1232" customWidth="1"/>
    <col min="10246" max="10246" width="9" style="1232"/>
    <col min="10247" max="10247" width="9.375" style="1232" bestFit="1" customWidth="1"/>
    <col min="10248" max="10249" width="9" style="1232"/>
    <col min="10250" max="10250" width="9.375" style="1232" bestFit="1" customWidth="1"/>
    <col min="10251" max="10251" width="4" style="1232" customWidth="1"/>
    <col min="10252" max="10252" width="5.125" style="1232" customWidth="1"/>
    <col min="10253" max="10253" width="13.75" style="1232" customWidth="1"/>
    <col min="10254" max="10496" width="9" style="1232"/>
    <col min="10497" max="10497" width="4.875" style="1232" customWidth="1"/>
    <col min="10498" max="10498" width="13.25" style="1232" customWidth="1"/>
    <col min="10499" max="10499" width="15.625" style="1232" customWidth="1"/>
    <col min="10500" max="10500" width="9.375" style="1232" bestFit="1" customWidth="1"/>
    <col min="10501" max="10501" width="13.5" style="1232" customWidth="1"/>
    <col min="10502" max="10502" width="9" style="1232"/>
    <col min="10503" max="10503" width="9.375" style="1232" bestFit="1" customWidth="1"/>
    <col min="10504" max="10505" width="9" style="1232"/>
    <col min="10506" max="10506" width="9.375" style="1232" bestFit="1" customWidth="1"/>
    <col min="10507" max="10507" width="4" style="1232" customWidth="1"/>
    <col min="10508" max="10508" width="5.125" style="1232" customWidth="1"/>
    <col min="10509" max="10509" width="13.75" style="1232" customWidth="1"/>
    <col min="10510" max="10752" width="9" style="1232"/>
    <col min="10753" max="10753" width="4.875" style="1232" customWidth="1"/>
    <col min="10754" max="10754" width="13.25" style="1232" customWidth="1"/>
    <col min="10755" max="10755" width="15.625" style="1232" customWidth="1"/>
    <col min="10756" max="10756" width="9.375" style="1232" bestFit="1" customWidth="1"/>
    <col min="10757" max="10757" width="13.5" style="1232" customWidth="1"/>
    <col min="10758" max="10758" width="9" style="1232"/>
    <col min="10759" max="10759" width="9.375" style="1232" bestFit="1" customWidth="1"/>
    <col min="10760" max="10761" width="9" style="1232"/>
    <col min="10762" max="10762" width="9.375" style="1232" bestFit="1" customWidth="1"/>
    <col min="10763" max="10763" width="4" style="1232" customWidth="1"/>
    <col min="10764" max="10764" width="5.125" style="1232" customWidth="1"/>
    <col min="10765" max="10765" width="13.75" style="1232" customWidth="1"/>
    <col min="10766" max="11008" width="9" style="1232"/>
    <col min="11009" max="11009" width="4.875" style="1232" customWidth="1"/>
    <col min="11010" max="11010" width="13.25" style="1232" customWidth="1"/>
    <col min="11011" max="11011" width="15.625" style="1232" customWidth="1"/>
    <col min="11012" max="11012" width="9.375" style="1232" bestFit="1" customWidth="1"/>
    <col min="11013" max="11013" width="13.5" style="1232" customWidth="1"/>
    <col min="11014" max="11014" width="9" style="1232"/>
    <col min="11015" max="11015" width="9.375" style="1232" bestFit="1" customWidth="1"/>
    <col min="11016" max="11017" width="9" style="1232"/>
    <col min="11018" max="11018" width="9.375" style="1232" bestFit="1" customWidth="1"/>
    <col min="11019" max="11019" width="4" style="1232" customWidth="1"/>
    <col min="11020" max="11020" width="5.125" style="1232" customWidth="1"/>
    <col min="11021" max="11021" width="13.75" style="1232" customWidth="1"/>
    <col min="11022" max="11264" width="9" style="1232"/>
    <col min="11265" max="11265" width="4.875" style="1232" customWidth="1"/>
    <col min="11266" max="11266" width="13.25" style="1232" customWidth="1"/>
    <col min="11267" max="11267" width="15.625" style="1232" customWidth="1"/>
    <col min="11268" max="11268" width="9.375" style="1232" bestFit="1" customWidth="1"/>
    <col min="11269" max="11269" width="13.5" style="1232" customWidth="1"/>
    <col min="11270" max="11270" width="9" style="1232"/>
    <col min="11271" max="11271" width="9.375" style="1232" bestFit="1" customWidth="1"/>
    <col min="11272" max="11273" width="9" style="1232"/>
    <col min="11274" max="11274" width="9.375" style="1232" bestFit="1" customWidth="1"/>
    <col min="11275" max="11275" width="4" style="1232" customWidth="1"/>
    <col min="11276" max="11276" width="5.125" style="1232" customWidth="1"/>
    <col min="11277" max="11277" width="13.75" style="1232" customWidth="1"/>
    <col min="11278" max="11520" width="9" style="1232"/>
    <col min="11521" max="11521" width="4.875" style="1232" customWidth="1"/>
    <col min="11522" max="11522" width="13.25" style="1232" customWidth="1"/>
    <col min="11523" max="11523" width="15.625" style="1232" customWidth="1"/>
    <col min="11524" max="11524" width="9.375" style="1232" bestFit="1" customWidth="1"/>
    <col min="11525" max="11525" width="13.5" style="1232" customWidth="1"/>
    <col min="11526" max="11526" width="9" style="1232"/>
    <col min="11527" max="11527" width="9.375" style="1232" bestFit="1" customWidth="1"/>
    <col min="11528" max="11529" width="9" style="1232"/>
    <col min="11530" max="11530" width="9.375" style="1232" bestFit="1" customWidth="1"/>
    <col min="11531" max="11531" width="4" style="1232" customWidth="1"/>
    <col min="11532" max="11532" width="5.125" style="1232" customWidth="1"/>
    <col min="11533" max="11533" width="13.75" style="1232" customWidth="1"/>
    <col min="11534" max="11776" width="9" style="1232"/>
    <col min="11777" max="11777" width="4.875" style="1232" customWidth="1"/>
    <col min="11778" max="11778" width="13.25" style="1232" customWidth="1"/>
    <col min="11779" max="11779" width="15.625" style="1232" customWidth="1"/>
    <col min="11780" max="11780" width="9.375" style="1232" bestFit="1" customWidth="1"/>
    <col min="11781" max="11781" width="13.5" style="1232" customWidth="1"/>
    <col min="11782" max="11782" width="9" style="1232"/>
    <col min="11783" max="11783" width="9.375" style="1232" bestFit="1" customWidth="1"/>
    <col min="11784" max="11785" width="9" style="1232"/>
    <col min="11786" max="11786" width="9.375" style="1232" bestFit="1" customWidth="1"/>
    <col min="11787" max="11787" width="4" style="1232" customWidth="1"/>
    <col min="11788" max="11788" width="5.125" style="1232" customWidth="1"/>
    <col min="11789" max="11789" width="13.75" style="1232" customWidth="1"/>
    <col min="11790" max="12032" width="9" style="1232"/>
    <col min="12033" max="12033" width="4.875" style="1232" customWidth="1"/>
    <col min="12034" max="12034" width="13.25" style="1232" customWidth="1"/>
    <col min="12035" max="12035" width="15.625" style="1232" customWidth="1"/>
    <col min="12036" max="12036" width="9.375" style="1232" bestFit="1" customWidth="1"/>
    <col min="12037" max="12037" width="13.5" style="1232" customWidth="1"/>
    <col min="12038" max="12038" width="9" style="1232"/>
    <col min="12039" max="12039" width="9.375" style="1232" bestFit="1" customWidth="1"/>
    <col min="12040" max="12041" width="9" style="1232"/>
    <col min="12042" max="12042" width="9.375" style="1232" bestFit="1" customWidth="1"/>
    <col min="12043" max="12043" width="4" style="1232" customWidth="1"/>
    <col min="12044" max="12044" width="5.125" style="1232" customWidth="1"/>
    <col min="12045" max="12045" width="13.75" style="1232" customWidth="1"/>
    <col min="12046" max="12288" width="9" style="1232"/>
    <col min="12289" max="12289" width="4.875" style="1232" customWidth="1"/>
    <col min="12290" max="12290" width="13.25" style="1232" customWidth="1"/>
    <col min="12291" max="12291" width="15.625" style="1232" customWidth="1"/>
    <col min="12292" max="12292" width="9.375" style="1232" bestFit="1" customWidth="1"/>
    <col min="12293" max="12293" width="13.5" style="1232" customWidth="1"/>
    <col min="12294" max="12294" width="9" style="1232"/>
    <col min="12295" max="12295" width="9.375" style="1232" bestFit="1" customWidth="1"/>
    <col min="12296" max="12297" width="9" style="1232"/>
    <col min="12298" max="12298" width="9.375" style="1232" bestFit="1" customWidth="1"/>
    <col min="12299" max="12299" width="4" style="1232" customWidth="1"/>
    <col min="12300" max="12300" width="5.125" style="1232" customWidth="1"/>
    <col min="12301" max="12301" width="13.75" style="1232" customWidth="1"/>
    <col min="12302" max="12544" width="9" style="1232"/>
    <col min="12545" max="12545" width="4.875" style="1232" customWidth="1"/>
    <col min="12546" max="12546" width="13.25" style="1232" customWidth="1"/>
    <col min="12547" max="12547" width="15.625" style="1232" customWidth="1"/>
    <col min="12548" max="12548" width="9.375" style="1232" bestFit="1" customWidth="1"/>
    <col min="12549" max="12549" width="13.5" style="1232" customWidth="1"/>
    <col min="12550" max="12550" width="9" style="1232"/>
    <col min="12551" max="12551" width="9.375" style="1232" bestFit="1" customWidth="1"/>
    <col min="12552" max="12553" width="9" style="1232"/>
    <col min="12554" max="12554" width="9.375" style="1232" bestFit="1" customWidth="1"/>
    <col min="12555" max="12555" width="4" style="1232" customWidth="1"/>
    <col min="12556" max="12556" width="5.125" style="1232" customWidth="1"/>
    <col min="12557" max="12557" width="13.75" style="1232" customWidth="1"/>
    <col min="12558" max="12800" width="9" style="1232"/>
    <col min="12801" max="12801" width="4.875" style="1232" customWidth="1"/>
    <col min="12802" max="12802" width="13.25" style="1232" customWidth="1"/>
    <col min="12803" max="12803" width="15.625" style="1232" customWidth="1"/>
    <col min="12804" max="12804" width="9.375" style="1232" bestFit="1" customWidth="1"/>
    <col min="12805" max="12805" width="13.5" style="1232" customWidth="1"/>
    <col min="12806" max="12806" width="9" style="1232"/>
    <col min="12807" max="12807" width="9.375" style="1232" bestFit="1" customWidth="1"/>
    <col min="12808" max="12809" width="9" style="1232"/>
    <col min="12810" max="12810" width="9.375" style="1232" bestFit="1" customWidth="1"/>
    <col min="12811" max="12811" width="4" style="1232" customWidth="1"/>
    <col min="12812" max="12812" width="5.125" style="1232" customWidth="1"/>
    <col min="12813" max="12813" width="13.75" style="1232" customWidth="1"/>
    <col min="12814" max="13056" width="9" style="1232"/>
    <col min="13057" max="13057" width="4.875" style="1232" customWidth="1"/>
    <col min="13058" max="13058" width="13.25" style="1232" customWidth="1"/>
    <col min="13059" max="13059" width="15.625" style="1232" customWidth="1"/>
    <col min="13060" max="13060" width="9.375" style="1232" bestFit="1" customWidth="1"/>
    <col min="13061" max="13061" width="13.5" style="1232" customWidth="1"/>
    <col min="13062" max="13062" width="9" style="1232"/>
    <col min="13063" max="13063" width="9.375" style="1232" bestFit="1" customWidth="1"/>
    <col min="13064" max="13065" width="9" style="1232"/>
    <col min="13066" max="13066" width="9.375" style="1232" bestFit="1" customWidth="1"/>
    <col min="13067" max="13067" width="4" style="1232" customWidth="1"/>
    <col min="13068" max="13068" width="5.125" style="1232" customWidth="1"/>
    <col min="13069" max="13069" width="13.75" style="1232" customWidth="1"/>
    <col min="13070" max="13312" width="9" style="1232"/>
    <col min="13313" max="13313" width="4.875" style="1232" customWidth="1"/>
    <col min="13314" max="13314" width="13.25" style="1232" customWidth="1"/>
    <col min="13315" max="13315" width="15.625" style="1232" customWidth="1"/>
    <col min="13316" max="13316" width="9.375" style="1232" bestFit="1" customWidth="1"/>
    <col min="13317" max="13317" width="13.5" style="1232" customWidth="1"/>
    <col min="13318" max="13318" width="9" style="1232"/>
    <col min="13319" max="13319" width="9.375" style="1232" bestFit="1" customWidth="1"/>
    <col min="13320" max="13321" width="9" style="1232"/>
    <col min="13322" max="13322" width="9.375" style="1232" bestFit="1" customWidth="1"/>
    <col min="13323" max="13323" width="4" style="1232" customWidth="1"/>
    <col min="13324" max="13324" width="5.125" style="1232" customWidth="1"/>
    <col min="13325" max="13325" width="13.75" style="1232" customWidth="1"/>
    <col min="13326" max="13568" width="9" style="1232"/>
    <col min="13569" max="13569" width="4.875" style="1232" customWidth="1"/>
    <col min="13570" max="13570" width="13.25" style="1232" customWidth="1"/>
    <col min="13571" max="13571" width="15.625" style="1232" customWidth="1"/>
    <col min="13572" max="13572" width="9.375" style="1232" bestFit="1" customWidth="1"/>
    <col min="13573" max="13573" width="13.5" style="1232" customWidth="1"/>
    <col min="13574" max="13574" width="9" style="1232"/>
    <col min="13575" max="13575" width="9.375" style="1232" bestFit="1" customWidth="1"/>
    <col min="13576" max="13577" width="9" style="1232"/>
    <col min="13578" max="13578" width="9.375" style="1232" bestFit="1" customWidth="1"/>
    <col min="13579" max="13579" width="4" style="1232" customWidth="1"/>
    <col min="13580" max="13580" width="5.125" style="1232" customWidth="1"/>
    <col min="13581" max="13581" width="13.75" style="1232" customWidth="1"/>
    <col min="13582" max="13824" width="9" style="1232"/>
    <col min="13825" max="13825" width="4.875" style="1232" customWidth="1"/>
    <col min="13826" max="13826" width="13.25" style="1232" customWidth="1"/>
    <col min="13827" max="13827" width="15.625" style="1232" customWidth="1"/>
    <col min="13828" max="13828" width="9.375" style="1232" bestFit="1" customWidth="1"/>
    <col min="13829" max="13829" width="13.5" style="1232" customWidth="1"/>
    <col min="13830" max="13830" width="9" style="1232"/>
    <col min="13831" max="13831" width="9.375" style="1232" bestFit="1" customWidth="1"/>
    <col min="13832" max="13833" width="9" style="1232"/>
    <col min="13834" max="13834" width="9.375" style="1232" bestFit="1" customWidth="1"/>
    <col min="13835" max="13835" width="4" style="1232" customWidth="1"/>
    <col min="13836" max="13836" width="5.125" style="1232" customWidth="1"/>
    <col min="13837" max="13837" width="13.75" style="1232" customWidth="1"/>
    <col min="13838" max="14080" width="9" style="1232"/>
    <col min="14081" max="14081" width="4.875" style="1232" customWidth="1"/>
    <col min="14082" max="14082" width="13.25" style="1232" customWidth="1"/>
    <col min="14083" max="14083" width="15.625" style="1232" customWidth="1"/>
    <col min="14084" max="14084" width="9.375" style="1232" bestFit="1" customWidth="1"/>
    <col min="14085" max="14085" width="13.5" style="1232" customWidth="1"/>
    <col min="14086" max="14086" width="9" style="1232"/>
    <col min="14087" max="14087" width="9.375" style="1232" bestFit="1" customWidth="1"/>
    <col min="14088" max="14089" width="9" style="1232"/>
    <col min="14090" max="14090" width="9.375" style="1232" bestFit="1" customWidth="1"/>
    <col min="14091" max="14091" width="4" style="1232" customWidth="1"/>
    <col min="14092" max="14092" width="5.125" style="1232" customWidth="1"/>
    <col min="14093" max="14093" width="13.75" style="1232" customWidth="1"/>
    <col min="14094" max="14336" width="9" style="1232"/>
    <col min="14337" max="14337" width="4.875" style="1232" customWidth="1"/>
    <col min="14338" max="14338" width="13.25" style="1232" customWidth="1"/>
    <col min="14339" max="14339" width="15.625" style="1232" customWidth="1"/>
    <col min="14340" max="14340" width="9.375" style="1232" bestFit="1" customWidth="1"/>
    <col min="14341" max="14341" width="13.5" style="1232" customWidth="1"/>
    <col min="14342" max="14342" width="9" style="1232"/>
    <col min="14343" max="14343" width="9.375" style="1232" bestFit="1" customWidth="1"/>
    <col min="14344" max="14345" width="9" style="1232"/>
    <col min="14346" max="14346" width="9.375" style="1232" bestFit="1" customWidth="1"/>
    <col min="14347" max="14347" width="4" style="1232" customWidth="1"/>
    <col min="14348" max="14348" width="5.125" style="1232" customWidth="1"/>
    <col min="14349" max="14349" width="13.75" style="1232" customWidth="1"/>
    <col min="14350" max="14592" width="9" style="1232"/>
    <col min="14593" max="14593" width="4.875" style="1232" customWidth="1"/>
    <col min="14594" max="14594" width="13.25" style="1232" customWidth="1"/>
    <col min="14595" max="14595" width="15.625" style="1232" customWidth="1"/>
    <col min="14596" max="14596" width="9.375" style="1232" bestFit="1" customWidth="1"/>
    <col min="14597" max="14597" width="13.5" style="1232" customWidth="1"/>
    <col min="14598" max="14598" width="9" style="1232"/>
    <col min="14599" max="14599" width="9.375" style="1232" bestFit="1" customWidth="1"/>
    <col min="14600" max="14601" width="9" style="1232"/>
    <col min="14602" max="14602" width="9.375" style="1232" bestFit="1" customWidth="1"/>
    <col min="14603" max="14603" width="4" style="1232" customWidth="1"/>
    <col min="14604" max="14604" width="5.125" style="1232" customWidth="1"/>
    <col min="14605" max="14605" width="13.75" style="1232" customWidth="1"/>
    <col min="14606" max="14848" width="9" style="1232"/>
    <col min="14849" max="14849" width="4.875" style="1232" customWidth="1"/>
    <col min="14850" max="14850" width="13.25" style="1232" customWidth="1"/>
    <col min="14851" max="14851" width="15.625" style="1232" customWidth="1"/>
    <col min="14852" max="14852" width="9.375" style="1232" bestFit="1" customWidth="1"/>
    <col min="14853" max="14853" width="13.5" style="1232" customWidth="1"/>
    <col min="14854" max="14854" width="9" style="1232"/>
    <col min="14855" max="14855" width="9.375" style="1232" bestFit="1" customWidth="1"/>
    <col min="14856" max="14857" width="9" style="1232"/>
    <col min="14858" max="14858" width="9.375" style="1232" bestFit="1" customWidth="1"/>
    <col min="14859" max="14859" width="4" style="1232" customWidth="1"/>
    <col min="14860" max="14860" width="5.125" style="1232" customWidth="1"/>
    <col min="14861" max="14861" width="13.75" style="1232" customWidth="1"/>
    <col min="14862" max="15104" width="9" style="1232"/>
    <col min="15105" max="15105" width="4.875" style="1232" customWidth="1"/>
    <col min="15106" max="15106" width="13.25" style="1232" customWidth="1"/>
    <col min="15107" max="15107" width="15.625" style="1232" customWidth="1"/>
    <col min="15108" max="15108" width="9.375" style="1232" bestFit="1" customWidth="1"/>
    <col min="15109" max="15109" width="13.5" style="1232" customWidth="1"/>
    <col min="15110" max="15110" width="9" style="1232"/>
    <col min="15111" max="15111" width="9.375" style="1232" bestFit="1" customWidth="1"/>
    <col min="15112" max="15113" width="9" style="1232"/>
    <col min="15114" max="15114" width="9.375" style="1232" bestFit="1" customWidth="1"/>
    <col min="15115" max="15115" width="4" style="1232" customWidth="1"/>
    <col min="15116" max="15116" width="5.125" style="1232" customWidth="1"/>
    <col min="15117" max="15117" width="13.75" style="1232" customWidth="1"/>
    <col min="15118" max="15360" width="9" style="1232"/>
    <col min="15361" max="15361" width="4.875" style="1232" customWidth="1"/>
    <col min="15362" max="15362" width="13.25" style="1232" customWidth="1"/>
    <col min="15363" max="15363" width="15.625" style="1232" customWidth="1"/>
    <col min="15364" max="15364" width="9.375" style="1232" bestFit="1" customWidth="1"/>
    <col min="15365" max="15365" width="13.5" style="1232" customWidth="1"/>
    <col min="15366" max="15366" width="9" style="1232"/>
    <col min="15367" max="15367" width="9.375" style="1232" bestFit="1" customWidth="1"/>
    <col min="15368" max="15369" width="9" style="1232"/>
    <col min="15370" max="15370" width="9.375" style="1232" bestFit="1" customWidth="1"/>
    <col min="15371" max="15371" width="4" style="1232" customWidth="1"/>
    <col min="15372" max="15372" width="5.125" style="1232" customWidth="1"/>
    <col min="15373" max="15373" width="13.75" style="1232" customWidth="1"/>
    <col min="15374" max="15616" width="9" style="1232"/>
    <col min="15617" max="15617" width="4.875" style="1232" customWidth="1"/>
    <col min="15618" max="15618" width="13.25" style="1232" customWidth="1"/>
    <col min="15619" max="15619" width="15.625" style="1232" customWidth="1"/>
    <col min="15620" max="15620" width="9.375" style="1232" bestFit="1" customWidth="1"/>
    <col min="15621" max="15621" width="13.5" style="1232" customWidth="1"/>
    <col min="15622" max="15622" width="9" style="1232"/>
    <col min="15623" max="15623" width="9.375" style="1232" bestFit="1" customWidth="1"/>
    <col min="15624" max="15625" width="9" style="1232"/>
    <col min="15626" max="15626" width="9.375" style="1232" bestFit="1" customWidth="1"/>
    <col min="15627" max="15627" width="4" style="1232" customWidth="1"/>
    <col min="15628" max="15628" width="5.125" style="1232" customWidth="1"/>
    <col min="15629" max="15629" width="13.75" style="1232" customWidth="1"/>
    <col min="15630" max="15872" width="9" style="1232"/>
    <col min="15873" max="15873" width="4.875" style="1232" customWidth="1"/>
    <col min="15874" max="15874" width="13.25" style="1232" customWidth="1"/>
    <col min="15875" max="15875" width="15.625" style="1232" customWidth="1"/>
    <col min="15876" max="15876" width="9.375" style="1232" bestFit="1" customWidth="1"/>
    <col min="15877" max="15877" width="13.5" style="1232" customWidth="1"/>
    <col min="15878" max="15878" width="9" style="1232"/>
    <col min="15879" max="15879" width="9.375" style="1232" bestFit="1" customWidth="1"/>
    <col min="15880" max="15881" width="9" style="1232"/>
    <col min="15882" max="15882" width="9.375" style="1232" bestFit="1" customWidth="1"/>
    <col min="15883" max="15883" width="4" style="1232" customWidth="1"/>
    <col min="15884" max="15884" width="5.125" style="1232" customWidth="1"/>
    <col min="15885" max="15885" width="13.75" style="1232" customWidth="1"/>
    <col min="15886" max="16128" width="9" style="1232"/>
    <col min="16129" max="16129" width="4.875" style="1232" customWidth="1"/>
    <col min="16130" max="16130" width="13.25" style="1232" customWidth="1"/>
    <col min="16131" max="16131" width="15.625" style="1232" customWidth="1"/>
    <col min="16132" max="16132" width="9.375" style="1232" bestFit="1" customWidth="1"/>
    <col min="16133" max="16133" width="13.5" style="1232" customWidth="1"/>
    <col min="16134" max="16134" width="9" style="1232"/>
    <col min="16135" max="16135" width="9.375" style="1232" bestFit="1" customWidth="1"/>
    <col min="16136" max="16137" width="9" style="1232"/>
    <col min="16138" max="16138" width="9.375" style="1232" bestFit="1" customWidth="1"/>
    <col min="16139" max="16139" width="4" style="1232" customWidth="1"/>
    <col min="16140" max="16140" width="5.125" style="1232" customWidth="1"/>
    <col min="16141" max="16141" width="13.75" style="1232" customWidth="1"/>
    <col min="16142" max="16384" width="9" style="1232"/>
  </cols>
  <sheetData>
    <row r="1" spans="1:257" s="1295" customFormat="1" ht="14.25" thickBot="1">
      <c r="A1" s="1290"/>
      <c r="B1" s="1291" t="s">
        <v>1172</v>
      </c>
      <c r="C1" s="1296">
        <f>项目基本情况!D2</f>
        <v>44333</v>
      </c>
      <c r="D1" s="1291" t="s">
        <v>1173</v>
      </c>
      <c r="E1" s="1297">
        <f>'数据-取费表'!B24</f>
        <v>2</v>
      </c>
      <c r="F1" s="1291" t="s">
        <v>1174</v>
      </c>
      <c r="G1" s="1298">
        <f ca="1">INDIRECT("d"&amp;$K$1)/100</f>
        <v>3.85E-2</v>
      </c>
      <c r="H1" s="1291" t="s">
        <v>1204</v>
      </c>
      <c r="I1" s="1298">
        <f ca="1">F4/100</f>
        <v>1.4999999999999999E-2</v>
      </c>
      <c r="J1" s="1292">
        <f>IF(C1&gt;C13,0,MATCH(C1,C$13:C$105,-1))+IF(SUMIF(C13:C105,C1,D13:D105)=0,13,12)</f>
        <v>13</v>
      </c>
      <c r="K1" s="1292">
        <f>MATCH(E1,C3:C7,1)+IF(SUMIF(C3:C7,E1,D3:D7)=0,2,1)</f>
        <v>5</v>
      </c>
      <c r="L1" s="1292">
        <f>IF(C1&gt;M13,0,MATCH(C1,M$13:M$101,-1))+IF(SUMIF(M13:M101,C1,N13:N101)=0,13,12)</f>
        <v>13</v>
      </c>
      <c r="M1" s="1290"/>
      <c r="N1" s="1290"/>
      <c r="O1" s="1290"/>
      <c r="P1" s="1290"/>
      <c r="Q1" s="1290"/>
      <c r="R1" s="1290"/>
      <c r="S1" s="1290"/>
      <c r="T1" s="1290"/>
      <c r="U1" s="1290"/>
      <c r="V1" s="1290"/>
      <c r="W1" s="1290"/>
      <c r="X1" s="1290"/>
      <c r="Y1" s="1290"/>
      <c r="Z1" s="1290"/>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3"/>
      <c r="B2" s="1233"/>
      <c r="C2" s="1233"/>
      <c r="D2" s="1233" t="s">
        <v>1175</v>
      </c>
      <c r="E2" s="1233"/>
      <c r="F2" s="1233" t="s">
        <v>1176</v>
      </c>
      <c r="G2" s="1234"/>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c r="AN2" s="1233"/>
      <c r="AO2" s="1233"/>
      <c r="AP2" s="1233"/>
      <c r="AQ2" s="1233"/>
      <c r="AR2" s="1233"/>
      <c r="AS2" s="1233"/>
      <c r="AT2" s="1233"/>
      <c r="AU2" s="1233"/>
      <c r="AV2" s="1233"/>
      <c r="AW2" s="1233"/>
      <c r="AX2" s="1233"/>
      <c r="AY2" s="1233"/>
      <c r="AZ2" s="1233"/>
      <c r="BA2" s="1233"/>
      <c r="BB2" s="1233"/>
      <c r="BC2" s="1233"/>
      <c r="BD2" s="1233"/>
      <c r="BE2" s="1233"/>
      <c r="BF2" s="1233"/>
      <c r="BG2" s="1233"/>
      <c r="BH2" s="1233"/>
      <c r="BI2" s="1233"/>
      <c r="BJ2" s="1233"/>
      <c r="BK2" s="1233"/>
      <c r="BL2" s="1233"/>
      <c r="BM2" s="1233"/>
      <c r="BN2" s="1233"/>
      <c r="BO2" s="1233"/>
      <c r="BP2" s="1233"/>
      <c r="BQ2" s="1233"/>
      <c r="BR2" s="1233"/>
      <c r="BS2" s="1233"/>
      <c r="BT2" s="1233"/>
      <c r="BU2" s="1233"/>
      <c r="BV2" s="1233"/>
      <c r="BW2" s="1233"/>
      <c r="BX2" s="1233"/>
      <c r="BY2" s="1233"/>
      <c r="BZ2" s="1233"/>
      <c r="CA2" s="1233"/>
      <c r="CB2" s="1233"/>
      <c r="CC2" s="1233"/>
      <c r="CD2" s="1233"/>
      <c r="CE2" s="1233"/>
      <c r="CF2" s="1233"/>
      <c r="CG2" s="1233"/>
      <c r="CH2" s="1233"/>
      <c r="CI2" s="1233"/>
      <c r="CJ2" s="1233"/>
      <c r="CK2" s="1233"/>
      <c r="CL2" s="1233"/>
      <c r="CM2" s="1233"/>
      <c r="CN2" s="1233"/>
      <c r="CO2" s="1233"/>
      <c r="CP2" s="1233"/>
      <c r="CQ2" s="1233"/>
      <c r="CR2" s="1233"/>
      <c r="CS2" s="1233"/>
      <c r="CT2" s="1233"/>
      <c r="CU2" s="1233"/>
      <c r="CV2" s="1233"/>
      <c r="CW2" s="1233"/>
      <c r="CX2" s="1233"/>
      <c r="CY2" s="1233"/>
      <c r="CZ2" s="1233"/>
      <c r="DA2" s="1233"/>
      <c r="DB2" s="1233"/>
      <c r="DC2" s="1233"/>
      <c r="DD2" s="1233"/>
      <c r="DE2" s="1233"/>
      <c r="DF2" s="1233"/>
      <c r="DG2" s="1233"/>
      <c r="DH2" s="1233"/>
      <c r="DI2" s="1233"/>
      <c r="DJ2" s="1233"/>
      <c r="DK2" s="1233"/>
      <c r="DL2" s="1233"/>
      <c r="DM2" s="1233"/>
      <c r="DN2" s="1233"/>
      <c r="DO2" s="1233"/>
      <c r="DP2" s="1233"/>
      <c r="DQ2" s="1233"/>
      <c r="DR2" s="1233"/>
      <c r="DS2" s="1233"/>
      <c r="DT2" s="1233"/>
      <c r="DU2" s="1233"/>
      <c r="DV2" s="1233"/>
      <c r="DW2" s="1233"/>
      <c r="DX2" s="1233"/>
      <c r="DY2" s="1233"/>
      <c r="DZ2" s="1233"/>
      <c r="EA2" s="1233"/>
      <c r="EB2" s="1233"/>
      <c r="EC2" s="1233"/>
      <c r="ED2" s="1233"/>
      <c r="EE2" s="1233"/>
      <c r="EF2" s="1233"/>
      <c r="EG2" s="1233"/>
      <c r="EH2" s="1233"/>
      <c r="EI2" s="1233"/>
      <c r="EJ2" s="1233"/>
      <c r="EK2" s="1233"/>
      <c r="EL2" s="1233"/>
      <c r="EM2" s="1233"/>
      <c r="EN2" s="1233"/>
      <c r="EO2" s="1233"/>
      <c r="EP2" s="1233"/>
      <c r="EQ2" s="1233"/>
      <c r="ER2" s="1233"/>
      <c r="ES2" s="1233"/>
      <c r="ET2" s="1233"/>
      <c r="EU2" s="1233"/>
      <c r="EV2" s="1233"/>
      <c r="EW2" s="1233"/>
      <c r="EX2" s="1233"/>
      <c r="EY2" s="1233"/>
      <c r="EZ2" s="1233"/>
      <c r="FA2" s="1233"/>
      <c r="FB2" s="1233"/>
      <c r="FC2" s="1233"/>
      <c r="FD2" s="1233"/>
      <c r="FE2" s="1233"/>
      <c r="FF2" s="1233"/>
      <c r="FG2" s="1233"/>
      <c r="FH2" s="1233"/>
      <c r="FI2" s="1233"/>
      <c r="FJ2" s="1233"/>
      <c r="FK2" s="1233"/>
      <c r="FL2" s="1233"/>
      <c r="FM2" s="1233"/>
      <c r="FN2" s="1233"/>
      <c r="FO2" s="1233"/>
      <c r="FP2" s="1233"/>
      <c r="FQ2" s="1233"/>
      <c r="FR2" s="1233"/>
      <c r="FS2" s="1233"/>
      <c r="FT2" s="1233"/>
      <c r="FU2" s="1233"/>
      <c r="FV2" s="1233"/>
      <c r="FW2" s="1233"/>
      <c r="FX2" s="1233"/>
      <c r="FY2" s="1233"/>
      <c r="FZ2" s="1233"/>
      <c r="GA2" s="1233"/>
      <c r="GB2" s="1233"/>
      <c r="GC2" s="1233"/>
      <c r="GD2" s="1233"/>
      <c r="GE2" s="1233"/>
      <c r="GF2" s="1233"/>
      <c r="GG2" s="1233"/>
      <c r="GH2" s="1233"/>
      <c r="GI2" s="1233"/>
      <c r="GJ2" s="1233"/>
      <c r="GK2" s="1233"/>
      <c r="GL2" s="1233"/>
      <c r="GM2" s="1233"/>
      <c r="GN2" s="1233"/>
      <c r="GO2" s="1233"/>
      <c r="GP2" s="1233"/>
      <c r="GQ2" s="1233"/>
      <c r="GR2" s="1233"/>
      <c r="GS2" s="1233"/>
      <c r="GT2" s="1233"/>
      <c r="GU2" s="1233"/>
      <c r="GV2" s="1233"/>
      <c r="GW2" s="1233"/>
      <c r="GX2" s="1233"/>
      <c r="GY2" s="1233"/>
      <c r="GZ2" s="1233"/>
      <c r="HA2" s="1233"/>
      <c r="HB2" s="1233"/>
      <c r="HC2" s="1233"/>
      <c r="HD2" s="1233"/>
      <c r="HE2" s="1233"/>
      <c r="HF2" s="1233"/>
      <c r="HG2" s="1233"/>
      <c r="HH2" s="1233"/>
      <c r="HI2" s="1233"/>
      <c r="HJ2" s="1233"/>
      <c r="HK2" s="1233"/>
      <c r="HL2" s="1233"/>
      <c r="HM2" s="1233"/>
      <c r="HN2" s="1233"/>
      <c r="HO2" s="1233"/>
      <c r="HP2" s="1233"/>
      <c r="HQ2" s="1233"/>
      <c r="HR2" s="1233"/>
      <c r="HS2" s="1233"/>
      <c r="HT2" s="1233"/>
      <c r="HU2" s="1233"/>
      <c r="HV2" s="1233"/>
      <c r="HW2" s="1233"/>
      <c r="HX2" s="1233"/>
      <c r="HY2" s="1233"/>
      <c r="HZ2" s="1233"/>
      <c r="IA2" s="1233"/>
      <c r="IB2" s="1233"/>
      <c r="IC2" s="1233"/>
      <c r="ID2" s="1233"/>
      <c r="IE2" s="1233"/>
      <c r="IF2" s="1233"/>
      <c r="IG2" s="1233"/>
      <c r="IH2" s="1233"/>
      <c r="II2" s="1233"/>
      <c r="IJ2" s="1233"/>
      <c r="IK2" s="1233"/>
      <c r="IL2" s="1233"/>
      <c r="IM2" s="1233"/>
      <c r="IN2" s="1233"/>
      <c r="IO2" s="1233"/>
      <c r="IP2" s="1233"/>
      <c r="IQ2" s="1233"/>
      <c r="IR2" s="1233"/>
      <c r="IS2" s="1233"/>
      <c r="IT2" s="1233"/>
      <c r="IU2" s="1233"/>
      <c r="IV2" s="1233"/>
      <c r="IW2" s="1233"/>
    </row>
    <row r="3" spans="1:257">
      <c r="B3" s="1236" t="s">
        <v>1177</v>
      </c>
      <c r="C3" s="1237">
        <v>0</v>
      </c>
      <c r="D3" s="1238">
        <f ca="1">INDIRECT("d"&amp;$J$1)</f>
        <v>3.85</v>
      </c>
      <c r="E3" s="1239">
        <v>0.5</v>
      </c>
      <c r="F3" s="1240">
        <f ca="1">INDIRECT("p"&amp;$L$1)</f>
        <v>1.3</v>
      </c>
      <c r="G3" s="1235"/>
      <c r="H3" s="1235"/>
      <c r="I3" s="1235"/>
      <c r="J3" s="1235"/>
      <c r="L3" s="1235"/>
      <c r="M3" s="1235"/>
      <c r="N3" s="1235"/>
      <c r="O3" s="1235"/>
      <c r="P3" s="1235"/>
      <c r="Q3" s="1235"/>
      <c r="R3" s="1235"/>
      <c r="S3" s="1235"/>
      <c r="T3" s="1235"/>
      <c r="U3" s="1235"/>
      <c r="V3" s="1235"/>
      <c r="W3" s="1235"/>
      <c r="X3" s="1235"/>
      <c r="Y3" s="1235"/>
      <c r="Z3" s="1235"/>
    </row>
    <row r="4" spans="1:257">
      <c r="B4" s="1242" t="s">
        <v>1178</v>
      </c>
      <c r="C4" s="1243">
        <v>0.5</v>
      </c>
      <c r="D4" s="1244">
        <f ca="1">INDIRECT("e"&amp;$J$1)</f>
        <v>3.85</v>
      </c>
      <c r="E4" s="1245">
        <v>1</v>
      </c>
      <c r="F4" s="1246">
        <f ca="1">INDIRECT("q"&amp;$L$1)</f>
        <v>1.5</v>
      </c>
      <c r="G4" s="1235"/>
      <c r="H4" s="1235"/>
      <c r="I4" s="1235"/>
      <c r="J4" s="1235"/>
      <c r="L4" s="1235"/>
      <c r="M4" s="1235"/>
      <c r="N4" s="1235"/>
      <c r="O4" s="1235"/>
      <c r="P4" s="1235"/>
      <c r="Q4" s="1235"/>
      <c r="R4" s="1235"/>
      <c r="S4" s="1235"/>
      <c r="T4" s="1235"/>
      <c r="U4" s="1235"/>
      <c r="V4" s="1235"/>
      <c r="W4" s="1235"/>
      <c r="X4" s="1235"/>
      <c r="Y4" s="1235"/>
      <c r="Z4" s="1235"/>
    </row>
    <row r="5" spans="1:257">
      <c r="B5" s="1242" t="s">
        <v>1179</v>
      </c>
      <c r="C5" s="1243">
        <v>1</v>
      </c>
      <c r="D5" s="1244">
        <f ca="1">INDIRECT("f"&amp;$J$1)</f>
        <v>3.85</v>
      </c>
      <c r="E5" s="1245">
        <v>2</v>
      </c>
      <c r="F5" s="1246">
        <f ca="1">INDIRECT("r"&amp;$L$1)</f>
        <v>2.1</v>
      </c>
      <c r="G5" s="1235"/>
      <c r="H5" s="1235"/>
      <c r="I5" s="1235"/>
      <c r="J5" s="1235"/>
      <c r="L5" s="1235"/>
      <c r="M5" s="1235"/>
      <c r="N5" s="1235"/>
      <c r="O5" s="1235"/>
      <c r="P5" s="1235"/>
      <c r="Q5" s="1235"/>
      <c r="R5" s="1235"/>
      <c r="S5" s="1235"/>
      <c r="T5" s="1235"/>
      <c r="U5" s="1235"/>
      <c r="V5" s="1235"/>
      <c r="W5" s="1235"/>
      <c r="X5" s="1235"/>
      <c r="Y5" s="1235"/>
      <c r="Z5" s="1235"/>
    </row>
    <row r="6" spans="1:257">
      <c r="B6" s="1242" t="s">
        <v>1180</v>
      </c>
      <c r="C6" s="1243">
        <v>3</v>
      </c>
      <c r="D6" s="1244">
        <f ca="1">INDIRECT("g"&amp;$J$1)</f>
        <v>3.85</v>
      </c>
      <c r="E6" s="1245">
        <v>3</v>
      </c>
      <c r="F6" s="1246">
        <f ca="1">INDIRECT("s"&amp;$L$1)</f>
        <v>2.75</v>
      </c>
      <c r="G6" s="1235"/>
      <c r="H6" s="1235"/>
      <c r="I6" s="1235"/>
      <c r="J6" s="1235"/>
      <c r="L6" s="1235"/>
      <c r="M6" s="1235"/>
      <c r="N6" s="1235"/>
      <c r="O6" s="1235"/>
      <c r="P6" s="1235"/>
      <c r="Q6" s="1235"/>
      <c r="R6" s="1235"/>
      <c r="S6" s="1235"/>
      <c r="T6" s="1235"/>
      <c r="U6" s="1235"/>
      <c r="V6" s="1235"/>
      <c r="W6" s="1235"/>
      <c r="X6" s="1235"/>
      <c r="Y6" s="1235"/>
      <c r="Z6" s="1235"/>
    </row>
    <row r="7" spans="1:257" ht="14.25" thickBot="1">
      <c r="B7" s="1247" t="s">
        <v>1181</v>
      </c>
      <c r="C7" s="1248">
        <v>5</v>
      </c>
      <c r="D7" s="1249">
        <f ca="1">INDIRECT("h"&amp;$J$1)</f>
        <v>4.6500000000000004</v>
      </c>
      <c r="E7" s="1250">
        <v>5</v>
      </c>
      <c r="F7" s="1251">
        <f ca="1">INDIRECT("t"&amp;$L$1)</f>
        <v>0</v>
      </c>
      <c r="G7" s="1235"/>
      <c r="H7" s="1235"/>
      <c r="I7" s="1235"/>
      <c r="J7" s="1235"/>
      <c r="L7" s="1235"/>
      <c r="M7" s="1235"/>
      <c r="N7" s="1235"/>
      <c r="O7" s="1235"/>
      <c r="P7" s="1235"/>
      <c r="Q7" s="1235"/>
      <c r="R7" s="1235"/>
      <c r="S7" s="1235"/>
      <c r="T7" s="1235"/>
      <c r="U7" s="1235"/>
      <c r="V7" s="1235"/>
      <c r="W7" s="1235"/>
      <c r="X7" s="1235"/>
      <c r="Y7" s="1235"/>
      <c r="Z7" s="1235"/>
    </row>
    <row r="8" spans="1:257">
      <c r="A8" s="1252"/>
      <c r="B8" s="1253"/>
      <c r="C8" s="1254"/>
      <c r="D8" s="1235"/>
      <c r="E8" s="1235"/>
      <c r="F8" s="1235"/>
      <c r="G8" s="1235"/>
      <c r="H8" s="1235"/>
      <c r="I8" s="1235"/>
      <c r="J8" s="1235"/>
      <c r="L8" s="1235"/>
      <c r="M8" s="1235"/>
      <c r="N8" s="1235"/>
      <c r="O8" s="1235"/>
      <c r="P8" s="1235"/>
      <c r="Q8" s="1235"/>
      <c r="R8" s="1235"/>
      <c r="S8" s="1235"/>
      <c r="T8" s="1235"/>
      <c r="U8" s="1235"/>
      <c r="V8" s="1235"/>
      <c r="W8" s="1235"/>
      <c r="X8" s="1235"/>
      <c r="Y8" s="1235"/>
      <c r="Z8" s="1235"/>
    </row>
    <row r="9" spans="1:257" ht="20.25">
      <c r="A9" s="1255"/>
      <c r="B9" s="1256" t="s">
        <v>1182</v>
      </c>
      <c r="C9" s="1257"/>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9"/>
      <c r="AB9" s="1259"/>
      <c r="AC9" s="1259"/>
      <c r="AD9" s="1259"/>
      <c r="AE9" s="1259"/>
      <c r="AF9" s="1259"/>
      <c r="AG9" s="1259"/>
      <c r="AH9" s="1259"/>
      <c r="AI9" s="1259"/>
      <c r="AJ9" s="1259"/>
      <c r="AK9" s="1259"/>
      <c r="AL9" s="1259"/>
      <c r="AM9" s="1259"/>
      <c r="AN9" s="1259"/>
      <c r="AO9" s="1259"/>
      <c r="AP9" s="1259"/>
      <c r="AQ9" s="1259"/>
      <c r="AR9" s="1259"/>
      <c r="AS9" s="1259"/>
      <c r="AT9" s="1259"/>
      <c r="AU9" s="1259"/>
      <c r="AV9" s="1259"/>
      <c r="AW9" s="1259"/>
      <c r="AX9" s="1259"/>
      <c r="AY9" s="1259"/>
      <c r="AZ9" s="1259"/>
      <c r="BA9" s="1259"/>
      <c r="BB9" s="1259"/>
      <c r="BC9" s="1259"/>
      <c r="BD9" s="1259"/>
      <c r="BE9" s="1259"/>
      <c r="BF9" s="1259"/>
      <c r="BG9" s="1259"/>
      <c r="BH9" s="1259"/>
      <c r="BI9" s="1259"/>
      <c r="BJ9" s="1259"/>
      <c r="BK9" s="1259"/>
      <c r="BL9" s="1259"/>
      <c r="BM9" s="1259"/>
      <c r="BN9" s="1259"/>
      <c r="BO9" s="1259"/>
      <c r="BP9" s="1259"/>
      <c r="BQ9" s="1259"/>
      <c r="BR9" s="1259"/>
      <c r="BS9" s="1259"/>
      <c r="BT9" s="1259"/>
      <c r="BU9" s="1259"/>
      <c r="BV9" s="1259"/>
      <c r="BW9" s="1259"/>
      <c r="BX9" s="1259"/>
      <c r="BY9" s="1259"/>
      <c r="BZ9" s="1259"/>
      <c r="CA9" s="1259"/>
      <c r="CB9" s="1259"/>
      <c r="CC9" s="1259"/>
      <c r="CD9" s="1259"/>
      <c r="CE9" s="1259"/>
      <c r="CF9" s="1259"/>
      <c r="CG9" s="1259"/>
      <c r="CH9" s="1259"/>
      <c r="CI9" s="1259"/>
      <c r="CJ9" s="1259"/>
      <c r="CK9" s="1259"/>
      <c r="CL9" s="1259"/>
      <c r="CM9" s="1259"/>
      <c r="CN9" s="1259"/>
      <c r="CO9" s="1259"/>
      <c r="CP9" s="1259"/>
      <c r="CQ9" s="1259"/>
      <c r="CR9" s="1259"/>
      <c r="CS9" s="1259"/>
      <c r="CT9" s="1259"/>
      <c r="CU9" s="1259"/>
      <c r="CV9" s="1259"/>
      <c r="CW9" s="1259"/>
      <c r="CX9" s="1259"/>
      <c r="CY9" s="1259"/>
      <c r="CZ9" s="1259"/>
      <c r="DA9" s="1259"/>
      <c r="DB9" s="1259"/>
      <c r="DC9" s="1259"/>
      <c r="DD9" s="1259"/>
      <c r="DE9" s="1259"/>
      <c r="DF9" s="1259"/>
      <c r="DG9" s="1259"/>
      <c r="DH9" s="1259"/>
      <c r="DI9" s="1259"/>
      <c r="DJ9" s="1259"/>
      <c r="DK9" s="1259"/>
      <c r="DL9" s="1259"/>
      <c r="DM9" s="1259"/>
      <c r="DN9" s="1259"/>
      <c r="DO9" s="1259"/>
      <c r="DP9" s="1259"/>
      <c r="DQ9" s="1259"/>
      <c r="DR9" s="1259"/>
      <c r="DS9" s="1259"/>
      <c r="DT9" s="1259"/>
      <c r="DU9" s="1259"/>
      <c r="DV9" s="1259"/>
      <c r="DW9" s="1259"/>
      <c r="DX9" s="1259"/>
      <c r="DY9" s="1259"/>
      <c r="DZ9" s="1259"/>
      <c r="EA9" s="1259"/>
      <c r="EB9" s="1259"/>
      <c r="EC9" s="1259"/>
      <c r="ED9" s="1259"/>
      <c r="EE9" s="1259"/>
      <c r="EF9" s="1259"/>
      <c r="EG9" s="1259"/>
      <c r="EH9" s="1259"/>
      <c r="EI9" s="1259"/>
      <c r="EJ9" s="1259"/>
      <c r="EK9" s="1259"/>
      <c r="EL9" s="1259"/>
      <c r="EM9" s="1259"/>
      <c r="EN9" s="1259"/>
      <c r="EO9" s="1259"/>
      <c r="EP9" s="1259"/>
      <c r="EQ9" s="1259"/>
      <c r="ER9" s="1259"/>
      <c r="ES9" s="1259"/>
      <c r="ET9" s="1259"/>
      <c r="EU9" s="1259"/>
      <c r="EV9" s="1259"/>
      <c r="EW9" s="1259"/>
      <c r="EX9" s="1259"/>
      <c r="EY9" s="1259"/>
      <c r="EZ9" s="1259"/>
      <c r="FA9" s="1259"/>
      <c r="FB9" s="1259"/>
      <c r="FC9" s="1259"/>
      <c r="FD9" s="1259"/>
      <c r="FE9" s="1259"/>
      <c r="FF9" s="1259"/>
      <c r="FG9" s="1259"/>
      <c r="FH9" s="1259"/>
      <c r="FI9" s="1259"/>
      <c r="FJ9" s="1259"/>
      <c r="FK9" s="1259"/>
      <c r="FL9" s="1259"/>
      <c r="FM9" s="1259"/>
      <c r="FN9" s="1259"/>
      <c r="FO9" s="1259"/>
      <c r="FP9" s="1259"/>
      <c r="FQ9" s="1259"/>
      <c r="FR9" s="1259"/>
      <c r="FS9" s="1259"/>
      <c r="FT9" s="1259"/>
      <c r="FU9" s="1259"/>
      <c r="FV9" s="1259"/>
      <c r="FW9" s="1259"/>
      <c r="FX9" s="1259"/>
      <c r="FY9" s="1259"/>
      <c r="FZ9" s="1259"/>
      <c r="GA9" s="1259"/>
      <c r="GB9" s="1259"/>
      <c r="GC9" s="1259"/>
      <c r="GD9" s="1259"/>
      <c r="GE9" s="1259"/>
      <c r="GF9" s="1259"/>
      <c r="GG9" s="1259"/>
      <c r="GH9" s="1259"/>
      <c r="GI9" s="1259"/>
      <c r="GJ9" s="1259"/>
      <c r="GK9" s="1259"/>
      <c r="GL9" s="1259"/>
      <c r="GM9" s="1259"/>
      <c r="GN9" s="1259"/>
      <c r="GO9" s="1259"/>
      <c r="GP9" s="1259"/>
      <c r="GQ9" s="1259"/>
      <c r="GR9" s="1259"/>
      <c r="GS9" s="1259"/>
      <c r="GT9" s="1259"/>
      <c r="GU9" s="1259"/>
      <c r="GV9" s="1259"/>
      <c r="GW9" s="1259"/>
      <c r="GX9" s="1259"/>
      <c r="GY9" s="1259"/>
      <c r="GZ9" s="1259"/>
      <c r="HA9" s="1259"/>
      <c r="HB9" s="1259"/>
      <c r="HC9" s="1259"/>
      <c r="HD9" s="1259"/>
      <c r="HE9" s="1259"/>
      <c r="HF9" s="1259"/>
      <c r="HG9" s="1259"/>
      <c r="HH9" s="1259"/>
      <c r="HI9" s="1259"/>
      <c r="HJ9" s="1259"/>
      <c r="HK9" s="1259"/>
      <c r="HL9" s="1259"/>
      <c r="HM9" s="1259"/>
      <c r="HN9" s="1259"/>
      <c r="HO9" s="1259"/>
      <c r="HP9" s="1259"/>
      <c r="HQ9" s="1259"/>
      <c r="HR9" s="1259"/>
      <c r="HS9" s="1259"/>
      <c r="HT9" s="1259"/>
      <c r="HU9" s="1259"/>
      <c r="HV9" s="1259"/>
      <c r="HW9" s="1259"/>
      <c r="HX9" s="1259"/>
      <c r="HY9" s="1259"/>
      <c r="HZ9" s="1259"/>
      <c r="IA9" s="1259"/>
      <c r="IB9" s="1259"/>
      <c r="IC9" s="1259"/>
      <c r="ID9" s="1259"/>
      <c r="IE9" s="1259"/>
      <c r="IF9" s="1259"/>
      <c r="IG9" s="1259"/>
      <c r="IH9" s="1259"/>
      <c r="II9" s="1259"/>
      <c r="IJ9" s="1259"/>
      <c r="IK9" s="1259"/>
      <c r="IL9" s="1259"/>
      <c r="IM9" s="1259"/>
      <c r="IN9" s="1259"/>
      <c r="IO9" s="1259"/>
      <c r="IP9" s="1259"/>
      <c r="IQ9" s="1259"/>
      <c r="IR9" s="1259"/>
      <c r="IS9" s="1259"/>
      <c r="IT9" s="1259"/>
      <c r="IU9" s="1259"/>
      <c r="IV9" s="1259"/>
      <c r="IW9" s="1260"/>
    </row>
    <row r="10" spans="1:257" ht="22.5">
      <c r="A10" s="1261"/>
      <c r="B10" s="1262" t="s">
        <v>1183</v>
      </c>
      <c r="C10" s="1261"/>
      <c r="D10" s="1261"/>
      <c r="E10" s="1261"/>
      <c r="F10" s="1261"/>
      <c r="G10" s="1261"/>
      <c r="H10" s="1261"/>
      <c r="I10" s="1235"/>
      <c r="J10" s="1235"/>
      <c r="K10" s="1261"/>
      <c r="L10" s="1262" t="s">
        <v>1184</v>
      </c>
      <c r="M10" s="1261"/>
      <c r="N10" s="1261"/>
      <c r="O10" s="1261"/>
      <c r="P10" s="1261"/>
      <c r="Q10" s="1261"/>
      <c r="R10" s="1261"/>
      <c r="S10" s="1261"/>
      <c r="T10" s="1261"/>
      <c r="U10" s="1261"/>
      <c r="V10" s="1261"/>
      <c r="W10" s="1261"/>
      <c r="X10" s="1261"/>
      <c r="Y10" s="1261"/>
      <c r="Z10" s="1261"/>
      <c r="AA10" s="1263"/>
      <c r="AB10" s="1263"/>
      <c r="AC10" s="1263"/>
      <c r="AD10" s="1263"/>
      <c r="AE10" s="1263"/>
      <c r="AF10" s="1263"/>
      <c r="AG10" s="1263"/>
      <c r="AH10" s="1263"/>
      <c r="AI10" s="1263"/>
      <c r="AJ10" s="1263"/>
      <c r="AK10" s="1263"/>
      <c r="AL10" s="1263"/>
      <c r="AM10" s="1263"/>
      <c r="AN10" s="1263"/>
      <c r="AO10" s="1263"/>
      <c r="AP10" s="1263"/>
      <c r="AQ10" s="1263"/>
      <c r="AR10" s="1263"/>
      <c r="AS10" s="1263"/>
      <c r="AT10" s="1263"/>
      <c r="AU10" s="1263"/>
      <c r="AV10" s="1263"/>
      <c r="AW10" s="1263"/>
      <c r="AX10" s="1263"/>
      <c r="AY10" s="1263"/>
      <c r="AZ10" s="1263"/>
      <c r="BA10" s="1263"/>
      <c r="BB10" s="1263"/>
      <c r="BC10" s="1263"/>
      <c r="BD10" s="1263"/>
      <c r="BE10" s="1263"/>
      <c r="BF10" s="1263"/>
      <c r="BG10" s="1263"/>
      <c r="BH10" s="1263"/>
      <c r="BI10" s="1263"/>
      <c r="BJ10" s="1263"/>
      <c r="BK10" s="1263"/>
      <c r="BL10" s="1263"/>
      <c r="BM10" s="1263"/>
      <c r="BN10" s="1263"/>
      <c r="BO10" s="1263"/>
      <c r="BP10" s="1263"/>
      <c r="BQ10" s="1263"/>
      <c r="BR10" s="1263"/>
      <c r="BS10" s="1263"/>
      <c r="BT10" s="1263"/>
      <c r="BU10" s="1263"/>
      <c r="BV10" s="1263"/>
      <c r="BW10" s="1263"/>
      <c r="BX10" s="1263"/>
      <c r="BY10" s="1263"/>
      <c r="BZ10" s="1263"/>
      <c r="CA10" s="1263"/>
      <c r="CB10" s="1263"/>
      <c r="CC10" s="1263"/>
      <c r="CD10" s="1263"/>
      <c r="CE10" s="1263"/>
      <c r="CF10" s="1263"/>
      <c r="CG10" s="1263"/>
      <c r="CH10" s="1263"/>
      <c r="CI10" s="1263"/>
      <c r="CJ10" s="1263"/>
      <c r="CK10" s="1263"/>
      <c r="CL10" s="1263"/>
      <c r="CM10" s="1263"/>
      <c r="CN10" s="1263"/>
      <c r="CO10" s="1263"/>
      <c r="CP10" s="1263"/>
      <c r="CQ10" s="1263"/>
      <c r="CR10" s="1263"/>
      <c r="CS10" s="1263"/>
      <c r="CT10" s="1263"/>
      <c r="CU10" s="1263"/>
      <c r="CV10" s="1263"/>
      <c r="CW10" s="1263"/>
      <c r="CX10" s="1263"/>
      <c r="CY10" s="1263"/>
      <c r="CZ10" s="1263"/>
      <c r="DA10" s="1263"/>
      <c r="DB10" s="1263"/>
      <c r="DC10" s="1263"/>
      <c r="DD10" s="1263"/>
      <c r="DE10" s="1263"/>
      <c r="DF10" s="1263"/>
      <c r="DG10" s="1263"/>
      <c r="DH10" s="1263"/>
      <c r="DI10" s="1263"/>
      <c r="DJ10" s="1263"/>
      <c r="DK10" s="1263"/>
      <c r="DL10" s="1263"/>
      <c r="DM10" s="1263"/>
      <c r="DN10" s="1263"/>
      <c r="DO10" s="1263"/>
      <c r="DP10" s="1263"/>
      <c r="DQ10" s="1263"/>
      <c r="DR10" s="1263"/>
      <c r="DS10" s="1263"/>
      <c r="DT10" s="1263"/>
      <c r="DU10" s="1263"/>
      <c r="DV10" s="1263"/>
      <c r="DW10" s="1263"/>
      <c r="DX10" s="1263"/>
      <c r="DY10" s="1263"/>
      <c r="DZ10" s="1263"/>
      <c r="EA10" s="1263"/>
      <c r="EB10" s="1263"/>
      <c r="EC10" s="1263"/>
      <c r="ED10" s="1263"/>
      <c r="EE10" s="1263"/>
      <c r="EF10" s="1263"/>
      <c r="EG10" s="1263"/>
      <c r="EH10" s="1263"/>
      <c r="EI10" s="1263"/>
      <c r="EJ10" s="1263"/>
      <c r="EK10" s="1263"/>
      <c r="EL10" s="1263"/>
      <c r="EM10" s="1263"/>
      <c r="EN10" s="1263"/>
      <c r="EO10" s="1263"/>
      <c r="EP10" s="1263"/>
      <c r="EQ10" s="1263"/>
      <c r="ER10" s="1263"/>
      <c r="ES10" s="1263"/>
      <c r="ET10" s="1263"/>
      <c r="EU10" s="1263"/>
      <c r="EV10" s="1263"/>
      <c r="EW10" s="1263"/>
      <c r="EX10" s="1263"/>
      <c r="EY10" s="1263"/>
      <c r="EZ10" s="1263"/>
      <c r="FA10" s="1263"/>
      <c r="FB10" s="1263"/>
      <c r="FC10" s="1263"/>
      <c r="FD10" s="1263"/>
      <c r="FE10" s="1263"/>
      <c r="FF10" s="1263"/>
      <c r="FG10" s="1263"/>
      <c r="FH10" s="1263"/>
      <c r="FI10" s="1263"/>
      <c r="FJ10" s="1263"/>
      <c r="FK10" s="1263"/>
      <c r="FL10" s="1263"/>
      <c r="FM10" s="1263"/>
      <c r="FN10" s="1263"/>
      <c r="FO10" s="1263"/>
      <c r="FP10" s="1263"/>
      <c r="FQ10" s="1263"/>
      <c r="FR10" s="1263"/>
      <c r="FS10" s="1263"/>
      <c r="FT10" s="1263"/>
      <c r="FU10" s="1263"/>
      <c r="FV10" s="1263"/>
      <c r="FW10" s="1263"/>
      <c r="FX10" s="1263"/>
      <c r="FY10" s="1263"/>
      <c r="FZ10" s="1263"/>
      <c r="GA10" s="1263"/>
      <c r="GB10" s="1263"/>
      <c r="GC10" s="1263"/>
      <c r="GD10" s="1263"/>
      <c r="GE10" s="1263"/>
      <c r="GF10" s="1263"/>
      <c r="GG10" s="1263"/>
      <c r="GH10" s="1263"/>
      <c r="GI10" s="1263"/>
      <c r="GJ10" s="1263"/>
      <c r="GK10" s="1263"/>
      <c r="GL10" s="1263"/>
      <c r="GM10" s="1263"/>
      <c r="GN10" s="1263"/>
      <c r="GO10" s="1263"/>
      <c r="GP10" s="1263"/>
      <c r="GQ10" s="1263"/>
      <c r="GR10" s="1263"/>
      <c r="GS10" s="1263"/>
      <c r="GT10" s="1263"/>
      <c r="GU10" s="1263"/>
      <c r="GV10" s="1263"/>
      <c r="GW10" s="1263"/>
      <c r="GX10" s="1263"/>
      <c r="GY10" s="1263"/>
      <c r="GZ10" s="1263"/>
      <c r="HA10" s="1263"/>
      <c r="HB10" s="1263"/>
      <c r="HC10" s="1263"/>
      <c r="HD10" s="1263"/>
      <c r="HE10" s="1263"/>
      <c r="HF10" s="1263"/>
      <c r="HG10" s="1263"/>
      <c r="HH10" s="1263"/>
      <c r="HI10" s="1263"/>
      <c r="HJ10" s="1263"/>
      <c r="HK10" s="1263"/>
      <c r="HL10" s="1263"/>
      <c r="HM10" s="1263"/>
      <c r="HN10" s="1263"/>
      <c r="HO10" s="1263"/>
      <c r="HP10" s="1263"/>
      <c r="HQ10" s="1263"/>
      <c r="HR10" s="1263"/>
      <c r="HS10" s="1263"/>
      <c r="HT10" s="1263"/>
      <c r="HU10" s="1263"/>
      <c r="HV10" s="1263"/>
      <c r="HW10" s="1263"/>
      <c r="HX10" s="1263"/>
      <c r="HY10" s="1263"/>
      <c r="HZ10" s="1263"/>
      <c r="IA10" s="1263"/>
      <c r="IB10" s="1263"/>
      <c r="IC10" s="1263"/>
      <c r="ID10" s="1263"/>
      <c r="IE10" s="1263"/>
      <c r="IF10" s="1263"/>
      <c r="IG10" s="1263"/>
      <c r="IH10" s="1263"/>
      <c r="II10" s="1263"/>
      <c r="IJ10" s="1263"/>
      <c r="IK10" s="1263"/>
      <c r="IL10" s="1263"/>
      <c r="IM10" s="1263"/>
      <c r="IN10" s="1263"/>
      <c r="IO10" s="1263"/>
      <c r="IP10" s="1263"/>
      <c r="IQ10" s="1263"/>
      <c r="IR10" s="1263"/>
      <c r="IS10" s="1263"/>
      <c r="IT10" s="1263"/>
      <c r="IU10" s="1263"/>
      <c r="IV10" s="1263"/>
    </row>
    <row r="11" spans="1:257">
      <c r="A11" s="1264"/>
      <c r="B11" s="1265" t="s">
        <v>1185</v>
      </c>
      <c r="C11" s="1266" t="s">
        <v>1186</v>
      </c>
      <c r="D11" s="1267" t="s">
        <v>1187</v>
      </c>
      <c r="E11" s="1268"/>
      <c r="F11" s="1267" t="s">
        <v>1188</v>
      </c>
      <c r="G11" s="1269"/>
      <c r="H11" s="1268"/>
      <c r="I11" s="1267" t="s">
        <v>1189</v>
      </c>
      <c r="J11" s="1268"/>
      <c r="K11" s="1264"/>
      <c r="L11" s="1265" t="s">
        <v>1185</v>
      </c>
      <c r="M11" s="1266" t="s">
        <v>1186</v>
      </c>
      <c r="N11" s="1265" t="s">
        <v>1190</v>
      </c>
      <c r="O11" s="1267" t="s">
        <v>1191</v>
      </c>
      <c r="P11" s="1269"/>
      <c r="Q11" s="1269"/>
      <c r="R11" s="1269"/>
      <c r="S11" s="1269"/>
      <c r="T11" s="1268"/>
      <c r="U11" s="1267" t="s">
        <v>1192</v>
      </c>
      <c r="V11" s="1269"/>
      <c r="W11" s="1268"/>
      <c r="X11" s="1265" t="s">
        <v>1193</v>
      </c>
      <c r="Y11" s="1265" t="s">
        <v>1194</v>
      </c>
      <c r="Z11" s="1265" t="s">
        <v>1195</v>
      </c>
      <c r="AA11" s="1270"/>
      <c r="AB11" s="1270"/>
      <c r="AC11" s="1270"/>
      <c r="AD11" s="1270"/>
      <c r="AE11" s="1270"/>
      <c r="AF11" s="1270"/>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X11" s="1270"/>
      <c r="FY11" s="1270"/>
      <c r="FZ11" s="1270"/>
      <c r="GA11" s="1270"/>
      <c r="GB11" s="1270"/>
      <c r="GC11" s="1270"/>
      <c r="GD11" s="1270"/>
      <c r="GE11" s="1270"/>
      <c r="GF11" s="1270"/>
      <c r="GG11" s="1270"/>
      <c r="GH11" s="1270"/>
      <c r="GI11" s="1270"/>
      <c r="GJ11" s="1270"/>
      <c r="GK11" s="1270"/>
      <c r="GL11" s="1270"/>
      <c r="GM11" s="1270"/>
      <c r="GN11" s="1270"/>
      <c r="GO11" s="1270"/>
      <c r="GP11" s="1270"/>
      <c r="GQ11" s="1270"/>
      <c r="GR11" s="1270"/>
      <c r="GS11" s="1270"/>
      <c r="GT11" s="1270"/>
      <c r="GU11" s="1270"/>
      <c r="GV11" s="1270"/>
      <c r="GW11" s="1270"/>
      <c r="GX11" s="1270"/>
      <c r="GY11" s="1270"/>
      <c r="GZ11" s="1270"/>
      <c r="HA11" s="1270"/>
      <c r="HB11" s="1270"/>
      <c r="HC11" s="1270"/>
      <c r="HD11" s="1270"/>
      <c r="HE11" s="1270"/>
      <c r="HF11" s="1270"/>
      <c r="HG11" s="1270"/>
      <c r="HH11" s="1270"/>
      <c r="HI11" s="1270"/>
      <c r="HJ11" s="1270"/>
      <c r="HK11" s="1270"/>
      <c r="HL11" s="1270"/>
      <c r="HM11" s="1270"/>
      <c r="HN11" s="1270"/>
      <c r="HO11" s="1270"/>
      <c r="HP11" s="1270"/>
      <c r="HQ11" s="1270"/>
      <c r="HR11" s="1270"/>
      <c r="HS11" s="1270"/>
      <c r="HT11" s="1270"/>
      <c r="HU11" s="1270"/>
      <c r="HV11" s="1270"/>
      <c r="HW11" s="1270"/>
      <c r="HX11" s="1270"/>
      <c r="HY11" s="1270"/>
      <c r="HZ11" s="1270"/>
      <c r="IA11" s="1270"/>
      <c r="IB11" s="1270"/>
      <c r="IC11" s="1270"/>
      <c r="ID11" s="1270"/>
      <c r="IE11" s="1270"/>
      <c r="IF11" s="1270"/>
      <c r="IG11" s="1270"/>
      <c r="IH11" s="1270"/>
      <c r="II11" s="1270"/>
      <c r="IJ11" s="1270"/>
      <c r="IK11" s="1270"/>
      <c r="IL11" s="1270"/>
      <c r="IM11" s="1270"/>
      <c r="IN11" s="1270"/>
      <c r="IO11" s="1270"/>
      <c r="IP11" s="1270"/>
      <c r="IQ11" s="1270"/>
      <c r="IR11" s="1270"/>
      <c r="IS11" s="1270"/>
      <c r="IT11" s="1270"/>
      <c r="IU11" s="1270"/>
      <c r="IV11" s="1270"/>
    </row>
    <row r="12" spans="1:257">
      <c r="A12" s="1271"/>
      <c r="B12" s="1272"/>
      <c r="C12" s="1273"/>
      <c r="D12" s="1274" t="s">
        <v>1196</v>
      </c>
      <c r="E12" s="1274" t="s">
        <v>1197</v>
      </c>
      <c r="F12" s="1274" t="s">
        <v>1198</v>
      </c>
      <c r="G12" s="1274" t="s">
        <v>1199</v>
      </c>
      <c r="H12" s="1274" t="s">
        <v>1181</v>
      </c>
      <c r="I12" s="1275" t="s">
        <v>1200</v>
      </c>
      <c r="J12" s="1275" t="s">
        <v>1200</v>
      </c>
      <c r="K12" s="1271"/>
      <c r="L12" s="1272"/>
      <c r="M12" s="1273"/>
      <c r="N12" s="1272"/>
      <c r="O12" s="1275" t="s">
        <v>1201</v>
      </c>
      <c r="P12" s="1275">
        <v>0.5</v>
      </c>
      <c r="Q12" s="1275">
        <v>1</v>
      </c>
      <c r="R12" s="1275">
        <v>2</v>
      </c>
      <c r="S12" s="1275">
        <v>3</v>
      </c>
      <c r="T12" s="1275">
        <v>5</v>
      </c>
      <c r="U12" s="1275">
        <v>1</v>
      </c>
      <c r="V12" s="1275">
        <v>3</v>
      </c>
      <c r="W12" s="1275">
        <v>5</v>
      </c>
      <c r="X12" s="1272"/>
      <c r="Y12" s="1272"/>
      <c r="Z12" s="1272"/>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276"/>
      <c r="BM12" s="1276"/>
      <c r="BN12" s="1276"/>
      <c r="BO12" s="1276"/>
      <c r="BP12" s="1276"/>
      <c r="BQ12" s="1276"/>
      <c r="BR12" s="1276"/>
      <c r="BS12" s="1276"/>
      <c r="BT12" s="1276"/>
      <c r="BU12" s="1276"/>
      <c r="BV12" s="1276"/>
      <c r="BW12" s="1276"/>
      <c r="BX12" s="1276"/>
      <c r="BY12" s="1276"/>
      <c r="BZ12" s="1276"/>
      <c r="CA12" s="1276"/>
      <c r="CB12" s="1276"/>
      <c r="CC12" s="1276"/>
      <c r="CD12" s="1276"/>
      <c r="CE12" s="1276"/>
      <c r="CF12" s="1276"/>
      <c r="CG12" s="1276"/>
      <c r="CH12" s="1276"/>
      <c r="CI12" s="1276"/>
      <c r="CJ12" s="1276"/>
      <c r="CK12" s="1276"/>
      <c r="CL12" s="1276"/>
      <c r="CM12" s="1276"/>
      <c r="CN12" s="1276"/>
      <c r="CO12" s="1276"/>
      <c r="CP12" s="1276"/>
      <c r="CQ12" s="1276"/>
      <c r="CR12" s="1276"/>
      <c r="CS12" s="1276"/>
      <c r="CT12" s="1276"/>
      <c r="CU12" s="1276"/>
      <c r="CV12" s="1276"/>
      <c r="CW12" s="1276"/>
      <c r="CX12" s="1276"/>
      <c r="CY12" s="1276"/>
      <c r="CZ12" s="1276"/>
      <c r="DA12" s="1276"/>
      <c r="DB12" s="1276"/>
      <c r="DC12" s="1276"/>
      <c r="DD12" s="1276"/>
      <c r="DE12" s="1276"/>
      <c r="DF12" s="1276"/>
      <c r="DG12" s="1276"/>
      <c r="DH12" s="1276"/>
      <c r="DI12" s="1276"/>
      <c r="DJ12" s="1276"/>
      <c r="DK12" s="1276"/>
      <c r="DL12" s="1276"/>
      <c r="DM12" s="1276"/>
      <c r="DN12" s="1276"/>
      <c r="DO12" s="1276"/>
      <c r="DP12" s="1276"/>
      <c r="DQ12" s="1276"/>
      <c r="DR12" s="1276"/>
      <c r="DS12" s="1276"/>
      <c r="DT12" s="1276"/>
      <c r="DU12" s="1276"/>
      <c r="DV12" s="1276"/>
      <c r="DW12" s="1276"/>
      <c r="DX12" s="1276"/>
      <c r="DY12" s="1276"/>
      <c r="DZ12" s="1276"/>
      <c r="EA12" s="1276"/>
      <c r="EB12" s="1276"/>
      <c r="EC12" s="1276"/>
      <c r="ED12" s="1276"/>
      <c r="EE12" s="1276"/>
      <c r="EF12" s="1276"/>
      <c r="EG12" s="1276"/>
      <c r="EH12" s="1276"/>
      <c r="EI12" s="1276"/>
      <c r="EJ12" s="1276"/>
      <c r="EK12" s="1276"/>
      <c r="EL12" s="1276"/>
      <c r="EM12" s="1276"/>
      <c r="EN12" s="1276"/>
      <c r="EO12" s="1276"/>
      <c r="EP12" s="1276"/>
      <c r="EQ12" s="1276"/>
      <c r="ER12" s="1276"/>
      <c r="ES12" s="1276"/>
      <c r="ET12" s="1276"/>
      <c r="EU12" s="1276"/>
      <c r="EV12" s="1276"/>
      <c r="EW12" s="1276"/>
      <c r="EX12" s="1276"/>
      <c r="EY12" s="1276"/>
      <c r="EZ12" s="1276"/>
      <c r="FA12" s="1276"/>
      <c r="FB12" s="1276"/>
      <c r="FC12" s="1276"/>
      <c r="FD12" s="1276"/>
      <c r="FE12" s="1276"/>
      <c r="FF12" s="1276"/>
      <c r="FG12" s="1276"/>
      <c r="FH12" s="1276"/>
      <c r="FI12" s="1276"/>
      <c r="FJ12" s="1276"/>
      <c r="FK12" s="1276"/>
      <c r="FL12" s="1276"/>
      <c r="FM12" s="1276"/>
      <c r="FN12" s="1276"/>
      <c r="FO12" s="1276"/>
      <c r="FP12" s="1276"/>
      <c r="FQ12" s="1276"/>
      <c r="FR12" s="1276"/>
      <c r="FS12" s="1276"/>
      <c r="FT12" s="1276"/>
      <c r="FU12" s="1276"/>
      <c r="FV12" s="1276"/>
      <c r="FW12" s="1276"/>
      <c r="FX12" s="1276"/>
      <c r="FY12" s="1276"/>
      <c r="FZ12" s="1276"/>
      <c r="GA12" s="1276"/>
      <c r="GB12" s="1276"/>
      <c r="GC12" s="1276"/>
      <c r="GD12" s="1276"/>
      <c r="GE12" s="1276"/>
      <c r="GF12" s="1276"/>
      <c r="GG12" s="1276"/>
      <c r="GH12" s="1276"/>
      <c r="GI12" s="1276"/>
      <c r="GJ12" s="1276"/>
      <c r="GK12" s="1276"/>
      <c r="GL12" s="1276"/>
      <c r="GM12" s="1276"/>
      <c r="GN12" s="1276"/>
      <c r="GO12" s="1276"/>
      <c r="GP12" s="1276"/>
      <c r="GQ12" s="1276"/>
      <c r="GR12" s="1276"/>
      <c r="GS12" s="1276"/>
      <c r="GT12" s="1276"/>
      <c r="GU12" s="1276"/>
      <c r="GV12" s="1276"/>
      <c r="GW12" s="1276"/>
      <c r="GX12" s="1276"/>
      <c r="GY12" s="1276"/>
      <c r="GZ12" s="1276"/>
      <c r="HA12" s="1276"/>
      <c r="HB12" s="1276"/>
      <c r="HC12" s="1276"/>
      <c r="HD12" s="1276"/>
      <c r="HE12" s="1276"/>
      <c r="HF12" s="1276"/>
      <c r="HG12" s="1276"/>
      <c r="HH12" s="1276"/>
      <c r="HI12" s="1276"/>
      <c r="HJ12" s="1276"/>
      <c r="HK12" s="1276"/>
      <c r="HL12" s="1276"/>
      <c r="HM12" s="1276"/>
      <c r="HN12" s="1276"/>
      <c r="HO12" s="1276"/>
      <c r="HP12" s="1276"/>
      <c r="HQ12" s="1276"/>
      <c r="HR12" s="1276"/>
      <c r="HS12" s="1276"/>
      <c r="HT12" s="1276"/>
      <c r="HU12" s="1276"/>
      <c r="HV12" s="1276"/>
      <c r="HW12" s="1276"/>
      <c r="HX12" s="1276"/>
      <c r="HY12" s="1276"/>
      <c r="HZ12" s="1276"/>
      <c r="IA12" s="1276"/>
      <c r="IB12" s="1276"/>
      <c r="IC12" s="1276"/>
      <c r="ID12" s="1276"/>
      <c r="IE12" s="1276"/>
      <c r="IF12" s="1276"/>
      <c r="IG12" s="1276"/>
      <c r="IH12" s="1276"/>
      <c r="II12" s="1276"/>
      <c r="IJ12" s="1276"/>
      <c r="IK12" s="1276"/>
      <c r="IL12" s="1276"/>
      <c r="IM12" s="1276"/>
      <c r="IN12" s="1276"/>
      <c r="IO12" s="1276"/>
      <c r="IP12" s="1276"/>
      <c r="IQ12" s="1276"/>
      <c r="IR12" s="1276"/>
      <c r="IS12" s="1276"/>
      <c r="IT12" s="1276"/>
      <c r="IU12" s="1276"/>
      <c r="IV12" s="1276"/>
    </row>
    <row r="13" spans="1:257" ht="14.25">
      <c r="A13" s="1277"/>
      <c r="B13" s="1278" t="s">
        <v>1202</v>
      </c>
      <c r="C13" s="1279">
        <v>43941</v>
      </c>
      <c r="D13" s="1280">
        <v>3.85</v>
      </c>
      <c r="E13" s="1280">
        <f>D13</f>
        <v>3.85</v>
      </c>
      <c r="F13" s="1280">
        <f>D13</f>
        <v>3.85</v>
      </c>
      <c r="G13" s="1280">
        <f>D13</f>
        <v>3.85</v>
      </c>
      <c r="H13" s="1280">
        <v>4.6500000000000004</v>
      </c>
      <c r="I13" s="1280"/>
      <c r="J13" s="1280"/>
      <c r="K13" s="1277"/>
      <c r="L13" s="1278" t="s">
        <v>1202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c r="B14" s="1284"/>
      <c r="C14" s="1285">
        <v>43881</v>
      </c>
      <c r="D14" s="1284">
        <v>4.05</v>
      </c>
      <c r="E14" s="1284">
        <f>D14</f>
        <v>4.05</v>
      </c>
      <c r="F14" s="1284">
        <f>D14</f>
        <v>4.05</v>
      </c>
      <c r="G14" s="1284">
        <f>D14</f>
        <v>4.05</v>
      </c>
      <c r="H14" s="1284">
        <v>4.75</v>
      </c>
      <c r="I14" s="1284"/>
      <c r="J14" s="1284"/>
      <c r="L14" s="1284"/>
      <c r="M14" s="1285">
        <v>42301</v>
      </c>
      <c r="N14" s="1284">
        <v>0.35</v>
      </c>
      <c r="O14" s="1284">
        <v>1.1000000000000001</v>
      </c>
      <c r="P14" s="1284">
        <v>1.3</v>
      </c>
      <c r="Q14" s="1284">
        <v>1.5</v>
      </c>
      <c r="R14" s="1284">
        <v>2.1</v>
      </c>
      <c r="S14" s="1284">
        <v>2.75</v>
      </c>
      <c r="T14" s="1284"/>
      <c r="U14" s="1284"/>
      <c r="V14" s="1284"/>
      <c r="W14" s="1284"/>
      <c r="X14" s="1284"/>
      <c r="Y14" s="1284"/>
      <c r="Z14" s="1284"/>
    </row>
    <row r="15" spans="1:257">
      <c r="B15" s="1284"/>
      <c r="C15" s="1285">
        <v>43789</v>
      </c>
      <c r="D15" s="1284">
        <v>4.1500000000000004</v>
      </c>
      <c r="E15" s="1284">
        <f>D15</f>
        <v>4.1500000000000004</v>
      </c>
      <c r="F15" s="1284">
        <f>D15</f>
        <v>4.1500000000000004</v>
      </c>
      <c r="G15" s="1284">
        <f>D15</f>
        <v>4.1500000000000004</v>
      </c>
      <c r="H15" s="1284">
        <v>4.8</v>
      </c>
      <c r="I15" s="1284"/>
      <c r="J15" s="1284"/>
      <c r="L15" s="1284"/>
      <c r="M15" s="1285">
        <v>42242</v>
      </c>
      <c r="N15" s="1284">
        <v>0.35</v>
      </c>
      <c r="O15" s="1284">
        <v>1.35</v>
      </c>
      <c r="P15" s="1284">
        <v>1.55</v>
      </c>
      <c r="Q15" s="1284">
        <v>1.75</v>
      </c>
      <c r="R15" s="1284">
        <v>2.35</v>
      </c>
      <c r="S15" s="1284">
        <v>3</v>
      </c>
      <c r="T15" s="1284"/>
      <c r="U15" s="1284"/>
      <c r="V15" s="1284"/>
      <c r="W15" s="1284"/>
      <c r="X15" s="1284"/>
      <c r="Y15" s="1284"/>
      <c r="Z15" s="1284"/>
    </row>
    <row r="16" spans="1:257">
      <c r="B16" s="1284"/>
      <c r="C16" s="1285">
        <v>43728</v>
      </c>
      <c r="D16" s="1284">
        <v>4.2</v>
      </c>
      <c r="E16" s="1284">
        <f>D16</f>
        <v>4.2</v>
      </c>
      <c r="F16" s="1284">
        <f>D16</f>
        <v>4.2</v>
      </c>
      <c r="G16" s="1284">
        <f>D16</f>
        <v>4.2</v>
      </c>
      <c r="H16" s="1284">
        <v>4.8499999999999996</v>
      </c>
      <c r="I16" s="1284"/>
      <c r="J16" s="1284"/>
      <c r="L16" s="1284"/>
      <c r="M16" s="1285">
        <v>42183</v>
      </c>
      <c r="N16" s="1284">
        <v>0.35</v>
      </c>
      <c r="O16" s="1284">
        <v>1.6</v>
      </c>
      <c r="P16" s="1284">
        <v>1.8</v>
      </c>
      <c r="Q16" s="1284">
        <v>2</v>
      </c>
      <c r="R16" s="1284">
        <v>2.6</v>
      </c>
      <c r="S16" s="1284">
        <v>3.25</v>
      </c>
      <c r="T16" s="1284"/>
      <c r="U16" s="1284"/>
      <c r="V16" s="1284"/>
      <c r="W16" s="1284"/>
      <c r="X16" s="1284"/>
      <c r="Y16" s="1284"/>
      <c r="Z16" s="1284"/>
    </row>
    <row r="17" spans="1:256" s="3148" customFormat="1" ht="14.25">
      <c r="A17" s="3145"/>
      <c r="B17" s="1278" t="s">
        <v>2884</v>
      </c>
      <c r="C17" s="1287">
        <v>43697</v>
      </c>
      <c r="D17" s="3146">
        <v>4.25</v>
      </c>
      <c r="E17" s="3146">
        <f>D17</f>
        <v>4.25</v>
      </c>
      <c r="F17" s="3146">
        <f>D17</f>
        <v>4.25</v>
      </c>
      <c r="G17" s="3146">
        <f>D17</f>
        <v>4.25</v>
      </c>
      <c r="H17" s="3146">
        <v>4.8499999999999996</v>
      </c>
      <c r="I17" s="3146"/>
      <c r="J17" s="3146"/>
      <c r="K17" s="3145"/>
      <c r="L17" s="1284"/>
      <c r="M17" s="1285">
        <v>42135</v>
      </c>
      <c r="N17" s="1284">
        <v>0.35</v>
      </c>
      <c r="O17" s="1284">
        <v>1.85</v>
      </c>
      <c r="P17" s="1284">
        <v>2.0499999999999998</v>
      </c>
      <c r="Q17" s="1284">
        <v>2.25</v>
      </c>
      <c r="R17" s="1284">
        <v>2.85</v>
      </c>
      <c r="S17" s="1284">
        <v>3.5</v>
      </c>
      <c r="T17" s="1284"/>
      <c r="U17" s="1284"/>
      <c r="V17" s="1284"/>
      <c r="W17" s="1284"/>
      <c r="X17" s="1284"/>
      <c r="Y17" s="1284"/>
      <c r="Z17" s="1284"/>
      <c r="AA17" s="3147"/>
      <c r="AB17" s="3147"/>
      <c r="AC17" s="3147"/>
      <c r="AD17" s="3147"/>
      <c r="AE17" s="3147"/>
      <c r="AF17" s="3147"/>
      <c r="AG17" s="3147"/>
      <c r="AH17" s="3147"/>
      <c r="AI17" s="3147"/>
      <c r="AJ17" s="3147"/>
      <c r="AK17" s="3147"/>
      <c r="AL17" s="3147"/>
      <c r="AM17" s="3147"/>
      <c r="AN17" s="3147"/>
      <c r="AO17" s="3147"/>
      <c r="AP17" s="3147"/>
      <c r="AQ17" s="3147"/>
      <c r="AR17" s="3147"/>
      <c r="AS17" s="3147"/>
      <c r="AT17" s="3147"/>
      <c r="AU17" s="3147"/>
      <c r="AV17" s="3147"/>
      <c r="AW17" s="3147"/>
      <c r="AX17" s="3147"/>
      <c r="AY17" s="3147"/>
      <c r="AZ17" s="3147"/>
      <c r="BA17" s="3147"/>
      <c r="BB17" s="3147"/>
      <c r="BC17" s="3147"/>
      <c r="BD17" s="3147"/>
      <c r="BE17" s="3147"/>
      <c r="BF17" s="3147"/>
      <c r="BG17" s="3147"/>
      <c r="BH17" s="3147"/>
      <c r="BI17" s="3147"/>
      <c r="BJ17" s="3147"/>
      <c r="BK17" s="3147"/>
      <c r="BL17" s="3147"/>
      <c r="BM17" s="3147"/>
      <c r="BN17" s="3147"/>
      <c r="BO17" s="3147"/>
      <c r="BP17" s="3147"/>
      <c r="BQ17" s="3147"/>
      <c r="BR17" s="3147"/>
      <c r="BS17" s="3147"/>
      <c r="BT17" s="3147"/>
      <c r="BU17" s="3147"/>
      <c r="BV17" s="3147"/>
      <c r="BW17" s="3147"/>
      <c r="BX17" s="3147"/>
      <c r="BY17" s="3147"/>
      <c r="BZ17" s="3147"/>
      <c r="CA17" s="3147"/>
      <c r="CB17" s="3147"/>
      <c r="CC17" s="3147"/>
      <c r="CD17" s="3147"/>
      <c r="CE17" s="3147"/>
      <c r="CF17" s="3147"/>
      <c r="CG17" s="3147"/>
      <c r="CH17" s="3147"/>
      <c r="CI17" s="3147"/>
      <c r="CJ17" s="3147"/>
      <c r="CK17" s="3147"/>
      <c r="CL17" s="3147"/>
      <c r="CM17" s="3147"/>
      <c r="CN17" s="3147"/>
      <c r="CO17" s="3147"/>
      <c r="CP17" s="3147"/>
      <c r="CQ17" s="3147"/>
      <c r="CR17" s="3147"/>
      <c r="CS17" s="3147"/>
      <c r="CT17" s="3147"/>
      <c r="CU17" s="3147"/>
      <c r="CV17" s="3147"/>
      <c r="CW17" s="3147"/>
      <c r="CX17" s="3147"/>
      <c r="CY17" s="3147"/>
      <c r="CZ17" s="3147"/>
      <c r="DA17" s="3147"/>
      <c r="DB17" s="3147"/>
      <c r="DC17" s="3147"/>
      <c r="DD17" s="3147"/>
      <c r="DE17" s="3147"/>
      <c r="DF17" s="3147"/>
      <c r="DG17" s="3147"/>
      <c r="DH17" s="3147"/>
      <c r="DI17" s="3147"/>
      <c r="DJ17" s="3147"/>
      <c r="DK17" s="3147"/>
      <c r="DL17" s="3147"/>
      <c r="DM17" s="3147"/>
      <c r="DN17" s="3147"/>
      <c r="DO17" s="3147"/>
      <c r="DP17" s="3147"/>
      <c r="DQ17" s="3147"/>
      <c r="DR17" s="3147"/>
      <c r="DS17" s="3147"/>
      <c r="DT17" s="3147"/>
      <c r="DU17" s="3147"/>
      <c r="DV17" s="3147"/>
      <c r="DW17" s="3147"/>
      <c r="DX17" s="3147"/>
      <c r="DY17" s="3147"/>
      <c r="DZ17" s="3147"/>
      <c r="EA17" s="3147"/>
      <c r="EB17" s="3147"/>
      <c r="EC17" s="3147"/>
      <c r="ED17" s="3147"/>
      <c r="EE17" s="3147"/>
      <c r="EF17" s="3147"/>
      <c r="EG17" s="3147"/>
      <c r="EH17" s="3147"/>
      <c r="EI17" s="3147"/>
      <c r="EJ17" s="3147"/>
      <c r="EK17" s="3147"/>
      <c r="EL17" s="3147"/>
      <c r="EM17" s="3147"/>
      <c r="EN17" s="3147"/>
      <c r="EO17" s="3147"/>
      <c r="EP17" s="3147"/>
      <c r="EQ17" s="3147"/>
      <c r="ER17" s="3147"/>
      <c r="ES17" s="3147"/>
      <c r="ET17" s="3147"/>
      <c r="EU17" s="3147"/>
      <c r="EV17" s="3147"/>
      <c r="EW17" s="3147"/>
      <c r="EX17" s="3147"/>
      <c r="EY17" s="3147"/>
      <c r="EZ17" s="3147"/>
      <c r="FA17" s="3147"/>
      <c r="FB17" s="3147"/>
      <c r="FC17" s="3147"/>
      <c r="FD17" s="3147"/>
      <c r="FE17" s="3147"/>
      <c r="FF17" s="3147"/>
      <c r="FG17" s="3147"/>
      <c r="FH17" s="3147"/>
      <c r="FI17" s="3147"/>
      <c r="FJ17" s="3147"/>
      <c r="FK17" s="3147"/>
      <c r="FL17" s="3147"/>
      <c r="FM17" s="3147"/>
      <c r="FN17" s="3147"/>
      <c r="FO17" s="3147"/>
      <c r="FP17" s="3147"/>
      <c r="FQ17" s="3147"/>
      <c r="FR17" s="3147"/>
      <c r="FS17" s="3147"/>
      <c r="FT17" s="3147"/>
      <c r="FU17" s="3147"/>
      <c r="FV17" s="3147"/>
      <c r="FW17" s="3147"/>
      <c r="FX17" s="3147"/>
      <c r="FY17" s="3147"/>
      <c r="FZ17" s="3147"/>
      <c r="GA17" s="3147"/>
      <c r="GB17" s="3147"/>
      <c r="GC17" s="3147"/>
      <c r="GD17" s="3147"/>
      <c r="GE17" s="3147"/>
      <c r="GF17" s="3147"/>
      <c r="GG17" s="3147"/>
      <c r="GH17" s="3147"/>
      <c r="GI17" s="3147"/>
      <c r="GJ17" s="3147"/>
      <c r="GK17" s="3147"/>
      <c r="GL17" s="3147"/>
      <c r="GM17" s="3147"/>
      <c r="GN17" s="3147"/>
      <c r="GO17" s="3147"/>
      <c r="GP17" s="3147"/>
      <c r="GQ17" s="3147"/>
      <c r="GR17" s="3147"/>
      <c r="GS17" s="3147"/>
      <c r="GT17" s="3147"/>
      <c r="GU17" s="3147"/>
      <c r="GV17" s="3147"/>
      <c r="GW17" s="3147"/>
      <c r="GX17" s="3147"/>
      <c r="GY17" s="3147"/>
      <c r="GZ17" s="3147"/>
      <c r="HA17" s="3147"/>
      <c r="HB17" s="3147"/>
      <c r="HC17" s="3147"/>
      <c r="HD17" s="3147"/>
      <c r="HE17" s="3147"/>
      <c r="HF17" s="3147"/>
      <c r="HG17" s="3147"/>
      <c r="HH17" s="3147"/>
      <c r="HI17" s="3147"/>
      <c r="HJ17" s="3147"/>
      <c r="HK17" s="3147"/>
      <c r="HL17" s="3147"/>
      <c r="HM17" s="3147"/>
      <c r="HN17" s="3147"/>
      <c r="HO17" s="3147"/>
      <c r="HP17" s="3147"/>
      <c r="HQ17" s="3147"/>
      <c r="HR17" s="3147"/>
      <c r="HS17" s="3147"/>
      <c r="HT17" s="3147"/>
      <c r="HU17" s="3147"/>
      <c r="HV17" s="3147"/>
      <c r="HW17" s="3147"/>
      <c r="HX17" s="3147"/>
      <c r="HY17" s="3147"/>
      <c r="HZ17" s="3147"/>
      <c r="IA17" s="3147"/>
      <c r="IB17" s="3147"/>
      <c r="IC17" s="3147"/>
      <c r="ID17" s="3147"/>
      <c r="IE17" s="3147"/>
      <c r="IF17" s="3147"/>
      <c r="IG17" s="3147"/>
      <c r="IH17" s="3147"/>
      <c r="II17" s="3147"/>
      <c r="IJ17" s="3147"/>
      <c r="IK17" s="3147"/>
      <c r="IL17" s="3147"/>
      <c r="IM17" s="3147"/>
      <c r="IN17" s="3147"/>
      <c r="IO17" s="3147"/>
      <c r="IP17" s="3147"/>
      <c r="IQ17" s="3147"/>
      <c r="IR17" s="3147"/>
      <c r="IS17" s="3147"/>
      <c r="IT17" s="3147"/>
      <c r="IU17" s="3147"/>
      <c r="IV17" s="3147"/>
    </row>
    <row r="18" spans="1:256">
      <c r="B18" s="1284"/>
      <c r="C18" s="1285">
        <v>42301</v>
      </c>
      <c r="D18" s="1284">
        <v>4.3499999999999996</v>
      </c>
      <c r="E18" s="1284">
        <v>4.3499999999999996</v>
      </c>
      <c r="F18" s="1284">
        <v>4.75</v>
      </c>
      <c r="G18" s="1284">
        <v>4.75</v>
      </c>
      <c r="H18" s="1284">
        <v>4.9000000000000004</v>
      </c>
      <c r="I18" s="1284">
        <v>2.75</v>
      </c>
      <c r="J18" s="1284">
        <v>3.25</v>
      </c>
      <c r="L18" s="1284"/>
      <c r="M18" s="1285">
        <v>42064</v>
      </c>
      <c r="N18" s="1284">
        <v>0.35</v>
      </c>
      <c r="O18" s="1284">
        <v>2.1</v>
      </c>
      <c r="P18" s="1284">
        <v>2.2999999999999998</v>
      </c>
      <c r="Q18" s="1284">
        <v>2.5</v>
      </c>
      <c r="R18" s="1284">
        <v>3.1</v>
      </c>
      <c r="S18" s="1284">
        <v>3.75</v>
      </c>
      <c r="T18" s="1284">
        <v>4.5</v>
      </c>
      <c r="U18" s="1284">
        <v>2.35</v>
      </c>
      <c r="V18" s="1284">
        <v>2.5499999999999998</v>
      </c>
      <c r="W18" s="1284">
        <v>2.75</v>
      </c>
      <c r="X18" s="1284"/>
      <c r="Y18" s="1284">
        <v>0.8</v>
      </c>
      <c r="Z18" s="1284">
        <v>1.35</v>
      </c>
    </row>
    <row r="19" spans="1:256" ht="15">
      <c r="B19" s="1284"/>
      <c r="C19" s="1285">
        <v>42242</v>
      </c>
      <c r="D19" s="1284">
        <v>4.5999999999999996</v>
      </c>
      <c r="E19" s="1284">
        <v>4.5999999999999996</v>
      </c>
      <c r="F19" s="1284">
        <v>5</v>
      </c>
      <c r="G19" s="1284">
        <v>5</v>
      </c>
      <c r="H19" s="1284">
        <v>5.15</v>
      </c>
      <c r="I19" s="1284">
        <v>2.75</v>
      </c>
      <c r="J19" s="1284">
        <v>3.25</v>
      </c>
      <c r="L19" s="1284"/>
      <c r="M19" s="1285">
        <v>41965</v>
      </c>
      <c r="N19" s="1284">
        <v>0.35</v>
      </c>
      <c r="O19" s="1284">
        <v>2.35</v>
      </c>
      <c r="P19" s="1284">
        <v>2.5499999999999998</v>
      </c>
      <c r="Q19" s="1284">
        <v>2.75</v>
      </c>
      <c r="R19" s="1284">
        <v>3.35</v>
      </c>
      <c r="S19" s="1284">
        <v>4</v>
      </c>
      <c r="T19" s="1284">
        <v>4.75</v>
      </c>
      <c r="U19" s="1286">
        <v>2.35</v>
      </c>
      <c r="V19" s="1286">
        <v>2.5499999999999998</v>
      </c>
      <c r="W19" s="1286">
        <v>2.75</v>
      </c>
      <c r="X19" s="1284"/>
      <c r="Y19" s="1286">
        <v>0.8</v>
      </c>
      <c r="Z19" s="1286">
        <v>1.35</v>
      </c>
    </row>
    <row r="20" spans="1:256">
      <c r="B20" s="1284"/>
      <c r="C20" s="1285">
        <v>42183</v>
      </c>
      <c r="D20" s="1284">
        <v>4.8499999999999996</v>
      </c>
      <c r="E20" s="1284">
        <v>4.8499999999999996</v>
      </c>
      <c r="F20" s="1284">
        <v>5.25</v>
      </c>
      <c r="G20" s="1284">
        <v>5.25</v>
      </c>
      <c r="H20" s="1284">
        <v>5.4</v>
      </c>
      <c r="I20" s="1284">
        <v>3</v>
      </c>
      <c r="J20" s="1284">
        <v>3.5</v>
      </c>
      <c r="L20" s="1284"/>
      <c r="M20" s="1285">
        <v>41096</v>
      </c>
      <c r="N20" s="1284">
        <v>0.35</v>
      </c>
      <c r="O20" s="1284">
        <v>2.6</v>
      </c>
      <c r="P20" s="1284">
        <v>2.8</v>
      </c>
      <c r="Q20" s="1284">
        <v>3</v>
      </c>
      <c r="R20" s="1284">
        <v>3.75</v>
      </c>
      <c r="S20" s="1284">
        <v>4.25</v>
      </c>
      <c r="T20" s="1284">
        <v>4.75</v>
      </c>
      <c r="U20" s="1284">
        <v>2.85</v>
      </c>
      <c r="V20" s="1284">
        <v>2.9</v>
      </c>
      <c r="W20" s="1284">
        <v>3</v>
      </c>
      <c r="X20" s="1284">
        <v>1.1499999999999999</v>
      </c>
      <c r="Y20" s="1284">
        <v>0.8</v>
      </c>
      <c r="Z20" s="1284">
        <v>1.35</v>
      </c>
    </row>
    <row r="21" spans="1:256">
      <c r="B21" s="1284"/>
      <c r="C21" s="1285">
        <v>42135</v>
      </c>
      <c r="D21" s="1284">
        <v>5.0999999999999996</v>
      </c>
      <c r="E21" s="1284">
        <v>5.0999999999999996</v>
      </c>
      <c r="F21" s="1284">
        <v>5.5</v>
      </c>
      <c r="G21" s="1284">
        <v>5.5</v>
      </c>
      <c r="H21" s="1284">
        <v>5.65</v>
      </c>
      <c r="I21" s="1284">
        <v>3.25</v>
      </c>
      <c r="J21" s="1284">
        <v>3.75</v>
      </c>
      <c r="L21" s="1284"/>
      <c r="M21" s="1285">
        <v>41068</v>
      </c>
      <c r="N21" s="1284">
        <v>0.4</v>
      </c>
      <c r="O21" s="1284">
        <v>2.85</v>
      </c>
      <c r="P21" s="1284">
        <v>3.05</v>
      </c>
      <c r="Q21" s="1284">
        <v>3.25</v>
      </c>
      <c r="R21" s="1284">
        <v>4.0999999999999996</v>
      </c>
      <c r="S21" s="1284">
        <v>4.6500000000000004</v>
      </c>
      <c r="T21" s="1284">
        <v>5.0999999999999996</v>
      </c>
      <c r="U21" s="1284">
        <v>3.1</v>
      </c>
      <c r="V21" s="1284">
        <v>3.15</v>
      </c>
      <c r="W21" s="1284">
        <v>3.25</v>
      </c>
      <c r="X21" s="1284">
        <v>1.31</v>
      </c>
      <c r="Y21" s="1284">
        <v>0.94</v>
      </c>
      <c r="Z21" s="1284">
        <v>1.49</v>
      </c>
    </row>
    <row r="22" spans="1:256">
      <c r="B22" s="1284"/>
      <c r="C22" s="1285">
        <v>42064</v>
      </c>
      <c r="D22" s="1284">
        <v>5.35</v>
      </c>
      <c r="E22" s="1284">
        <v>5.35</v>
      </c>
      <c r="F22" s="1284">
        <v>5.75</v>
      </c>
      <c r="G22" s="1284">
        <v>5.75</v>
      </c>
      <c r="H22" s="1284">
        <v>5.9</v>
      </c>
      <c r="I22" s="1284"/>
      <c r="J22" s="1284"/>
      <c r="L22" s="1284"/>
      <c r="M22" s="1285">
        <v>40731</v>
      </c>
      <c r="N22" s="1284">
        <v>0.5</v>
      </c>
      <c r="O22" s="1284">
        <v>3.1</v>
      </c>
      <c r="P22" s="1284">
        <v>3.3</v>
      </c>
      <c r="Q22" s="1284">
        <v>3.5</v>
      </c>
      <c r="R22" s="1284">
        <v>4.4000000000000004</v>
      </c>
      <c r="S22" s="1284">
        <v>5</v>
      </c>
      <c r="T22" s="1284">
        <v>5.5</v>
      </c>
      <c r="U22" s="1284">
        <v>3.1</v>
      </c>
      <c r="V22" s="1284">
        <v>3.3</v>
      </c>
      <c r="W22" s="1284">
        <v>3.5</v>
      </c>
      <c r="X22" s="1284">
        <v>1.31</v>
      </c>
      <c r="Y22" s="1284">
        <v>0.95</v>
      </c>
      <c r="Z22" s="1284">
        <v>1.49</v>
      </c>
    </row>
    <row r="23" spans="1:256">
      <c r="B23" s="1284"/>
      <c r="C23" s="1285">
        <v>41965</v>
      </c>
      <c r="D23" s="1284">
        <v>5.6</v>
      </c>
      <c r="E23" s="1284">
        <v>5.6</v>
      </c>
      <c r="F23" s="1284">
        <v>6</v>
      </c>
      <c r="G23" s="1284">
        <v>6</v>
      </c>
      <c r="H23" s="1284">
        <v>6.15</v>
      </c>
      <c r="I23" s="1284"/>
      <c r="J23" s="1284"/>
      <c r="L23" s="1284"/>
      <c r="M23" s="1285">
        <v>40639</v>
      </c>
      <c r="N23" s="1284">
        <v>0.5</v>
      </c>
      <c r="O23" s="1284">
        <v>2.85</v>
      </c>
      <c r="P23" s="1284">
        <v>3.05</v>
      </c>
      <c r="Q23" s="1284">
        <v>3.25</v>
      </c>
      <c r="R23" s="1284">
        <v>4.1500000000000004</v>
      </c>
      <c r="S23" s="1284">
        <v>4.75</v>
      </c>
      <c r="T23" s="1284">
        <v>5.25</v>
      </c>
      <c r="U23" s="1284">
        <v>2.85</v>
      </c>
      <c r="V23" s="1284">
        <v>3.05</v>
      </c>
      <c r="W23" s="1284">
        <v>3.25</v>
      </c>
      <c r="X23" s="1284">
        <v>1.31</v>
      </c>
      <c r="Y23" s="1284">
        <v>0.95</v>
      </c>
      <c r="Z23" s="1284">
        <v>1.49</v>
      </c>
    </row>
    <row r="24" spans="1:256">
      <c r="B24" s="1284"/>
      <c r="C24" s="1285">
        <v>41096</v>
      </c>
      <c r="D24" s="1284">
        <v>5.6</v>
      </c>
      <c r="E24" s="1284">
        <v>6</v>
      </c>
      <c r="F24" s="1284">
        <v>6.15</v>
      </c>
      <c r="G24" s="1284">
        <v>6.4</v>
      </c>
      <c r="H24" s="1284">
        <v>6.55</v>
      </c>
      <c r="I24" s="1284">
        <v>4</v>
      </c>
      <c r="J24" s="1284">
        <v>4.5</v>
      </c>
      <c r="L24" s="1284"/>
      <c r="M24" s="1285">
        <v>40583</v>
      </c>
      <c r="N24" s="1284">
        <v>0.4</v>
      </c>
      <c r="O24" s="1284">
        <v>2.6</v>
      </c>
      <c r="P24" s="1284">
        <v>2.8</v>
      </c>
      <c r="Q24" s="1284">
        <v>3</v>
      </c>
      <c r="R24" s="1284">
        <v>3.9</v>
      </c>
      <c r="S24" s="1284">
        <v>4.5</v>
      </c>
      <c r="T24" s="1284">
        <v>5</v>
      </c>
      <c r="U24" s="1284">
        <v>2.6</v>
      </c>
      <c r="V24" s="1284">
        <v>2.8</v>
      </c>
      <c r="W24" s="1284">
        <v>3</v>
      </c>
      <c r="X24" s="1284">
        <v>1.21</v>
      </c>
      <c r="Y24" s="1284">
        <v>0.85</v>
      </c>
      <c r="Z24" s="1284">
        <v>1.39</v>
      </c>
    </row>
    <row r="25" spans="1:256">
      <c r="B25" s="1284"/>
      <c r="C25" s="1285">
        <v>41068</v>
      </c>
      <c r="D25" s="1284">
        <v>5.85</v>
      </c>
      <c r="E25" s="1284">
        <v>6.31</v>
      </c>
      <c r="F25" s="1284">
        <v>6.4</v>
      </c>
      <c r="G25" s="1284">
        <v>6.65</v>
      </c>
      <c r="H25" s="1284">
        <v>6.8</v>
      </c>
      <c r="I25" s="1284">
        <v>4.2</v>
      </c>
      <c r="J25" s="1284">
        <v>4.7</v>
      </c>
      <c r="L25" s="1284"/>
      <c r="M25" s="1285">
        <v>40538</v>
      </c>
      <c r="N25" s="1284">
        <v>0.36</v>
      </c>
      <c r="O25" s="1284">
        <v>2.25</v>
      </c>
      <c r="P25" s="1284">
        <v>2.5</v>
      </c>
      <c r="Q25" s="1284">
        <v>2.75</v>
      </c>
      <c r="R25" s="1284">
        <v>3.55</v>
      </c>
      <c r="S25" s="1284">
        <v>4.1500000000000004</v>
      </c>
      <c r="T25" s="1284">
        <v>4.55</v>
      </c>
      <c r="U25" s="1284">
        <v>2.16</v>
      </c>
      <c r="V25" s="1284">
        <v>2.5</v>
      </c>
      <c r="W25" s="1284">
        <v>2.85</v>
      </c>
      <c r="X25" s="1284">
        <v>1.17</v>
      </c>
      <c r="Y25" s="1284">
        <v>0.81</v>
      </c>
      <c r="Z25" s="1284">
        <v>1.35</v>
      </c>
    </row>
    <row r="26" spans="1:256">
      <c r="B26" s="1284"/>
      <c r="C26" s="1285">
        <v>40731</v>
      </c>
      <c r="D26" s="1284">
        <v>6.1</v>
      </c>
      <c r="E26" s="1284">
        <v>6.56</v>
      </c>
      <c r="F26" s="1284">
        <v>6.65</v>
      </c>
      <c r="G26" s="1284">
        <v>6.9</v>
      </c>
      <c r="H26" s="1284">
        <v>7.05</v>
      </c>
      <c r="I26" s="1284">
        <v>4.45</v>
      </c>
      <c r="J26" s="1284">
        <v>4.9000000000000004</v>
      </c>
      <c r="L26" s="1284"/>
      <c r="M26" s="1285">
        <v>40471</v>
      </c>
      <c r="N26" s="1284">
        <v>0.36</v>
      </c>
      <c r="O26" s="1284">
        <v>1.91</v>
      </c>
      <c r="P26" s="1284">
        <v>2.2000000000000002</v>
      </c>
      <c r="Q26" s="1284">
        <v>2.5</v>
      </c>
      <c r="R26" s="1284">
        <v>3.25</v>
      </c>
      <c r="S26" s="1284">
        <v>3.85</v>
      </c>
      <c r="T26" s="1284">
        <v>4.2</v>
      </c>
      <c r="U26" s="1284">
        <v>1.91</v>
      </c>
      <c r="V26" s="1284">
        <v>2.2000000000000002</v>
      </c>
      <c r="W26" s="1284">
        <v>2.5</v>
      </c>
      <c r="X26" s="1284">
        <v>1.17</v>
      </c>
      <c r="Y26" s="1284">
        <v>0.81</v>
      </c>
      <c r="Z26" s="1284">
        <v>1.35</v>
      </c>
    </row>
    <row r="27" spans="1:256">
      <c r="B27" s="1284"/>
      <c r="C27" s="1285">
        <v>40639</v>
      </c>
      <c r="D27" s="1284">
        <v>5.85</v>
      </c>
      <c r="E27" s="1284">
        <v>6.31</v>
      </c>
      <c r="F27" s="1284">
        <v>6.4</v>
      </c>
      <c r="G27" s="1284">
        <v>6.65</v>
      </c>
      <c r="H27" s="1284">
        <v>6.8</v>
      </c>
      <c r="I27" s="1284">
        <v>4.2</v>
      </c>
      <c r="J27" s="1284">
        <v>4.7</v>
      </c>
      <c r="L27" s="1284"/>
      <c r="M27" s="1285">
        <v>39805</v>
      </c>
      <c r="N27" s="1284">
        <v>0.36</v>
      </c>
      <c r="O27" s="1284">
        <v>1.71</v>
      </c>
      <c r="P27" s="1284">
        <v>1.98</v>
      </c>
      <c r="Q27" s="1284">
        <v>2.25</v>
      </c>
      <c r="R27" s="1284">
        <v>2.79</v>
      </c>
      <c r="S27" s="1284">
        <v>3.33</v>
      </c>
      <c r="T27" s="1284">
        <v>3.6</v>
      </c>
      <c r="U27" s="1284">
        <v>1.71</v>
      </c>
      <c r="V27" s="1284">
        <v>1.98</v>
      </c>
      <c r="W27" s="1284">
        <v>2.25</v>
      </c>
      <c r="X27" s="1284">
        <v>1.17</v>
      </c>
      <c r="Y27" s="1284">
        <v>0.81</v>
      </c>
      <c r="Z27" s="1284">
        <v>1.35</v>
      </c>
    </row>
    <row r="28" spans="1:256">
      <c r="B28" s="1284"/>
      <c r="C28" s="1285">
        <v>40583</v>
      </c>
      <c r="D28" s="1284">
        <v>5.6</v>
      </c>
      <c r="E28" s="1284">
        <v>6.06</v>
      </c>
      <c r="F28" s="1284">
        <v>6.1</v>
      </c>
      <c r="G28" s="1284">
        <v>6.45</v>
      </c>
      <c r="H28" s="1284">
        <v>6.6</v>
      </c>
      <c r="I28" s="1284">
        <v>4</v>
      </c>
      <c r="J28" s="1284">
        <v>4.5</v>
      </c>
      <c r="L28" s="1284"/>
      <c r="M28" s="1285">
        <v>39779</v>
      </c>
      <c r="N28" s="1284">
        <v>0.36</v>
      </c>
      <c r="O28" s="1284">
        <v>1.98</v>
      </c>
      <c r="P28" s="1284">
        <v>2.25</v>
      </c>
      <c r="Q28" s="1284">
        <v>2.52</v>
      </c>
      <c r="R28" s="1284">
        <v>3.06</v>
      </c>
      <c r="S28" s="1284">
        <v>3.6</v>
      </c>
      <c r="T28" s="1284">
        <v>3.87</v>
      </c>
      <c r="U28" s="1284">
        <v>1.98</v>
      </c>
      <c r="V28" s="1284">
        <v>2.25</v>
      </c>
      <c r="W28" s="1284">
        <v>2.52</v>
      </c>
      <c r="X28" s="1284">
        <v>1.17</v>
      </c>
      <c r="Y28" s="1284">
        <v>0.81</v>
      </c>
      <c r="Z28" s="1284">
        <v>1.35</v>
      </c>
    </row>
    <row r="29" spans="1:256">
      <c r="B29" s="1284"/>
      <c r="C29" s="1285">
        <v>40538</v>
      </c>
      <c r="D29" s="1284">
        <v>5.35</v>
      </c>
      <c r="E29" s="1284">
        <v>5.81</v>
      </c>
      <c r="F29" s="1284">
        <v>5.85</v>
      </c>
      <c r="G29" s="1284">
        <v>6.22</v>
      </c>
      <c r="H29" s="1284">
        <v>6.4</v>
      </c>
      <c r="I29" s="1284">
        <v>3.75</v>
      </c>
      <c r="J29" s="1284">
        <v>4.3</v>
      </c>
      <c r="L29" s="1284"/>
      <c r="M29" s="1285">
        <v>39751</v>
      </c>
      <c r="N29" s="1284">
        <v>0.72</v>
      </c>
      <c r="O29" s="1284">
        <v>2.88</v>
      </c>
      <c r="P29" s="1284">
        <v>3.24</v>
      </c>
      <c r="Q29" s="1284">
        <v>3.6</v>
      </c>
      <c r="R29" s="1284">
        <v>4.1399999999999997</v>
      </c>
      <c r="S29" s="1284">
        <v>4.7699999999999996</v>
      </c>
      <c r="T29" s="1284">
        <v>5.13</v>
      </c>
      <c r="U29" s="1284">
        <v>2.88</v>
      </c>
      <c r="V29" s="1284">
        <v>3.24</v>
      </c>
      <c r="W29" s="1284">
        <v>3.6</v>
      </c>
      <c r="X29" s="1284">
        <v>1.53</v>
      </c>
      <c r="Y29" s="1284">
        <v>1.17</v>
      </c>
      <c r="Z29" s="1284">
        <v>1.71</v>
      </c>
    </row>
    <row r="30" spans="1:256">
      <c r="B30" s="1284"/>
      <c r="C30" s="1285">
        <v>40471</v>
      </c>
      <c r="D30" s="1284">
        <v>5.0999999999999996</v>
      </c>
      <c r="E30" s="1284">
        <v>5.56</v>
      </c>
      <c r="F30" s="1284">
        <v>5.6</v>
      </c>
      <c r="G30" s="1284">
        <v>5.96</v>
      </c>
      <c r="H30" s="1284">
        <v>6.14</v>
      </c>
      <c r="I30" s="1284">
        <v>3.5</v>
      </c>
      <c r="J30" s="1284">
        <v>4.05</v>
      </c>
      <c r="L30" s="1284"/>
      <c r="M30" s="1287">
        <v>39736</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39805</v>
      </c>
      <c r="D31" s="1284">
        <v>4.8600000000000003</v>
      </c>
      <c r="E31" s="1284">
        <v>5.31</v>
      </c>
      <c r="F31" s="1284">
        <v>5.4</v>
      </c>
      <c r="G31" s="1284">
        <v>5.76</v>
      </c>
      <c r="H31" s="1284">
        <v>5.94</v>
      </c>
      <c r="I31" s="1284">
        <v>3.33</v>
      </c>
      <c r="J31" s="1284">
        <v>3.87</v>
      </c>
      <c r="L31" s="1284"/>
      <c r="M31" s="1285">
        <v>39730</v>
      </c>
      <c r="N31" s="1284">
        <v>0.72</v>
      </c>
      <c r="O31" s="1284">
        <v>3.15</v>
      </c>
      <c r="P31" s="1284">
        <v>3.51</v>
      </c>
      <c r="Q31" s="1284">
        <v>3.87</v>
      </c>
      <c r="R31" s="1284">
        <v>4.41</v>
      </c>
      <c r="S31" s="1284">
        <v>5.13</v>
      </c>
      <c r="T31" s="1284">
        <v>5.58</v>
      </c>
      <c r="U31" s="1284">
        <v>3.15</v>
      </c>
      <c r="V31" s="1284">
        <v>3.51</v>
      </c>
      <c r="W31" s="1284">
        <v>3.87</v>
      </c>
      <c r="X31" s="1284">
        <v>1.53</v>
      </c>
      <c r="Y31" s="1284">
        <v>1.17</v>
      </c>
      <c r="Z31" s="1284">
        <v>1.71</v>
      </c>
    </row>
    <row r="32" spans="1:256">
      <c r="B32" s="1284"/>
      <c r="C32" s="1285">
        <v>39779</v>
      </c>
      <c r="D32" s="1284">
        <v>5.04</v>
      </c>
      <c r="E32" s="1284">
        <v>5.58</v>
      </c>
      <c r="F32" s="1284">
        <v>5.67</v>
      </c>
      <c r="G32" s="1284">
        <v>5.94</v>
      </c>
      <c r="H32" s="1284">
        <v>6.12</v>
      </c>
      <c r="I32" s="1284">
        <v>3.51</v>
      </c>
      <c r="J32" s="1284">
        <v>4.05</v>
      </c>
      <c r="L32" s="1284"/>
      <c r="M32" s="1285">
        <v>39437</v>
      </c>
      <c r="N32" s="1284">
        <v>0.72</v>
      </c>
      <c r="O32" s="1284">
        <v>3.33</v>
      </c>
      <c r="P32" s="1284">
        <v>3.78</v>
      </c>
      <c r="Q32" s="1284">
        <v>4.1399999999999997</v>
      </c>
      <c r="R32" s="1284">
        <v>4.68</v>
      </c>
      <c r="S32" s="1284">
        <v>5.4</v>
      </c>
      <c r="T32" s="1284">
        <v>5.85</v>
      </c>
      <c r="U32" s="1284">
        <v>3.33</v>
      </c>
      <c r="V32" s="1284">
        <v>3.78</v>
      </c>
      <c r="W32" s="1284">
        <v>4.1399999999999997</v>
      </c>
      <c r="X32" s="1284">
        <v>1.53</v>
      </c>
      <c r="Y32" s="1284">
        <v>1.17</v>
      </c>
      <c r="Z32" s="1284">
        <v>1.71</v>
      </c>
    </row>
    <row r="33" spans="2:26">
      <c r="B33" s="1284"/>
      <c r="C33" s="1285">
        <v>39751</v>
      </c>
      <c r="D33" s="1284">
        <v>6.03</v>
      </c>
      <c r="E33" s="1284">
        <v>6.66</v>
      </c>
      <c r="F33" s="1284">
        <v>6.75</v>
      </c>
      <c r="G33" s="1284">
        <v>7.02</v>
      </c>
      <c r="H33" s="1284">
        <v>7.2</v>
      </c>
      <c r="I33" s="1284">
        <v>4.05</v>
      </c>
      <c r="J33" s="1284">
        <v>4.59</v>
      </c>
      <c r="L33" s="1284"/>
      <c r="M33" s="1285">
        <v>39340</v>
      </c>
      <c r="N33" s="1284">
        <v>0.81</v>
      </c>
      <c r="O33" s="1284">
        <v>2.88</v>
      </c>
      <c r="P33" s="1284">
        <v>3.42</v>
      </c>
      <c r="Q33" s="1284">
        <v>3.87</v>
      </c>
      <c r="R33" s="1284">
        <v>4.5</v>
      </c>
      <c r="S33" s="1284">
        <v>5.22</v>
      </c>
      <c r="T33" s="1284">
        <v>5.76</v>
      </c>
      <c r="U33" s="1284">
        <v>2.88</v>
      </c>
      <c r="V33" s="1284">
        <v>3.42</v>
      </c>
      <c r="W33" s="1284">
        <v>3.87</v>
      </c>
      <c r="X33" s="1284">
        <v>1.53</v>
      </c>
      <c r="Y33" s="1284">
        <v>1.17</v>
      </c>
      <c r="Z33" s="1284">
        <v>1.71</v>
      </c>
    </row>
    <row r="34" spans="2:26">
      <c r="B34" s="1284"/>
      <c r="C34" s="1287">
        <v>39748</v>
      </c>
      <c r="D34" s="1284">
        <v>6.12</v>
      </c>
      <c r="E34" s="1284">
        <v>6.93</v>
      </c>
      <c r="F34" s="1284">
        <v>7.02</v>
      </c>
      <c r="G34" s="1284">
        <v>7.29</v>
      </c>
      <c r="H34" s="1284">
        <v>7.47</v>
      </c>
      <c r="I34" s="1284">
        <v>4.05</v>
      </c>
      <c r="J34" s="1284">
        <v>4.59</v>
      </c>
      <c r="L34" s="1284"/>
      <c r="M34" s="1285">
        <v>39316</v>
      </c>
      <c r="N34" s="1284">
        <v>0.81</v>
      </c>
      <c r="O34" s="1284">
        <v>2.61</v>
      </c>
      <c r="P34" s="1284">
        <v>3.15</v>
      </c>
      <c r="Q34" s="1284">
        <v>3.6</v>
      </c>
      <c r="R34" s="1284">
        <v>4.2300000000000004</v>
      </c>
      <c r="S34" s="1284">
        <v>4.95</v>
      </c>
      <c r="T34" s="1284">
        <v>5.49</v>
      </c>
      <c r="U34" s="1284">
        <v>2.61</v>
      </c>
      <c r="V34" s="1284">
        <v>3.15</v>
      </c>
      <c r="W34" s="1284">
        <v>3.6</v>
      </c>
      <c r="X34" s="1284">
        <v>1.53</v>
      </c>
      <c r="Y34" s="1284">
        <v>1.17</v>
      </c>
      <c r="Z34" s="1284">
        <v>1.71</v>
      </c>
    </row>
    <row r="35" spans="2:26">
      <c r="B35" s="1284"/>
      <c r="C35" s="1285">
        <v>39730</v>
      </c>
      <c r="D35" s="1284">
        <v>6.12</v>
      </c>
      <c r="E35" s="1284">
        <v>6.93</v>
      </c>
      <c r="F35" s="1284">
        <v>7.02</v>
      </c>
      <c r="G35" s="1284">
        <v>7.29</v>
      </c>
      <c r="H35" s="1284">
        <v>7.47</v>
      </c>
      <c r="I35" s="1284">
        <v>4.32</v>
      </c>
      <c r="J35" s="1284">
        <v>4.8600000000000003</v>
      </c>
      <c r="L35" s="1284"/>
      <c r="M35" s="1285">
        <v>39284</v>
      </c>
      <c r="N35" s="1284">
        <v>0.81</v>
      </c>
      <c r="O35" s="1284">
        <v>2.34</v>
      </c>
      <c r="P35" s="1284">
        <v>2.88</v>
      </c>
      <c r="Q35" s="1284">
        <v>3.33</v>
      </c>
      <c r="R35" s="1284">
        <v>3.96</v>
      </c>
      <c r="S35" s="1284">
        <v>4.68</v>
      </c>
      <c r="T35" s="1284">
        <v>5.22</v>
      </c>
      <c r="U35" s="1284">
        <v>2.34</v>
      </c>
      <c r="V35" s="1284">
        <v>2.88</v>
      </c>
      <c r="W35" s="1284">
        <v>3.33</v>
      </c>
      <c r="X35" s="1284">
        <v>1.53</v>
      </c>
      <c r="Y35" s="1284">
        <v>1.17</v>
      </c>
      <c r="Z35" s="1284">
        <v>1.71</v>
      </c>
    </row>
    <row r="36" spans="2:26">
      <c r="B36" s="1284"/>
      <c r="C36" s="1285">
        <v>39707</v>
      </c>
      <c r="D36" s="1284">
        <v>6.21</v>
      </c>
      <c r="E36" s="1284">
        <v>7.2</v>
      </c>
      <c r="F36" s="1284">
        <v>7.29</v>
      </c>
      <c r="G36" s="1284">
        <v>7.56</v>
      </c>
      <c r="H36" s="1284">
        <v>7.74</v>
      </c>
      <c r="I36" s="1284">
        <v>4.59</v>
      </c>
      <c r="J36" s="1284">
        <v>5.13</v>
      </c>
      <c r="L36" s="1284"/>
      <c r="M36" s="1285">
        <v>39221</v>
      </c>
      <c r="N36" s="1284">
        <v>0.72</v>
      </c>
      <c r="O36" s="1284">
        <v>2.0699999999999998</v>
      </c>
      <c r="P36" s="1284">
        <v>2.61</v>
      </c>
      <c r="Q36" s="1284">
        <v>3.06</v>
      </c>
      <c r="R36" s="1284">
        <v>3.69</v>
      </c>
      <c r="S36" s="1284">
        <v>4.41</v>
      </c>
      <c r="T36" s="1284">
        <v>4.95</v>
      </c>
      <c r="U36" s="1284">
        <v>2.0699999999999998</v>
      </c>
      <c r="V36" s="1284">
        <v>2.61</v>
      </c>
      <c r="W36" s="1284">
        <v>3.06</v>
      </c>
      <c r="X36" s="1284">
        <v>1.44</v>
      </c>
      <c r="Y36" s="1284">
        <v>1.08</v>
      </c>
      <c r="Z36" s="1284">
        <v>1.62</v>
      </c>
    </row>
    <row r="37" spans="2:26">
      <c r="B37" s="1284"/>
      <c r="C37" s="1285">
        <v>39437</v>
      </c>
      <c r="D37" s="1284">
        <v>6.57</v>
      </c>
      <c r="E37" s="1284">
        <v>7.47</v>
      </c>
      <c r="F37" s="1284">
        <v>7.56</v>
      </c>
      <c r="G37" s="1284">
        <v>7.74</v>
      </c>
      <c r="H37" s="1284">
        <v>7.83</v>
      </c>
      <c r="I37" s="1284">
        <v>4.7699999999999996</v>
      </c>
      <c r="J37" s="1284">
        <v>5.22</v>
      </c>
      <c r="L37" s="1284"/>
      <c r="M37" s="1285">
        <v>39159</v>
      </c>
      <c r="N37" s="1284">
        <v>0.72</v>
      </c>
      <c r="O37" s="1284">
        <v>1.98</v>
      </c>
      <c r="P37" s="1284">
        <v>2.4300000000000002</v>
      </c>
      <c r="Q37" s="1284">
        <v>2.79</v>
      </c>
      <c r="R37" s="1284">
        <v>3.33</v>
      </c>
      <c r="S37" s="1284">
        <v>3.96</v>
      </c>
      <c r="T37" s="1284">
        <v>4.41</v>
      </c>
      <c r="U37" s="1284">
        <v>1.98</v>
      </c>
      <c r="V37" s="1284">
        <v>2.4300000000000002</v>
      </c>
      <c r="W37" s="1284">
        <v>2.79</v>
      </c>
      <c r="X37" s="1284">
        <v>1.44</v>
      </c>
      <c r="Y37" s="1284">
        <v>1.08</v>
      </c>
      <c r="Z37" s="1284">
        <v>1.62</v>
      </c>
    </row>
    <row r="38" spans="2:26">
      <c r="B38" s="1284"/>
      <c r="C38" s="1285">
        <v>39340</v>
      </c>
      <c r="D38" s="1284">
        <v>6.48</v>
      </c>
      <c r="E38" s="1284">
        <v>7.29</v>
      </c>
      <c r="F38" s="1284">
        <v>7.47</v>
      </c>
      <c r="G38" s="1284">
        <v>7.65</v>
      </c>
      <c r="H38" s="1284">
        <v>7.83</v>
      </c>
      <c r="I38" s="1284">
        <v>4.7699999999999996</v>
      </c>
      <c r="J38" s="1284">
        <v>5.22</v>
      </c>
      <c r="L38" s="1284"/>
      <c r="M38" s="1285">
        <v>38948</v>
      </c>
      <c r="N38" s="1284">
        <v>0.72</v>
      </c>
      <c r="O38" s="1284">
        <v>1.8</v>
      </c>
      <c r="P38" s="1284">
        <v>2.25</v>
      </c>
      <c r="Q38" s="1284">
        <v>2.52</v>
      </c>
      <c r="R38" s="1284">
        <v>3.06</v>
      </c>
      <c r="S38" s="1284">
        <v>3.69</v>
      </c>
      <c r="T38" s="1284">
        <v>4.1399999999999997</v>
      </c>
      <c r="U38" s="1284">
        <v>1.8</v>
      </c>
      <c r="V38" s="1284">
        <v>2.25</v>
      </c>
      <c r="W38" s="1284">
        <v>2.52</v>
      </c>
      <c r="X38" s="1284">
        <v>1.44</v>
      </c>
      <c r="Y38" s="1284">
        <v>1.08</v>
      </c>
      <c r="Z38" s="1284">
        <v>1.62</v>
      </c>
    </row>
    <row r="39" spans="2:26">
      <c r="B39" s="1284"/>
      <c r="C39" s="1285">
        <v>39316</v>
      </c>
      <c r="D39" s="1284">
        <v>6.21</v>
      </c>
      <c r="E39" s="1284">
        <v>7.02</v>
      </c>
      <c r="F39" s="1284">
        <v>7.2</v>
      </c>
      <c r="G39" s="1284">
        <v>7.38</v>
      </c>
      <c r="H39" s="1284">
        <v>7.56</v>
      </c>
      <c r="I39" s="1284">
        <v>4.59</v>
      </c>
      <c r="J39" s="1284">
        <v>5.04</v>
      </c>
      <c r="L39" s="1284"/>
      <c r="M39" s="1285">
        <v>38289</v>
      </c>
      <c r="N39" s="1284">
        <v>0.72</v>
      </c>
      <c r="O39" s="1284">
        <v>1.71</v>
      </c>
      <c r="P39" s="1284">
        <v>2.0699999999999998</v>
      </c>
      <c r="Q39" s="1284">
        <v>2.25</v>
      </c>
      <c r="R39" s="1284">
        <v>2.7</v>
      </c>
      <c r="S39" s="1284">
        <v>3.24</v>
      </c>
      <c r="T39" s="1284">
        <v>3.6</v>
      </c>
      <c r="U39" s="1284">
        <v>1.71</v>
      </c>
      <c r="V39" s="1284">
        <v>2.0699999999999998</v>
      </c>
      <c r="W39" s="1284">
        <v>2.25</v>
      </c>
      <c r="X39" s="1284">
        <v>1.44</v>
      </c>
      <c r="Y39" s="1284">
        <v>1.08</v>
      </c>
      <c r="Z39" s="1284">
        <v>1.62</v>
      </c>
    </row>
    <row r="40" spans="2:26">
      <c r="B40" s="1284"/>
      <c r="C40" s="1285">
        <v>39284</v>
      </c>
      <c r="D40" s="1284">
        <v>6.03</v>
      </c>
      <c r="E40" s="1284">
        <v>6.84</v>
      </c>
      <c r="F40" s="1284">
        <v>7.02</v>
      </c>
      <c r="G40" s="1284">
        <v>7.2</v>
      </c>
      <c r="H40" s="1284">
        <v>7.38</v>
      </c>
      <c r="I40" s="1284">
        <v>4.5</v>
      </c>
      <c r="J40" s="1284">
        <v>4.95</v>
      </c>
      <c r="L40" s="1284"/>
      <c r="M40" s="1285">
        <v>37308</v>
      </c>
      <c r="N40" s="1284">
        <v>0.72</v>
      </c>
      <c r="O40" s="1284">
        <v>1.71</v>
      </c>
      <c r="P40" s="1284">
        <v>1.89</v>
      </c>
      <c r="Q40" s="1284">
        <v>1.98</v>
      </c>
      <c r="R40" s="1284">
        <v>2.25</v>
      </c>
      <c r="S40" s="1284">
        <v>2.52</v>
      </c>
      <c r="T40" s="1284">
        <v>2.79</v>
      </c>
      <c r="U40" s="1284">
        <v>1.71</v>
      </c>
      <c r="V40" s="1284">
        <v>1.89</v>
      </c>
      <c r="W40" s="1284">
        <v>1.98</v>
      </c>
      <c r="X40" s="1284">
        <v>1.44</v>
      </c>
      <c r="Y40" s="1284">
        <v>1.08</v>
      </c>
      <c r="Z40" s="1284">
        <v>1.62</v>
      </c>
    </row>
    <row r="41" spans="2:26">
      <c r="B41" s="1284"/>
      <c r="C41" s="1285">
        <v>39221</v>
      </c>
      <c r="D41" s="1284">
        <v>5.85</v>
      </c>
      <c r="E41" s="1284">
        <v>6.57</v>
      </c>
      <c r="F41" s="1284">
        <v>6.75</v>
      </c>
      <c r="G41" s="1284">
        <v>6.93</v>
      </c>
      <c r="H41" s="1284">
        <v>7.2</v>
      </c>
      <c r="I41" s="1284">
        <v>4.41</v>
      </c>
      <c r="J41" s="1284">
        <v>4.8600000000000003</v>
      </c>
      <c r="L41" s="1284"/>
      <c r="M41" s="1285">
        <v>36321</v>
      </c>
      <c r="N41" s="1284">
        <v>0.99</v>
      </c>
      <c r="O41" s="1284">
        <v>1.98</v>
      </c>
      <c r="P41" s="1284">
        <v>2.16</v>
      </c>
      <c r="Q41" s="1284">
        <v>2.25</v>
      </c>
      <c r="R41" s="1284">
        <v>2.4300000000000002</v>
      </c>
      <c r="S41" s="1284">
        <v>2.7</v>
      </c>
      <c r="T41" s="1284">
        <v>2.88</v>
      </c>
      <c r="U41" s="1284">
        <v>1.98</v>
      </c>
      <c r="V41" s="1284">
        <v>2.16</v>
      </c>
      <c r="W41" s="1284">
        <v>2.25</v>
      </c>
      <c r="X41" s="1284">
        <v>1.71</v>
      </c>
      <c r="Y41" s="1284">
        <v>1.35</v>
      </c>
      <c r="Z41" s="1284">
        <v>1.89</v>
      </c>
    </row>
    <row r="42" spans="2:26">
      <c r="B42" s="1284"/>
      <c r="C42" s="1285">
        <v>39159</v>
      </c>
      <c r="D42" s="1284">
        <v>5.67</v>
      </c>
      <c r="E42" s="1284">
        <v>6.39</v>
      </c>
      <c r="F42" s="1284">
        <v>6.57</v>
      </c>
      <c r="G42" s="1284">
        <v>6.75</v>
      </c>
      <c r="H42" s="1284">
        <v>7.11</v>
      </c>
      <c r="I42" s="1284">
        <v>4.32</v>
      </c>
      <c r="J42" s="1284">
        <v>4.7699999999999996</v>
      </c>
      <c r="L42" s="1284"/>
      <c r="M42" s="1285">
        <v>36136</v>
      </c>
      <c r="N42" s="1284">
        <v>1.44</v>
      </c>
      <c r="O42" s="1284">
        <v>2.79</v>
      </c>
      <c r="P42" s="1284">
        <v>3.33</v>
      </c>
      <c r="Q42" s="1284">
        <v>3.78</v>
      </c>
      <c r="R42" s="1284">
        <v>3.96</v>
      </c>
      <c r="S42" s="1284">
        <v>4.1399999999999997</v>
      </c>
      <c r="T42" s="1284">
        <v>4.5</v>
      </c>
      <c r="U42" s="1284">
        <v>3.33</v>
      </c>
      <c r="V42" s="1284">
        <v>3.78</v>
      </c>
      <c r="W42" s="1284">
        <v>4.1399999999999997</v>
      </c>
      <c r="X42" s="1284">
        <v>2.16</v>
      </c>
      <c r="Y42" s="1284">
        <v>1.8</v>
      </c>
      <c r="Z42" s="1284">
        <v>2.34</v>
      </c>
    </row>
    <row r="43" spans="2:26">
      <c r="B43" s="1284"/>
      <c r="C43" s="1285">
        <v>38948</v>
      </c>
      <c r="D43" s="1284">
        <v>5.58</v>
      </c>
      <c r="E43" s="1284">
        <v>6.12</v>
      </c>
      <c r="F43" s="1284">
        <v>6.3</v>
      </c>
      <c r="G43" s="1284">
        <v>6.48</v>
      </c>
      <c r="H43" s="1284">
        <v>6.84</v>
      </c>
      <c r="I43" s="1284">
        <v>4.1399999999999997</v>
      </c>
      <c r="J43" s="1284">
        <v>4.59</v>
      </c>
      <c r="L43" s="1284"/>
      <c r="M43" s="1285">
        <v>35977</v>
      </c>
      <c r="N43" s="1284">
        <v>1.44</v>
      </c>
      <c r="O43" s="1284">
        <v>2.79</v>
      </c>
      <c r="P43" s="1284">
        <v>3.96</v>
      </c>
      <c r="Q43" s="1284">
        <v>4.7699999999999996</v>
      </c>
      <c r="R43" s="1284">
        <v>4.8600000000000003</v>
      </c>
      <c r="S43" s="1284">
        <v>4.95</v>
      </c>
      <c r="T43" s="1284">
        <v>5.22</v>
      </c>
      <c r="U43" s="1284">
        <v>3.96</v>
      </c>
      <c r="V43" s="1284">
        <v>4.7699999999999996</v>
      </c>
      <c r="W43" s="1284">
        <v>4.95</v>
      </c>
      <c r="X43" s="1284" t="s">
        <v>1203</v>
      </c>
      <c r="Y43" s="1284" t="s">
        <v>1203</v>
      </c>
      <c r="Z43" s="1284" t="s">
        <v>1203</v>
      </c>
    </row>
    <row r="44" spans="2:26">
      <c r="B44" s="1284"/>
      <c r="C44" s="1285">
        <v>38835</v>
      </c>
      <c r="D44" s="1284">
        <v>5.4</v>
      </c>
      <c r="E44" s="1284">
        <v>5.85</v>
      </c>
      <c r="F44" s="1284">
        <v>6.03</v>
      </c>
      <c r="G44" s="1284">
        <v>6.12</v>
      </c>
      <c r="H44" s="1284">
        <v>6.39</v>
      </c>
      <c r="I44" s="1284">
        <v>4.1399999999999997</v>
      </c>
      <c r="J44" s="1284">
        <v>4.59</v>
      </c>
      <c r="L44" s="1284"/>
      <c r="M44" s="1285">
        <v>35879</v>
      </c>
      <c r="N44" s="1284">
        <v>1.71</v>
      </c>
      <c r="O44" s="1284">
        <v>2.88</v>
      </c>
      <c r="P44" s="1284">
        <v>4.1399999999999997</v>
      </c>
      <c r="Q44" s="1284">
        <v>5.22</v>
      </c>
      <c r="R44" s="1284">
        <v>5.58</v>
      </c>
      <c r="S44" s="1284">
        <v>6.21</v>
      </c>
      <c r="T44" s="1284">
        <v>6.66</v>
      </c>
      <c r="U44" s="1284">
        <v>4.1399999999999997</v>
      </c>
      <c r="V44" s="1284">
        <v>5.22</v>
      </c>
      <c r="W44" s="1284">
        <v>6.21</v>
      </c>
      <c r="X44" s="1284" t="s">
        <v>1203</v>
      </c>
      <c r="Y44" s="1284" t="s">
        <v>1203</v>
      </c>
      <c r="Z44" s="1284" t="s">
        <v>1203</v>
      </c>
    </row>
    <row r="45" spans="2:26">
      <c r="B45" s="1284"/>
      <c r="C45" s="1285">
        <v>38428</v>
      </c>
      <c r="D45" s="1284">
        <v>5.22</v>
      </c>
      <c r="E45" s="1284">
        <v>5.58</v>
      </c>
      <c r="F45" s="1284">
        <v>5.76</v>
      </c>
      <c r="G45" s="1284">
        <v>5.85</v>
      </c>
      <c r="H45" s="1284">
        <v>6.12</v>
      </c>
      <c r="I45" s="1284">
        <v>3.96</v>
      </c>
      <c r="J45" s="1284">
        <v>4.41</v>
      </c>
      <c r="L45" s="1284"/>
      <c r="M45" s="1285">
        <v>35726</v>
      </c>
      <c r="N45" s="1284">
        <v>1.71</v>
      </c>
      <c r="O45" s="1284">
        <v>2.88</v>
      </c>
      <c r="P45" s="1284">
        <v>4.1399999999999997</v>
      </c>
      <c r="Q45" s="1284">
        <v>5.67</v>
      </c>
      <c r="R45" s="1284">
        <v>5.94</v>
      </c>
      <c r="S45" s="1284">
        <v>6.21</v>
      </c>
      <c r="T45" s="1284">
        <v>6.66</v>
      </c>
      <c r="U45" s="1284">
        <v>4.1399999999999997</v>
      </c>
      <c r="V45" s="1284">
        <v>5.67</v>
      </c>
      <c r="W45" s="1284">
        <v>6.21</v>
      </c>
      <c r="X45" s="1284" t="s">
        <v>1203</v>
      </c>
      <c r="Y45" s="1284" t="s">
        <v>1203</v>
      </c>
      <c r="Z45" s="1284" t="s">
        <v>1203</v>
      </c>
    </row>
    <row r="46" spans="2:26">
      <c r="B46" s="1284"/>
      <c r="C46" s="1285">
        <v>38289</v>
      </c>
      <c r="D46" s="1284">
        <v>5.22</v>
      </c>
      <c r="E46" s="1284">
        <v>5.58</v>
      </c>
      <c r="F46" s="1284">
        <v>5.76</v>
      </c>
      <c r="G46" s="1284">
        <v>5.85</v>
      </c>
      <c r="H46" s="1284">
        <v>6.12</v>
      </c>
      <c r="I46" s="1284">
        <v>3.78</v>
      </c>
      <c r="J46" s="1284">
        <v>4.2300000000000004</v>
      </c>
      <c r="L46" s="1284"/>
      <c r="M46" s="1285">
        <v>35300</v>
      </c>
      <c r="N46" s="1284">
        <v>1.98</v>
      </c>
      <c r="O46" s="1284">
        <v>3.33</v>
      </c>
      <c r="P46" s="1284">
        <v>5.4</v>
      </c>
      <c r="Q46" s="1284">
        <v>7.47</v>
      </c>
      <c r="R46" s="1284">
        <v>7.92</v>
      </c>
      <c r="S46" s="1284">
        <v>8.2799999999999994</v>
      </c>
      <c r="T46" s="1284">
        <v>9</v>
      </c>
      <c r="U46" s="1284">
        <v>5.4</v>
      </c>
      <c r="V46" s="1284">
        <v>7.47</v>
      </c>
      <c r="W46" s="1284">
        <v>8.2799999999999994</v>
      </c>
      <c r="X46" s="1284" t="s">
        <v>1203</v>
      </c>
      <c r="Y46" s="1284" t="s">
        <v>1203</v>
      </c>
      <c r="Z46" s="1284" t="s">
        <v>1203</v>
      </c>
    </row>
    <row r="47" spans="2:26">
      <c r="B47" s="1284"/>
      <c r="C47" s="1285">
        <v>37308</v>
      </c>
      <c r="D47" s="1284">
        <v>5.04</v>
      </c>
      <c r="E47" s="1284">
        <v>5.31</v>
      </c>
      <c r="F47" s="1284">
        <v>5.49</v>
      </c>
      <c r="G47" s="1284">
        <v>5.58</v>
      </c>
      <c r="H47" s="1284">
        <v>5.76</v>
      </c>
      <c r="I47" s="1284">
        <v>3.6</v>
      </c>
      <c r="J47" s="1284">
        <v>4.05</v>
      </c>
      <c r="L47" s="1284"/>
      <c r="M47" s="1285">
        <v>35186</v>
      </c>
      <c r="N47" s="1284">
        <v>2.97</v>
      </c>
      <c r="O47" s="1284">
        <v>4.8600000000000003</v>
      </c>
      <c r="P47" s="1284">
        <v>7.2</v>
      </c>
      <c r="Q47" s="1284">
        <v>9.18</v>
      </c>
      <c r="R47" s="1284">
        <v>9.9</v>
      </c>
      <c r="S47" s="1284">
        <v>10.8</v>
      </c>
      <c r="T47" s="1284">
        <v>12.06</v>
      </c>
      <c r="U47" s="1284">
        <v>7.2</v>
      </c>
      <c r="V47" s="1284">
        <v>9.18</v>
      </c>
      <c r="W47" s="1284">
        <v>10.8</v>
      </c>
      <c r="X47" s="1284" t="s">
        <v>1203</v>
      </c>
      <c r="Y47" s="1284" t="s">
        <v>1203</v>
      </c>
      <c r="Z47" s="1284" t="s">
        <v>1203</v>
      </c>
    </row>
    <row r="48" spans="2:26">
      <c r="B48" s="1284"/>
      <c r="C48" s="1285">
        <v>36321</v>
      </c>
      <c r="D48" s="1284">
        <v>5.58</v>
      </c>
      <c r="E48" s="1284">
        <v>5.85</v>
      </c>
      <c r="F48" s="1284">
        <v>5.94</v>
      </c>
      <c r="G48" s="1284">
        <v>6.03</v>
      </c>
      <c r="H48" s="1284">
        <v>6.21</v>
      </c>
      <c r="I48" s="1284">
        <v>4.1399999999999997</v>
      </c>
      <c r="J48" s="1284">
        <v>4.59</v>
      </c>
      <c r="L48" s="1284"/>
      <c r="M48" s="1285">
        <v>34161</v>
      </c>
      <c r="N48" s="1284">
        <v>3.15</v>
      </c>
      <c r="O48" s="1284">
        <v>6.66</v>
      </c>
      <c r="P48" s="1284">
        <v>9</v>
      </c>
      <c r="Q48" s="1284">
        <v>10.98</v>
      </c>
      <c r="R48" s="1284">
        <v>11.7</v>
      </c>
      <c r="S48" s="1284">
        <v>12.24</v>
      </c>
      <c r="T48" s="1284">
        <v>13.86</v>
      </c>
      <c r="U48" s="1284">
        <v>9</v>
      </c>
      <c r="V48" s="1284">
        <v>10.98</v>
      </c>
      <c r="W48" s="1284">
        <v>12.24</v>
      </c>
      <c r="X48" s="1284" t="s">
        <v>1203</v>
      </c>
      <c r="Y48" s="1284" t="s">
        <v>1203</v>
      </c>
      <c r="Z48" s="1284" t="s">
        <v>1203</v>
      </c>
    </row>
    <row r="49" spans="2:26">
      <c r="B49" s="1284"/>
      <c r="C49" s="1285">
        <v>36136</v>
      </c>
      <c r="D49" s="1284">
        <v>6.12</v>
      </c>
      <c r="E49" s="1284">
        <v>6.39</v>
      </c>
      <c r="F49" s="1284">
        <v>6.66</v>
      </c>
      <c r="G49" s="1284">
        <v>7.2</v>
      </c>
      <c r="H49" s="1284">
        <v>7.56</v>
      </c>
      <c r="I49" s="1284">
        <v>0</v>
      </c>
      <c r="J49" s="1284">
        <v>0</v>
      </c>
      <c r="L49" s="1284"/>
      <c r="M49" s="1285">
        <v>34104</v>
      </c>
      <c r="N49" s="1284">
        <v>2.16</v>
      </c>
      <c r="O49" s="1284">
        <v>4.8600000000000003</v>
      </c>
      <c r="P49" s="1284">
        <v>7.2</v>
      </c>
      <c r="Q49" s="1284">
        <v>9.18</v>
      </c>
      <c r="R49" s="1284">
        <v>9.9</v>
      </c>
      <c r="S49" s="1284">
        <v>10.8</v>
      </c>
      <c r="T49" s="1284">
        <v>12.06</v>
      </c>
      <c r="U49" s="1284">
        <v>7.2</v>
      </c>
      <c r="V49" s="1284">
        <v>9.18</v>
      </c>
      <c r="W49" s="1284">
        <v>10.8</v>
      </c>
      <c r="X49" s="1284" t="s">
        <v>1203</v>
      </c>
      <c r="Y49" s="1284" t="s">
        <v>1203</v>
      </c>
      <c r="Z49" s="1284" t="s">
        <v>1203</v>
      </c>
    </row>
    <row r="50" spans="2:26">
      <c r="B50" s="1284"/>
      <c r="C50" s="1285">
        <v>35977</v>
      </c>
      <c r="D50" s="1284">
        <v>6.57</v>
      </c>
      <c r="E50" s="1284">
        <v>6.93</v>
      </c>
      <c r="F50" s="1284">
        <v>7.11</v>
      </c>
      <c r="G50" s="1284">
        <v>7.65</v>
      </c>
      <c r="H50" s="1284">
        <v>8.01</v>
      </c>
      <c r="I50" s="1284">
        <v>0</v>
      </c>
      <c r="J50" s="1284">
        <v>0</v>
      </c>
      <c r="L50" s="1284"/>
      <c r="M50" s="1285">
        <v>33349</v>
      </c>
      <c r="N50" s="1284">
        <v>1.8</v>
      </c>
      <c r="O50" s="1284">
        <v>3.24</v>
      </c>
      <c r="P50" s="1284">
        <v>5.4</v>
      </c>
      <c r="Q50" s="1284">
        <v>7.56</v>
      </c>
      <c r="R50" s="1284">
        <v>7.92</v>
      </c>
      <c r="S50" s="1284">
        <v>8.2799999999999994</v>
      </c>
      <c r="T50" s="1284">
        <v>9</v>
      </c>
      <c r="U50" s="1284">
        <v>6.12</v>
      </c>
      <c r="V50" s="1284">
        <v>6.84</v>
      </c>
      <c r="W50" s="1284">
        <v>7.56</v>
      </c>
      <c r="X50" s="1284" t="s">
        <v>1203</v>
      </c>
      <c r="Y50" s="1284" t="s">
        <v>1203</v>
      </c>
      <c r="Z50" s="1284" t="s">
        <v>1203</v>
      </c>
    </row>
    <row r="51" spans="2:26">
      <c r="B51" s="1284"/>
      <c r="C51" s="1285">
        <v>35879</v>
      </c>
      <c r="D51" s="1284">
        <v>7.02</v>
      </c>
      <c r="E51" s="1284">
        <v>7.92</v>
      </c>
      <c r="F51" s="1284">
        <v>9</v>
      </c>
      <c r="G51" s="1284">
        <v>9.7200000000000006</v>
      </c>
      <c r="H51" s="1284">
        <v>10.35</v>
      </c>
      <c r="I51" s="1284">
        <v>0</v>
      </c>
      <c r="J51" s="1284">
        <v>0</v>
      </c>
      <c r="L51" s="1284"/>
      <c r="M51" s="1285">
        <v>33106</v>
      </c>
      <c r="N51" s="1284">
        <v>2.16</v>
      </c>
      <c r="O51" s="1284">
        <v>4.32</v>
      </c>
      <c r="P51" s="1284">
        <v>6.48</v>
      </c>
      <c r="Q51" s="1284">
        <v>8.64</v>
      </c>
      <c r="R51" s="1284">
        <v>9.36</v>
      </c>
      <c r="S51" s="1284">
        <v>10.08</v>
      </c>
      <c r="T51" s="1284">
        <v>11.52</v>
      </c>
      <c r="U51" s="1284">
        <v>7.2</v>
      </c>
      <c r="V51" s="1284">
        <v>8.64</v>
      </c>
      <c r="W51" s="1284">
        <v>10.08</v>
      </c>
      <c r="X51" s="1284" t="s">
        <v>1203</v>
      </c>
      <c r="Y51" s="1284" t="s">
        <v>1203</v>
      </c>
      <c r="Z51" s="1284" t="s">
        <v>1203</v>
      </c>
    </row>
    <row r="52" spans="2:26">
      <c r="B52" s="1284"/>
      <c r="C52" s="1285">
        <v>35726</v>
      </c>
      <c r="D52" s="1284">
        <v>7.65</v>
      </c>
      <c r="E52" s="1284">
        <v>8.64</v>
      </c>
      <c r="F52" s="1284">
        <v>9.36</v>
      </c>
      <c r="G52" s="1284">
        <v>9.9</v>
      </c>
      <c r="H52" s="1284">
        <v>10.53</v>
      </c>
      <c r="I52" s="1284">
        <v>0</v>
      </c>
      <c r="J52" s="1284">
        <v>0</v>
      </c>
      <c r="L52" s="1284"/>
      <c r="M52" s="1285">
        <v>32978</v>
      </c>
      <c r="N52" s="1284">
        <v>2.88</v>
      </c>
      <c r="O52" s="1284">
        <v>6.3</v>
      </c>
      <c r="P52" s="1284">
        <v>7.74</v>
      </c>
      <c r="Q52" s="1284">
        <v>10.08</v>
      </c>
      <c r="R52" s="1284">
        <v>10.98</v>
      </c>
      <c r="S52" s="1284">
        <v>11.88</v>
      </c>
      <c r="T52" s="1284">
        <v>13.68</v>
      </c>
      <c r="U52" s="1284" t="s">
        <v>1203</v>
      </c>
      <c r="V52" s="1284" t="s">
        <v>1203</v>
      </c>
      <c r="W52" s="1284" t="s">
        <v>1203</v>
      </c>
      <c r="X52" s="1284" t="s">
        <v>1203</v>
      </c>
      <c r="Y52" s="1284" t="s">
        <v>1203</v>
      </c>
      <c r="Z52" s="1284" t="s">
        <v>1203</v>
      </c>
    </row>
    <row r="53" spans="2:26">
      <c r="B53" s="1284"/>
      <c r="C53" s="1285">
        <v>35300</v>
      </c>
      <c r="D53" s="1284">
        <v>9.18</v>
      </c>
      <c r="E53" s="1284">
        <v>10.08</v>
      </c>
      <c r="F53" s="1284">
        <v>10.98</v>
      </c>
      <c r="G53" s="1284">
        <v>11.7</v>
      </c>
      <c r="H53" s="1284">
        <v>12.42</v>
      </c>
      <c r="I53" s="1284">
        <v>0</v>
      </c>
      <c r="J53" s="1284">
        <v>0</v>
      </c>
      <c r="L53" s="1284"/>
      <c r="M53" s="1285"/>
      <c r="N53" s="1284"/>
      <c r="O53" s="1284"/>
      <c r="P53" s="1284"/>
      <c r="Q53" s="1284"/>
      <c r="R53" s="1284"/>
      <c r="S53" s="1284"/>
      <c r="T53" s="1284"/>
      <c r="U53" s="1284"/>
      <c r="V53" s="1284"/>
      <c r="W53" s="1284"/>
      <c r="X53" s="1284"/>
      <c r="Y53" s="1284"/>
      <c r="Z53" s="1284"/>
    </row>
    <row r="54" spans="2:26">
      <c r="B54" s="1284"/>
      <c r="C54" s="1285">
        <v>35186</v>
      </c>
      <c r="D54" s="1284">
        <v>9.7200000000000006</v>
      </c>
      <c r="E54" s="1284">
        <v>10.98</v>
      </c>
      <c r="F54" s="1284">
        <v>13.14</v>
      </c>
      <c r="G54" s="1284">
        <v>14.94</v>
      </c>
      <c r="H54" s="1284">
        <v>15.12</v>
      </c>
      <c r="I54" s="1284">
        <v>0</v>
      </c>
      <c r="J54" s="1284">
        <v>0</v>
      </c>
      <c r="L54" s="1284"/>
      <c r="M54" s="1285"/>
      <c r="N54" s="1284"/>
      <c r="O54" s="1284"/>
      <c r="P54" s="1284"/>
      <c r="Q54" s="1284"/>
      <c r="R54" s="1284"/>
      <c r="S54" s="1284"/>
      <c r="T54" s="1284"/>
      <c r="U54" s="1284"/>
      <c r="V54" s="1284"/>
      <c r="W54" s="1284"/>
      <c r="X54" s="1284"/>
      <c r="Y54" s="1284"/>
      <c r="Z54" s="1284"/>
    </row>
    <row r="55" spans="2:26">
      <c r="B55" s="1284"/>
      <c r="C55" s="1285">
        <v>34881</v>
      </c>
      <c r="D55" s="1284">
        <v>10.08</v>
      </c>
      <c r="E55" s="1284">
        <v>12.06</v>
      </c>
      <c r="F55" s="1284">
        <v>13.5</v>
      </c>
      <c r="G55" s="1284">
        <v>15.12</v>
      </c>
      <c r="H55" s="1284">
        <v>15.3</v>
      </c>
      <c r="I55" s="1284">
        <v>0</v>
      </c>
      <c r="J55" s="1284">
        <v>0</v>
      </c>
      <c r="L55" s="1284"/>
      <c r="M55" s="1285"/>
      <c r="N55" s="1284"/>
      <c r="O55" s="1284"/>
      <c r="P55" s="1284"/>
      <c r="Q55" s="1284"/>
      <c r="R55" s="1284"/>
      <c r="S55" s="1284"/>
      <c r="T55" s="1284"/>
      <c r="U55" s="1284"/>
      <c r="V55" s="1284"/>
      <c r="W55" s="1284"/>
      <c r="X55" s="1284"/>
      <c r="Y55" s="1284"/>
      <c r="Z55" s="1284"/>
    </row>
    <row r="56" spans="2:26">
      <c r="B56" s="1284"/>
      <c r="C56" s="1285">
        <v>34700</v>
      </c>
      <c r="D56" s="1284">
        <v>9</v>
      </c>
      <c r="E56" s="1284">
        <v>10.98</v>
      </c>
      <c r="F56" s="1284">
        <v>12.96</v>
      </c>
      <c r="G56" s="1284">
        <v>14.58</v>
      </c>
      <c r="H56" s="1284">
        <v>14.76</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34161</v>
      </c>
      <c r="D57" s="1284">
        <v>9</v>
      </c>
      <c r="E57" s="1284">
        <v>10.98</v>
      </c>
      <c r="F57" s="1284">
        <v>12.24</v>
      </c>
      <c r="G57" s="1284">
        <v>13.86</v>
      </c>
      <c r="H57" s="1284">
        <v>14.04</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v>34104</v>
      </c>
      <c r="D58" s="1284">
        <v>8.82</v>
      </c>
      <c r="E58" s="1284">
        <v>9.36</v>
      </c>
      <c r="F58" s="1284">
        <v>10.8</v>
      </c>
      <c r="G58" s="1284">
        <v>12.06</v>
      </c>
      <c r="H58" s="1284">
        <v>12.24</v>
      </c>
      <c r="I58" s="1284">
        <v>0</v>
      </c>
      <c r="J58" s="1284">
        <v>0</v>
      </c>
      <c r="L58" s="1284"/>
      <c r="M58" s="1285"/>
      <c r="N58" s="1284"/>
      <c r="O58" s="1284"/>
      <c r="P58" s="1284"/>
      <c r="Q58" s="1284"/>
      <c r="R58" s="1284"/>
      <c r="S58" s="1284"/>
      <c r="T58" s="1284"/>
      <c r="U58" s="1284"/>
      <c r="V58" s="1284"/>
      <c r="W58" s="1284"/>
      <c r="X58" s="1284"/>
      <c r="Y58" s="1284"/>
      <c r="Z58" s="1284"/>
    </row>
    <row r="59" spans="2:26">
      <c r="B59" s="1284"/>
      <c r="C59" s="1285">
        <v>33349</v>
      </c>
      <c r="D59" s="1284">
        <v>8.1</v>
      </c>
      <c r="E59" s="1284">
        <v>8.64</v>
      </c>
      <c r="F59" s="1284">
        <v>9</v>
      </c>
      <c r="G59" s="1284">
        <v>9.5399999999999991</v>
      </c>
      <c r="H59" s="1284">
        <v>9.7200000000000006</v>
      </c>
      <c r="I59" s="1284">
        <v>0</v>
      </c>
      <c r="J59" s="1284">
        <v>0</v>
      </c>
    </row>
    <row r="60" spans="2:26">
      <c r="B60" s="1284"/>
      <c r="C60" s="1285">
        <v>33318</v>
      </c>
      <c r="D60" s="1284">
        <v>9</v>
      </c>
      <c r="E60" s="1284">
        <v>10.08</v>
      </c>
      <c r="F60" s="1284">
        <v>10.8</v>
      </c>
      <c r="G60" s="1284">
        <v>11.52</v>
      </c>
      <c r="H60" s="1284">
        <v>11.88</v>
      </c>
      <c r="I60" s="1284" t="s">
        <v>1203</v>
      </c>
      <c r="J60" s="1284" t="s">
        <v>1203</v>
      </c>
    </row>
    <row r="61" spans="2:26">
      <c r="B61" s="1284"/>
      <c r="C61" s="1285">
        <v>33106</v>
      </c>
      <c r="D61" s="1284">
        <v>8.64</v>
      </c>
      <c r="E61" s="1284">
        <v>9.36</v>
      </c>
      <c r="F61" s="1284">
        <v>10.08</v>
      </c>
      <c r="G61" s="1284">
        <v>10.8</v>
      </c>
      <c r="H61" s="1284">
        <v>11.16</v>
      </c>
      <c r="I61" s="1284">
        <v>0</v>
      </c>
      <c r="J61" s="1284">
        <v>0</v>
      </c>
    </row>
    <row r="62" spans="2:26">
      <c r="B62" s="1284"/>
      <c r="C62" s="1285">
        <v>32540</v>
      </c>
      <c r="D62" s="1284">
        <v>11.34</v>
      </c>
      <c r="E62" s="1284">
        <v>11.34</v>
      </c>
      <c r="F62" s="1284">
        <v>12.78</v>
      </c>
      <c r="G62" s="1284">
        <v>14.4</v>
      </c>
      <c r="H62" s="1284">
        <v>19.260000000000002</v>
      </c>
      <c r="I62" s="1284">
        <v>0</v>
      </c>
      <c r="J62" s="1284">
        <v>0</v>
      </c>
    </row>
    <row r="63" spans="2:26">
      <c r="B63" s="1284"/>
      <c r="C63" s="1285"/>
      <c r="D63" s="1284"/>
      <c r="E63" s="1284"/>
      <c r="F63" s="1284"/>
      <c r="G63" s="1284"/>
      <c r="H63" s="1284"/>
      <c r="I63" s="1284"/>
      <c r="J63" s="1284"/>
    </row>
    <row r="64" spans="2:26">
      <c r="B64" s="1288"/>
      <c r="C64" s="1289"/>
      <c r="D64" s="1288"/>
      <c r="E64" s="1288"/>
      <c r="F64" s="1288"/>
      <c r="G64" s="1288"/>
      <c r="H64" s="1288"/>
      <c r="I64" s="1288"/>
      <c r="J64" s="1288"/>
    </row>
    <row r="65" spans="2:10">
      <c r="B65" s="1288"/>
      <c r="C65" s="1289"/>
      <c r="D65" s="1288"/>
      <c r="E65" s="1288"/>
      <c r="F65" s="1288"/>
      <c r="G65" s="1288"/>
      <c r="H65" s="1288"/>
      <c r="I65" s="1288"/>
      <c r="J65" s="1288"/>
    </row>
    <row r="66" spans="2:10">
      <c r="B66" s="1288"/>
      <c r="C66" s="1289"/>
      <c r="D66" s="1288"/>
      <c r="E66" s="1288"/>
      <c r="F66" s="1288"/>
      <c r="G66" s="1288"/>
      <c r="H66" s="1288"/>
      <c r="I66" s="1288"/>
      <c r="J66" s="1288"/>
    </row>
    <row r="67" spans="2:10">
      <c r="B67" s="1235"/>
      <c r="C67" s="1235"/>
      <c r="D67" s="1235"/>
      <c r="E67" s="1235"/>
      <c r="F67" s="1235"/>
      <c r="G67" s="1235"/>
      <c r="H67" s="1235"/>
      <c r="I67" s="1235"/>
      <c r="J67" s="1235"/>
    </row>
    <row r="68" spans="2:10">
      <c r="B68" s="1235"/>
      <c r="C68" s="1235"/>
      <c r="D68" s="1235"/>
      <c r="E68" s="1235"/>
      <c r="F68" s="1235"/>
      <c r="G68" s="1235"/>
      <c r="H68" s="1235"/>
      <c r="I68" s="1235"/>
      <c r="J68" s="1235"/>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16"/>
  <sheetViews>
    <sheetView topLeftCell="C1" workbookViewId="0">
      <selection activeCell="F28" sqref="F28"/>
    </sheetView>
  </sheetViews>
  <sheetFormatPr defaultRowHeight="13.5"/>
  <cols>
    <col min="4" max="4" width="12" customWidth="1"/>
    <col min="5" max="5" width="15.125" bestFit="1" customWidth="1"/>
    <col min="6" max="6" width="17" customWidth="1"/>
    <col min="7" max="7" width="12.625" customWidth="1"/>
  </cols>
  <sheetData>
    <row r="5" spans="3:7">
      <c r="D5" s="1358" t="s">
        <v>2942</v>
      </c>
      <c r="E5" s="1358" t="s">
        <v>2948</v>
      </c>
      <c r="F5" s="1358" t="s">
        <v>2949</v>
      </c>
      <c r="G5" s="1358" t="s">
        <v>2963</v>
      </c>
    </row>
    <row r="6" spans="3:7">
      <c r="D6" s="1358" t="s">
        <v>2943</v>
      </c>
      <c r="E6" s="3174">
        <f>'比较法-住宅'!D3</f>
        <v>366.17</v>
      </c>
      <c r="F6" s="3174">
        <f ca="1">典型户型修正!R27</f>
        <v>88300</v>
      </c>
      <c r="G6" s="3174">
        <f ca="1">典型户型修正!S27</f>
        <v>32332811</v>
      </c>
    </row>
    <row r="7" spans="3:7">
      <c r="D7" s="1358" t="s">
        <v>2944</v>
      </c>
      <c r="E7" s="3174">
        <f>系统读取表!B14-Sheet2!E6</f>
        <v>366.17</v>
      </c>
      <c r="F7" s="3174">
        <f ca="1">典型户型修正!R28</f>
        <v>86463</v>
      </c>
      <c r="G7" s="3174">
        <f ca="1">典型户型修正!S28</f>
        <v>31660157</v>
      </c>
    </row>
    <row r="8" spans="3:7">
      <c r="D8" s="1358" t="s">
        <v>2945</v>
      </c>
      <c r="E8" s="3174">
        <f>[1]典型户型修正!$B$27</f>
        <v>32.97</v>
      </c>
      <c r="F8" s="3174">
        <f ca="1">[1]典型户型修正!$R$27</f>
        <v>12755</v>
      </c>
      <c r="G8" s="3174">
        <f ca="1">[1]典型户型修正!$S$27</f>
        <v>420532</v>
      </c>
    </row>
    <row r="9" spans="3:7">
      <c r="D9" s="1358" t="s">
        <v>2946</v>
      </c>
      <c r="E9" s="3174">
        <f>[1]典型户型修正!$B$28</f>
        <v>32.97</v>
      </c>
      <c r="F9" s="3174">
        <f ca="1">[1]典型户型修正!$R$28</f>
        <v>12755</v>
      </c>
      <c r="G9" s="3174">
        <f ca="1">[1]典型户型修正!$S$28</f>
        <v>420532</v>
      </c>
    </row>
    <row r="10" spans="3:7">
      <c r="D10" s="1358" t="s">
        <v>2947</v>
      </c>
      <c r="E10" s="3174">
        <f>[1]典型户型修正!$B$29</f>
        <v>32.97</v>
      </c>
      <c r="F10" s="3174">
        <f ca="1">[1]典型户型修正!$R$29</f>
        <v>12755</v>
      </c>
      <c r="G10" s="3174">
        <f ca="1">[1]典型户型修正!$S$29</f>
        <v>420532</v>
      </c>
    </row>
    <row r="14" spans="3:7">
      <c r="D14" s="1339" t="s">
        <v>2950</v>
      </c>
      <c r="E14" s="1339" t="s">
        <v>2951</v>
      </c>
    </row>
    <row r="15" spans="3:7">
      <c r="C15" s="1339" t="s">
        <v>2952</v>
      </c>
      <c r="D15" s="1339">
        <f>系统读取表!J14</f>
        <v>6110</v>
      </c>
    </row>
    <row r="16" spans="3:7">
      <c r="C16" s="1339" t="s">
        <v>2953</v>
      </c>
      <c r="D16">
        <f>系统读取表!J15</f>
        <v>141</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9" customWidth="1"/>
    <col min="2" max="2" width="37.875" style="1339" customWidth="1"/>
    <col min="3" max="3" width="16.125" style="1339" customWidth="1"/>
    <col min="4" max="4" width="22.25" style="1339" customWidth="1"/>
    <col min="5" max="5" width="4.125" style="1339" customWidth="1"/>
    <col min="6" max="7" width="13" style="1339" customWidth="1"/>
    <col min="8" max="16384" width="9" style="1339"/>
  </cols>
  <sheetData>
    <row r="1" spans="1:5" ht="18.75">
      <c r="A1" s="1359" t="s">
        <v>774</v>
      </c>
      <c r="B1" s="1357"/>
      <c r="C1" s="1357"/>
      <c r="D1" s="1357"/>
      <c r="E1" s="1357"/>
    </row>
    <row r="2" spans="1:5" ht="78.75" customHeight="1">
      <c r="A2" s="31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8"/>
      <c r="C2" s="3178"/>
      <c r="D2" s="3178"/>
      <c r="E2" s="3178"/>
    </row>
    <row r="3" spans="1:5" ht="13.5" customHeight="1">
      <c r="A3" s="1360"/>
      <c r="B3" s="1360"/>
      <c r="C3" s="1360"/>
      <c r="D3" s="1360"/>
      <c r="E3" s="1360"/>
    </row>
    <row r="4" spans="1:5" ht="19.5" thickBot="1">
      <c r="A4" s="3179" t="str">
        <f>IF(项目基本情况!D5="房地产市场价值","估价结果一览表（市场价值不需本页表格)","估价结果一览表")</f>
        <v>估价结果一览表（市场价值不需本页表格)</v>
      </c>
      <c r="B4" s="3179"/>
      <c r="C4" s="3179"/>
      <c r="D4" s="3179"/>
      <c r="E4" s="3179"/>
    </row>
    <row r="5" spans="1:5" ht="14.25" customHeight="1" thickTop="1">
      <c r="A5" s="1357"/>
      <c r="B5" s="1361" t="s">
        <v>742</v>
      </c>
      <c r="C5" s="3180" t="s">
        <v>775</v>
      </c>
      <c r="D5" s="3181"/>
      <c r="E5" s="1357"/>
    </row>
    <row r="6" spans="1:5" ht="14.25">
      <c r="A6" s="1357"/>
      <c r="B6" s="1362" t="str">
        <f>项目基本情况!I1</f>
        <v>北京市房地产</v>
      </c>
      <c r="C6" s="3182">
        <f>项目基本情况!C12</f>
        <v>732.34</v>
      </c>
      <c r="D6" s="3182"/>
      <c r="E6" s="1357"/>
    </row>
    <row r="7" spans="1:5" ht="14.25">
      <c r="A7" s="1357"/>
      <c r="B7" s="3176" t="s">
        <v>776</v>
      </c>
      <c r="C7" s="1363" t="str">
        <f>IF('数据-取费表'!B3="万元","总价（万元）","总价（元）")</f>
        <v>总价（元）</v>
      </c>
      <c r="D7" s="1364">
        <f ca="1">IF('数据-取费表'!E3="否",结果表!I102,'结果表 (1修多)'!I104)</f>
        <v>63992968</v>
      </c>
      <c r="E7" s="1357"/>
    </row>
    <row r="8" spans="1:5" ht="28.5">
      <c r="A8" s="1357"/>
      <c r="B8" s="3176"/>
      <c r="C8" s="1365" t="s">
        <v>1162</v>
      </c>
      <c r="D8" s="1366" t="str">
        <f ca="1">IF('数据-取费表'!B3="万元",NUMBERSTRING(INT(D7*10000),2)&amp;"元整",NUMBERSTRING(INT(D7),2)&amp;"元整")</f>
        <v>陆仟叁佰玖拾玖万贰仟玖佰陆拾捌元整</v>
      </c>
      <c r="E8" s="1357"/>
    </row>
    <row r="9" spans="1:5" ht="14.25">
      <c r="A9" s="1357"/>
      <c r="B9" s="3176"/>
      <c r="C9" s="1367" t="s">
        <v>1260</v>
      </c>
      <c r="D9" s="1364">
        <f ca="1">IF('数据-取费表'!E3="否",结果表!I103,'结果表 (1修多)'!I105)</f>
        <v>873815004</v>
      </c>
      <c r="E9" s="1357"/>
    </row>
    <row r="10" spans="1:5" ht="14.25">
      <c r="A10" s="1357"/>
      <c r="B10" s="3183" t="str">
        <f>IF('数据-取费表'!E3="否",结果表!F105,'结果表 (1修多)'!F107)</f>
        <v>2.估价师所知悉的法定优先受偿款</v>
      </c>
      <c r="C10" s="1368" t="str">
        <f>IF('数据-取费表'!B3="万元","总额（万元）","总额（元）")</f>
        <v>总额（元）</v>
      </c>
      <c r="D10" s="1364">
        <f>IF('数据-取费表'!E3="否",结果表!I105,'结果表 (1修多)'!I107)</f>
        <v>0</v>
      </c>
      <c r="E10" s="1357"/>
    </row>
    <row r="11" spans="1:5" ht="14.25">
      <c r="A11" s="1357"/>
      <c r="B11" s="3183"/>
      <c r="C11" s="1365" t="s">
        <v>1162</v>
      </c>
      <c r="D11" s="1366" t="str">
        <f>IF('数据-取费表'!B3="万元",NUMBERSTRING(INT(D10*10000),2)&amp;"元整",NUMBERSTRING(INT(D10),2)&amp;"元整")</f>
        <v>零元整</v>
      </c>
      <c r="E11" s="1357"/>
    </row>
    <row r="12" spans="1:5" ht="14.25">
      <c r="A12" s="1357"/>
      <c r="B12" s="1369" t="s">
        <v>743</v>
      </c>
      <c r="C12" s="1370" t="str">
        <f>C10</f>
        <v>总额（元）</v>
      </c>
      <c r="D12" s="1371">
        <f>IF('数据-取费表'!E3="否",结果表!I106,'结果表 (1修多)'!I108)</f>
        <v>0</v>
      </c>
      <c r="E12" s="1357"/>
    </row>
    <row r="13" spans="1:5" ht="14.25">
      <c r="A13" s="1357"/>
      <c r="B13" s="1369" t="s">
        <v>744</v>
      </c>
      <c r="C13" s="1370" t="str">
        <f>C10</f>
        <v>总额（元）</v>
      </c>
      <c r="D13" s="1371">
        <f>IF('数据-取费表'!E3="否",结果表!I107,'结果表 (1修多)'!I109)</f>
        <v>0</v>
      </c>
      <c r="E13" s="1357"/>
    </row>
    <row r="14" spans="1:5" ht="14.25">
      <c r="A14" s="1357"/>
      <c r="B14" s="1369" t="s">
        <v>745</v>
      </c>
      <c r="C14" s="1370" t="str">
        <f>C10</f>
        <v>总额（元）</v>
      </c>
      <c r="D14" s="1371">
        <f>IF('数据-取费表'!E3="否",结果表!I108,'结果表 (1修多)'!I110)</f>
        <v>0</v>
      </c>
      <c r="E14" s="1357"/>
    </row>
    <row r="15" spans="1:5" ht="14.25">
      <c r="A15" s="1357"/>
      <c r="B15" s="3183" t="str">
        <f>IF('数据-取费表'!E3="否",结果表!F110,'结果表 (1修多)'!F112)</f>
        <v>3.房地产抵押价值</v>
      </c>
      <c r="C15" s="1358" t="str">
        <f>C7</f>
        <v>总价（元）</v>
      </c>
      <c r="D15" s="1364">
        <f ca="1">IF('数据-取费表'!E3="否",结果表!I110,'结果表 (1修多)'!I112)</f>
        <v>63992968</v>
      </c>
      <c r="E15" s="1357"/>
    </row>
    <row r="16" spans="1:5" ht="28.5">
      <c r="A16" s="1357"/>
      <c r="B16" s="3183"/>
      <c r="C16" s="1365" t="s">
        <v>1162</v>
      </c>
      <c r="D16" s="1364" t="str">
        <f ca="1">IF('数据-取费表'!B3="万元",NUMBERSTRING(INT(D15*10000),2)&amp;"元整",NUMBERSTRING(INT(D15),2)&amp;"元整")</f>
        <v>陆仟叁佰玖拾玖万贰仟玖佰陆拾捌元整</v>
      </c>
      <c r="E16" s="1357"/>
    </row>
    <row r="17" spans="1:5" ht="14.25">
      <c r="A17" s="1357"/>
      <c r="B17" s="3183"/>
      <c r="C17" s="1367" t="s">
        <v>1260</v>
      </c>
      <c r="D17" s="1364">
        <f ca="1">IF('数据-取费表'!E3="否",结果表!I111,'结果表 (1修多)'!I113)</f>
        <v>873815004</v>
      </c>
      <c r="E17" s="1357"/>
    </row>
    <row r="18" spans="1:5" ht="14.25">
      <c r="A18" s="1357"/>
      <c r="B18" s="3183" t="str">
        <f>IF('数据-取费表'!E3="否",结果表!F112,'结果表 (1修多)'!F114)</f>
        <v>——</v>
      </c>
      <c r="C18" s="1358" t="str">
        <f>C7</f>
        <v>总价（元）</v>
      </c>
      <c r="D18" s="1364" t="str">
        <f>IF('数据-取费表'!E3="否",结果表!I112,'结果表 (1修多)'!I114)</f>
        <v>——</v>
      </c>
      <c r="E18" s="1357"/>
    </row>
    <row r="19" spans="1:5" ht="14.25">
      <c r="A19" s="1357"/>
      <c r="B19" s="3183"/>
      <c r="C19" s="1365" t="s">
        <v>1162</v>
      </c>
      <c r="D19" s="1364" t="e">
        <f>IF('数据-取费表'!B3="万元",NUMBERSTRING(INT(D18*10000),2)&amp;"元整",NUMBERSTRING(INT(D18),2)&amp;"元整")</f>
        <v>#VALUE!</v>
      </c>
      <c r="E19" s="1357"/>
    </row>
    <row r="20" spans="1:5" ht="14.25">
      <c r="A20" s="1357"/>
      <c r="B20" s="3183"/>
      <c r="C20" s="1367" t="s">
        <v>1260</v>
      </c>
      <c r="D20" s="1364" t="str">
        <f>IF('数据-取费表'!E3="否",结果表!I113,'结果表 (1修多)'!I115)</f>
        <v>——</v>
      </c>
      <c r="E20" s="1357"/>
    </row>
    <row r="21" spans="1:5" ht="14.25">
      <c r="A21" s="1357"/>
      <c r="B21" s="3176" t="str">
        <f>IF('数据-取费表'!E3="否",结果表!F114,'结果表 (1修多)'!F116)</f>
        <v>——</v>
      </c>
      <c r="C21" s="1363" t="str">
        <f>C7</f>
        <v>总价（元）</v>
      </c>
      <c r="D21" s="1364" t="str">
        <f>IF('数据-取费表'!E3="否",结果表!I114,'结果表 (1修多)'!I116)</f>
        <v>——</v>
      </c>
      <c r="E21" s="1357"/>
    </row>
    <row r="22" spans="1:5" ht="14.25">
      <c r="A22" s="1357"/>
      <c r="B22" s="3176"/>
      <c r="C22" s="1365" t="s">
        <v>1162</v>
      </c>
      <c r="D22" s="1366" t="e">
        <f>IF('数据-取费表'!B3="万元",NUMBERSTRING(INT(D21*10000),2)&amp;"元整",NUMBERSTRING(INT(D21),2)&amp;"元整")</f>
        <v>#VALUE!</v>
      </c>
      <c r="E22" s="1357"/>
    </row>
    <row r="23" spans="1:5" ht="15" thickBot="1">
      <c r="A23" s="1357"/>
      <c r="B23" s="3177"/>
      <c r="C23" s="1372" t="s">
        <v>1260</v>
      </c>
      <c r="D23" s="1373" t="str">
        <f ca="1">IF('数据-取费表'!E3="否",结果表!I115,'结果表 (1修多)'!I117)</f>
        <v>——</v>
      </c>
      <c r="E23" s="1357"/>
    </row>
    <row r="24" spans="1:5" ht="14.25" thickTop="1">
      <c r="A24" s="1357"/>
      <c r="B24" s="1357"/>
      <c r="C24" s="1357"/>
      <c r="D24" s="1357"/>
      <c r="E24" s="1357"/>
    </row>
    <row r="25" spans="1:5" ht="18.75" customHeight="1" thickBot="1">
      <c r="A25" s="1357"/>
      <c r="B25" s="3191" t="s">
        <v>1261</v>
      </c>
      <c r="C25" s="3191"/>
      <c r="D25" s="3191"/>
      <c r="E25" s="1357"/>
    </row>
    <row r="26" spans="1:5" ht="18.75" customHeight="1" thickTop="1">
      <c r="A26" s="1357"/>
      <c r="B26" s="3194" t="s">
        <v>1161</v>
      </c>
      <c r="C26" s="3195"/>
      <c r="D26" s="3192" t="s">
        <v>1160</v>
      </c>
      <c r="E26" s="1357"/>
    </row>
    <row r="27" spans="1:5" ht="18.75" customHeight="1">
      <c r="A27" s="1357"/>
      <c r="B27" s="3196"/>
      <c r="C27" s="3197"/>
      <c r="D27" s="3193"/>
      <c r="E27" s="1357"/>
    </row>
    <row r="28" spans="1:5" ht="14.25">
      <c r="A28" s="1357"/>
      <c r="B28" s="3184" t="s">
        <v>776</v>
      </c>
      <c r="C28" s="1374" t="s">
        <v>1163</v>
      </c>
      <c r="D28" s="1375">
        <f ca="1">IF('数据-取费表'!E3="否",结果表!I102,'结果表 (1修多)'!I104)</f>
        <v>63992968</v>
      </c>
      <c r="E28" s="1357"/>
    </row>
    <row r="29" spans="1:5" ht="28.5">
      <c r="A29" s="1357"/>
      <c r="B29" s="3185"/>
      <c r="C29" s="1376" t="s">
        <v>1162</v>
      </c>
      <c r="D29" s="1377" t="str">
        <f ca="1">IF('数据-取费表'!B3="万元",NUMBERSTRING(INT(D28*10000),2)&amp;"元整",NUMBERSTRING(INT(D28),2)&amp;"元整")</f>
        <v>陆仟叁佰玖拾玖万贰仟玖佰陆拾捌元整</v>
      </c>
      <c r="E29" s="1357"/>
    </row>
    <row r="30" spans="1:5" ht="14.25">
      <c r="A30" s="1357"/>
      <c r="B30" s="3186"/>
      <c r="C30" s="1367" t="s">
        <v>1165</v>
      </c>
      <c r="D30" s="1378">
        <f ca="1">IF('数据-取费表'!E3="否",结果表!I103,'结果表 (1修多)'!I105)</f>
        <v>873815004</v>
      </c>
      <c r="E30" s="1357"/>
    </row>
    <row r="31" spans="1:5" ht="14.25">
      <c r="A31" s="1357"/>
      <c r="B31" s="3189" t="str">
        <f>B10</f>
        <v>2.估价师所知悉的法定优先受偿款</v>
      </c>
      <c r="C31" s="1379" t="s">
        <v>1164</v>
      </c>
      <c r="D31" s="1380">
        <f>IF('数据-取费表'!E3="否",结果表!I105,'结果表 (1修多)'!I107)</f>
        <v>0</v>
      </c>
      <c r="E31" s="1357"/>
    </row>
    <row r="32" spans="1:5" ht="14.25">
      <c r="A32" s="1357"/>
      <c r="B32" s="3198"/>
      <c r="C32" s="1376" t="s">
        <v>1162</v>
      </c>
      <c r="D32" s="1381" t="str">
        <f>IF('数据-取费表'!B3="万元",NUMBERSTRING(INT(D31*10000),2)&amp;"元整",NUMBERSTRING(INT(D31),2)&amp;"元整")</f>
        <v>零元整</v>
      </c>
      <c r="E32" s="1357"/>
    </row>
    <row r="33" spans="1:5" ht="14.25">
      <c r="A33" s="1357"/>
      <c r="B33" s="1365" t="s">
        <v>1145</v>
      </c>
      <c r="C33" s="1365" t="str">
        <f>C31</f>
        <v>总额</v>
      </c>
      <c r="D33" s="1378">
        <f>IF('数据-取费表'!E3="否",结果表!I106,'结果表 (1修多)'!I108)</f>
        <v>0</v>
      </c>
      <c r="E33" s="1357"/>
    </row>
    <row r="34" spans="1:5" ht="14.25">
      <c r="A34" s="1357"/>
      <c r="B34" s="1365" t="s">
        <v>1146</v>
      </c>
      <c r="C34" s="1365" t="str">
        <f>C31</f>
        <v>总额</v>
      </c>
      <c r="D34" s="1378">
        <f>IF('数据-取费表'!E3="否",结果表!I107,'结果表 (1修多)'!I109)</f>
        <v>0</v>
      </c>
      <c r="E34" s="1357"/>
    </row>
    <row r="35" spans="1:5" ht="14.25">
      <c r="A35" s="1357"/>
      <c r="B35" s="1365" t="s">
        <v>1147</v>
      </c>
      <c r="C35" s="1365" t="str">
        <f>C31</f>
        <v>总额</v>
      </c>
      <c r="D35" s="1378">
        <f>IF('数据-取费表'!E3="否",结果表!I108,'结果表 (1修多)'!I110)</f>
        <v>0</v>
      </c>
      <c r="E35" s="1357"/>
    </row>
    <row r="36" spans="1:5" ht="14.25">
      <c r="A36" s="1357"/>
      <c r="B36" s="3187" t="str">
        <f>B15</f>
        <v>3.房地产抵押价值</v>
      </c>
      <c r="C36" s="1379" t="str">
        <f>C28</f>
        <v>总价</v>
      </c>
      <c r="D36" s="1380">
        <f ca="1">IF('数据-取费表'!E3="否",结果表!I110,'结果表 (1修多)'!I112)</f>
        <v>63992968</v>
      </c>
      <c r="E36" s="1357"/>
    </row>
    <row r="37" spans="1:5" ht="28.5">
      <c r="A37" s="1357"/>
      <c r="B37" s="3187"/>
      <c r="C37" s="1376" t="s">
        <v>1162</v>
      </c>
      <c r="D37" s="1381" t="str">
        <f ca="1">IF('数据-取费表'!B3="万元",NUMBERSTRING(INT(D36*10000),2)&amp;"元整",NUMBERSTRING(INT(D36),2)&amp;"元整")</f>
        <v>陆仟叁佰玖拾玖万贰仟玖佰陆拾捌元整</v>
      </c>
      <c r="E37" s="1357"/>
    </row>
    <row r="38" spans="1:5" ht="14.25">
      <c r="A38" s="1357"/>
      <c r="B38" s="3187"/>
      <c r="C38" s="1367" t="s">
        <v>1166</v>
      </c>
      <c r="D38" s="1378">
        <f ca="1">IF('数据-取费表'!E3="否",结果表!D113,'结果表 (1修多)'!D117)</f>
        <v>873815004</v>
      </c>
      <c r="E38" s="1357"/>
    </row>
    <row r="39" spans="1:5" ht="14.25">
      <c r="A39" s="1357"/>
      <c r="B39" s="3188" t="str">
        <f>B18</f>
        <v>——</v>
      </c>
      <c r="C39" s="1379" t="str">
        <f>C28</f>
        <v>总价</v>
      </c>
      <c r="D39" s="1380" t="str">
        <f>IF('数据-取费表'!E3="否",结果表!I112,'结果表 (1修多)'!I114)</f>
        <v>——</v>
      </c>
      <c r="E39" s="1357"/>
    </row>
    <row r="40" spans="1:5" ht="14.25">
      <c r="A40" s="1357"/>
      <c r="B40" s="3188"/>
      <c r="C40" s="1376" t="s">
        <v>1162</v>
      </c>
      <c r="D40" s="1381" t="e">
        <f>IF('数据-取费表'!B3="万元",NUMBERSTRING(INT(D39*10000),2)&amp;"元整",NUMBERSTRING(INT(D39),2)&amp;"元整")</f>
        <v>#VALUE!</v>
      </c>
      <c r="E40" s="1357"/>
    </row>
    <row r="41" spans="1:5" ht="14.25">
      <c r="A41" s="1357"/>
      <c r="B41" s="3188"/>
      <c r="C41" s="1367" t="s">
        <v>1166</v>
      </c>
      <c r="D41" s="1378" t="str">
        <f>IF('数据-取费表'!E3="否",结果表!D115,'结果表 (1修多)'!D119)</f>
        <v>——</v>
      </c>
      <c r="E41" s="1357"/>
    </row>
    <row r="42" spans="1:5" ht="14.25">
      <c r="A42" s="1357"/>
      <c r="B42" s="3187" t="str">
        <f>B21</f>
        <v>——</v>
      </c>
      <c r="C42" s="1379" t="str">
        <f>C28</f>
        <v>总价</v>
      </c>
      <c r="D42" s="1380" t="str">
        <f>IF('数据-取费表'!E3="否",结果表!I114,'结果表 (1修多)'!I116)</f>
        <v>——</v>
      </c>
      <c r="E42" s="1357"/>
    </row>
    <row r="43" spans="1:5" ht="14.25">
      <c r="A43" s="1357"/>
      <c r="B43" s="3189"/>
      <c r="C43" s="1376" t="s">
        <v>1162</v>
      </c>
      <c r="D43" s="1382" t="e">
        <f>IF('数据-取费表'!B3="万元",NUMBERSTRING(INT(D42*10000),2)&amp;"元整",NUMBERSTRING(INT(D42),2)&amp;"元整")</f>
        <v>#VALUE!</v>
      </c>
      <c r="E43" s="1357"/>
    </row>
    <row r="44" spans="1:5" ht="15" thickBot="1">
      <c r="A44" s="1357"/>
      <c r="B44" s="3190"/>
      <c r="C44" s="1372" t="s">
        <v>1166</v>
      </c>
      <c r="D44" s="1383" t="str">
        <f ca="1">IF('数据-取费表'!E3="否",结果表!D117,'结果表 (1修多)'!D121)</f>
        <v>——</v>
      </c>
      <c r="E44" s="1357"/>
    </row>
    <row r="45" spans="1:5" ht="14.25" thickTop="1">
      <c r="A45" s="1357"/>
      <c r="B45" s="1357" t="str">
        <f>IF('数据-取费表'!B3="元","单位：元、元/平方米（单位：人民币）","单位：万元、元/平方米（单位：人民币）")</f>
        <v>单位：元、元/平方米（单位：人民币）</v>
      </c>
      <c r="C45" s="1357"/>
      <c r="D45" s="1357"/>
      <c r="E45" s="1357"/>
    </row>
    <row r="46" spans="1:5" ht="18.75">
      <c r="B46" s="1384"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2" customWidth="1"/>
    <col min="2" max="9" width="12.25" style="1342" customWidth="1"/>
    <col min="10" max="16384" width="9" style="1342"/>
  </cols>
  <sheetData>
    <row r="1" spans="1:9" ht="16.5" thickBot="1">
      <c r="A1" s="3205" t="str">
        <f>IF(项目基本情况!D5="房地产市场价值","估价结果一览表","结果表-2")</f>
        <v>估价结果一览表</v>
      </c>
      <c r="B1" s="3205"/>
      <c r="C1" s="3205"/>
      <c r="D1" s="3205"/>
      <c r="E1" s="3205"/>
      <c r="F1" s="3205"/>
      <c r="G1" s="3205"/>
      <c r="H1" s="3205"/>
      <c r="I1" s="3205"/>
    </row>
    <row r="2" spans="1:9" ht="30" customHeight="1" thickTop="1">
      <c r="A2" s="3206" t="s">
        <v>1262</v>
      </c>
      <c r="B2" s="3206" t="s">
        <v>1263</v>
      </c>
      <c r="C2" s="3206" t="s">
        <v>1264</v>
      </c>
      <c r="D2" s="3206" t="str">
        <f>IF('数据-取费表'!E3="否",结果表!D119,'结果表 (1修多)'!D123)</f>
        <v>出让国有建设用地使用权价值</v>
      </c>
      <c r="E2" s="3206"/>
      <c r="F2" s="3206" t="s">
        <v>1265</v>
      </c>
      <c r="G2" s="3206"/>
      <c r="H2" s="3206" t="s">
        <v>1266</v>
      </c>
      <c r="I2" s="3206"/>
    </row>
    <row r="3" spans="1:9" ht="15">
      <c r="A3" s="3201"/>
      <c r="B3" s="3201"/>
      <c r="C3" s="3201"/>
      <c r="D3" s="818" t="s">
        <v>1267</v>
      </c>
      <c r="E3" s="818" t="s">
        <v>1268</v>
      </c>
      <c r="F3" s="818" t="s">
        <v>1267</v>
      </c>
      <c r="G3" s="818" t="s">
        <v>1269</v>
      </c>
      <c r="H3" s="818" t="s">
        <v>1267</v>
      </c>
      <c r="I3" s="818" t="s">
        <v>1269</v>
      </c>
    </row>
    <row r="4" spans="1:9" ht="46.5" customHeight="1">
      <c r="A4" s="818" t="str">
        <f>项目基本情况!I1</f>
        <v>北京市房地产</v>
      </c>
      <c r="B4" s="818">
        <f>结果表!B121</f>
        <v>732.34</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63992968</v>
      </c>
      <c r="I4" s="818">
        <f ca="1">IF('数据-取费表'!E3="否",结果表!I121,'结果表 (1修多)'!I125)</f>
        <v>873815004</v>
      </c>
    </row>
    <row r="5" spans="1:9" ht="15">
      <c r="A5" s="3201" t="s">
        <v>1270</v>
      </c>
      <c r="B5" s="3201"/>
      <c r="C5" s="3201"/>
      <c r="D5" s="3199" t="str">
        <f>IF('数据-取费表'!E3="否",结果表!D122,'结果表 (1修多)'!D126)</f>
        <v>零元整</v>
      </c>
      <c r="E5" s="3199"/>
      <c r="F5" s="3199" t="str">
        <f>IF('数据-取费表'!E3="否",结果表!F122,'结果表 (1修多)'!F126)</f>
        <v>零元整</v>
      </c>
      <c r="G5" s="3199"/>
      <c r="H5" s="3199" t="str">
        <f ca="1">IF('数据-取费表'!E3="否",结果表!H122,'结果表 (1修多)'!H126)</f>
        <v>陆仟叁佰玖拾玖万贰仟玖佰陆拾捌元整</v>
      </c>
      <c r="I5" s="3199"/>
    </row>
    <row r="6" spans="1:9" ht="15.75">
      <c r="A6" s="3200" t="str">
        <f>IF('数据-取费表'!E3="否",结果表!A123,'结果表 (1修多)'!A127)</f>
        <v>——</v>
      </c>
      <c r="B6" s="3200"/>
      <c r="C6" s="3200"/>
      <c r="D6" s="3200">
        <f>IF('数据-取费表'!E3="否",结果表!D123,'结果表 (1修多)'!D127)</f>
        <v>0</v>
      </c>
      <c r="E6" s="3200"/>
      <c r="F6" s="3200"/>
      <c r="G6" s="3200"/>
      <c r="H6" s="3200"/>
      <c r="I6" s="3200"/>
    </row>
    <row r="7" spans="1:9" ht="15">
      <c r="A7" s="3201" t="s">
        <v>1270</v>
      </c>
      <c r="B7" s="3201"/>
      <c r="C7" s="3201"/>
      <c r="D7" s="3202">
        <f>IF('数据-取费表'!E3="否",结果表!D124,'结果表 (1修多)'!D128)</f>
        <v>0</v>
      </c>
      <c r="E7" s="3203"/>
      <c r="F7" s="3203"/>
      <c r="G7" s="3203"/>
      <c r="H7" s="3203"/>
      <c r="I7" s="3204"/>
    </row>
    <row r="8" spans="1:9" ht="15.75">
      <c r="A8" s="3200" t="str">
        <f>IF('数据-取费表'!E3="否",结果表!A125,'结果表 (1修多)'!A129)</f>
        <v>——</v>
      </c>
      <c r="B8" s="3200"/>
      <c r="C8" s="3200"/>
      <c r="D8" s="3200">
        <f ca="1">IF('数据-取费表'!E3="否",结果表!D125,'结果表 (1修多)'!D129)</f>
        <v>63992968</v>
      </c>
      <c r="E8" s="3200"/>
      <c r="F8" s="3200"/>
      <c r="G8" s="3200"/>
      <c r="H8" s="3200"/>
      <c r="I8" s="3200"/>
    </row>
    <row r="9" spans="1:9" ht="15">
      <c r="A9" s="3201" t="s">
        <v>1270</v>
      </c>
      <c r="B9" s="3201"/>
      <c r="C9" s="3201"/>
      <c r="D9" s="3199">
        <f ca="1">IF('数据-取费表'!E3="否",结果表!D126,'结果表 (1修多)'!D130)</f>
        <v>873815004</v>
      </c>
      <c r="E9" s="3199"/>
      <c r="F9" s="3199"/>
      <c r="G9" s="3199"/>
      <c r="H9" s="3199"/>
      <c r="I9" s="3199"/>
    </row>
    <row r="10" spans="1:9" ht="15.75">
      <c r="A10" s="3200" t="str">
        <f>IF('数据-取费表'!E3="否",结果表!A127,'结果表 (1修多)'!A131)</f>
        <v>——</v>
      </c>
      <c r="B10" s="3200"/>
      <c r="C10" s="3200"/>
      <c r="D10" s="3200">
        <f ca="1">IF('数据-取费表'!E3="否",结果表!D127,'结果表 (1修多)'!D130)</f>
        <v>873815004</v>
      </c>
      <c r="E10" s="3200"/>
      <c r="F10" s="3200"/>
      <c r="G10" s="3200"/>
      <c r="H10" s="3200"/>
      <c r="I10" s="3200"/>
    </row>
    <row r="11" spans="1:9" ht="15">
      <c r="A11" s="3201" t="s">
        <v>1270</v>
      </c>
      <c r="B11" s="3201"/>
      <c r="C11" s="3201"/>
      <c r="D11" s="3199" t="str">
        <f>IF('数据-取费表'!E3="否",结果表!D128,'结果表 (1修多)'!D132)</f>
        <v>——</v>
      </c>
      <c r="E11" s="3199"/>
      <c r="F11" s="3199"/>
      <c r="G11" s="3199"/>
      <c r="H11" s="3199"/>
      <c r="I11" s="3199"/>
    </row>
    <row r="12" spans="1:9" ht="15.75">
      <c r="A12" s="3200" t="str">
        <f>IF('数据-取费表'!E3="否",结果表!A129,'结果表 (1修多)'!A133)</f>
        <v>——</v>
      </c>
      <c r="B12" s="3200"/>
      <c r="C12" s="3200"/>
      <c r="D12" s="3200" t="str">
        <f>IF('数据-取费表'!E3="否",结果表!D129,'结果表 (1修多)'!D133)</f>
        <v>——</v>
      </c>
      <c r="E12" s="3200"/>
      <c r="F12" s="3200"/>
      <c r="G12" s="3200"/>
      <c r="H12" s="3200"/>
      <c r="I12" s="3200"/>
    </row>
    <row r="13" spans="1:9" ht="15.75" thickBot="1">
      <c r="A13" s="3207" t="s">
        <v>1270</v>
      </c>
      <c r="B13" s="3207"/>
      <c r="C13" s="3207"/>
      <c r="D13" s="3208">
        <f>IF('数据-取费表'!E3="否",结果表!D130,'结果表 (1修多)'!D134)</f>
        <v>0</v>
      </c>
      <c r="E13" s="3208"/>
      <c r="F13" s="3208"/>
      <c r="G13" s="3208"/>
      <c r="H13" s="3208"/>
      <c r="I13" s="3208"/>
    </row>
    <row r="14" spans="1:9" ht="15" thickTop="1">
      <c r="A14" s="3209" t="str">
        <f>IF('数据-取费表'!E3="否",结果表!A131,'结果表 (1修多)'!A135)</f>
        <v>单位：平方米、元、元/平方米（币种：人民币）</v>
      </c>
      <c r="B14" s="3209"/>
      <c r="C14" s="3209"/>
      <c r="D14" s="3209"/>
      <c r="E14" s="3209"/>
      <c r="F14" s="3209"/>
      <c r="G14" s="3209"/>
      <c r="H14" s="3209"/>
      <c r="I14" s="3209"/>
    </row>
    <row r="15" spans="1:9">
      <c r="A15" s="605"/>
      <c r="B15" s="605"/>
      <c r="C15" s="605"/>
      <c r="D15" s="605"/>
      <c r="E15" s="605"/>
      <c r="F15" s="605"/>
      <c r="G15" s="605"/>
      <c r="H15" s="605"/>
      <c r="I15" s="605"/>
    </row>
    <row r="16" spans="1:9" ht="18.75">
      <c r="A16" s="1385"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2" customWidth="1"/>
    <col min="2" max="2" width="24" style="1342" customWidth="1"/>
    <col min="3" max="3" width="23.25" style="1342" customWidth="1"/>
    <col min="4" max="4" width="21" style="1342" customWidth="1"/>
    <col min="5" max="16384" width="9" style="1342"/>
  </cols>
  <sheetData>
    <row r="1" spans="1:4" ht="18.75">
      <c r="A1" s="3214" t="s">
        <v>1283</v>
      </c>
      <c r="B1" s="3214"/>
      <c r="C1" s="3214"/>
      <c r="D1" s="3214"/>
    </row>
    <row r="2" spans="1:4" ht="18">
      <c r="A2" s="3213" t="s">
        <v>1272</v>
      </c>
      <c r="B2" s="3213"/>
      <c r="C2" s="3213"/>
      <c r="D2" s="3213"/>
    </row>
    <row r="3" spans="1:4" ht="18.75">
      <c r="A3" s="1386" t="s">
        <v>1273</v>
      </c>
      <c r="B3" s="1386" t="s">
        <v>1274</v>
      </c>
      <c r="C3" s="1386" t="s">
        <v>1275</v>
      </c>
      <c r="D3" s="1386" t="s">
        <v>1276</v>
      </c>
    </row>
    <row r="4" spans="1:4" ht="56.25" customHeight="1">
      <c r="A4" s="1387">
        <f>项目基本情况!B3</f>
        <v>0</v>
      </c>
      <c r="B4" s="1388">
        <f>项目基本情况!C3</f>
        <v>0</v>
      </c>
      <c r="C4" s="1389"/>
      <c r="D4" s="1390" t="s">
        <v>1284</v>
      </c>
    </row>
    <row r="5" spans="1:4" ht="56.25" customHeight="1">
      <c r="A5" s="1387" t="str">
        <f>项目基本情况!D3</f>
        <v>郑燚</v>
      </c>
      <c r="B5" s="1388">
        <f ca="1">项目基本情况!E3</f>
        <v>1120070131</v>
      </c>
      <c r="C5" s="1391"/>
      <c r="D5" s="1390" t="s">
        <v>1284</v>
      </c>
    </row>
    <row r="6" spans="1:4" ht="12" customHeight="1">
      <c r="A6" s="1387"/>
      <c r="B6" s="1388"/>
      <c r="C6" s="1392"/>
      <c r="D6" s="1390"/>
    </row>
    <row r="7" spans="1:4" ht="18">
      <c r="A7" s="3213" t="s">
        <v>1277</v>
      </c>
      <c r="B7" s="3213"/>
      <c r="C7" s="3213"/>
      <c r="D7" s="3213"/>
    </row>
    <row r="8" spans="1:4" ht="18.75">
      <c r="A8" s="1386" t="s">
        <v>1273</v>
      </c>
      <c r="B8" s="1388" t="s">
        <v>1278</v>
      </c>
      <c r="C8" s="1386" t="s">
        <v>1275</v>
      </c>
      <c r="D8" s="1386" t="s">
        <v>1276</v>
      </c>
    </row>
    <row r="9" spans="1:4" ht="56.25" customHeight="1">
      <c r="A9" s="1393" t="s">
        <v>777</v>
      </c>
      <c r="B9" s="1393" t="s">
        <v>778</v>
      </c>
      <c r="C9" s="1389"/>
      <c r="D9" s="1390" t="s">
        <v>1284</v>
      </c>
    </row>
    <row r="11" spans="1:4" ht="18.75">
      <c r="A11" s="1394" t="s">
        <v>1279</v>
      </c>
    </row>
    <row r="12" spans="1:4" ht="30" customHeight="1">
      <c r="A12" s="3210" t="s">
        <v>2735</v>
      </c>
      <c r="B12" s="3212"/>
      <c r="C12" s="3212"/>
      <c r="D12" s="3212"/>
    </row>
    <row r="13" spans="1:4" ht="15.75">
      <c r="A13" s="32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2"/>
      <c r="C13" s="3212"/>
      <c r="D13" s="3212"/>
    </row>
    <row r="14" spans="1:4" ht="30" customHeight="1">
      <c r="A14" s="3210" t="str">
        <f>IF(项目基本情况!D4="抵押","3.抵押双方在办理抵押登记手续时，应使用本公司出具的正式《不动产估价报告书》，特提醒报告使用者注意。","——")</f>
        <v>——</v>
      </c>
      <c r="B14" s="3212"/>
      <c r="C14" s="3212"/>
      <c r="D14" s="3212"/>
    </row>
    <row r="15" spans="1:4" ht="15.75" customHeight="1">
      <c r="A15" s="3210" t="str">
        <f>IF(项目基本情况!D4="抵押","4.本次评估估价师所知悉的法定优先受偿款情况说明如下：","——")</f>
        <v>——</v>
      </c>
      <c r="B15" s="3212"/>
      <c r="C15" s="3212"/>
      <c r="D15" s="3212"/>
    </row>
    <row r="16" spans="1:4" ht="75" customHeight="1">
      <c r="A16" s="3210" t="str">
        <f>IF(项目基本情况!D4="抵押",CONCATENATE(项目基本情况!J13,项目基本情况!J14,项目基本情况!J15),"——")</f>
        <v>——</v>
      </c>
      <c r="B16" s="3210"/>
      <c r="C16" s="3210"/>
      <c r="D16" s="3210"/>
    </row>
    <row r="17" spans="1:4" ht="63.75" customHeight="1">
      <c r="A17" s="3211" t="s">
        <v>1285</v>
      </c>
      <c r="B17" s="3211"/>
      <c r="C17" s="3211"/>
      <c r="D17" s="3211"/>
    </row>
    <row r="18" spans="1:4" ht="15.75" customHeight="1">
      <c r="A18" s="3210" t="str">
        <f>IF(项目基本情况!D4="抵押",结果表!L106,"——")</f>
        <v>——</v>
      </c>
      <c r="B18" s="3210"/>
      <c r="C18" s="3210"/>
      <c r="D18" s="3210"/>
    </row>
    <row r="19" spans="1:4" ht="46.5" customHeight="1">
      <c r="A19" s="32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0"/>
      <c r="C19" s="3210"/>
      <c r="D19" s="3210"/>
    </row>
    <row r="20" spans="1:4" ht="15">
      <c r="A20" s="3211" t="s">
        <v>2736</v>
      </c>
      <c r="B20" s="3211"/>
      <c r="C20" s="3211"/>
      <c r="D20" s="3211"/>
    </row>
    <row r="21" spans="1:4">
      <c r="A21" s="1395"/>
      <c r="B21" s="980"/>
      <c r="C21" s="980"/>
      <c r="D21" s="980"/>
    </row>
    <row r="22" spans="1:4">
      <c r="A22" s="1395"/>
      <c r="B22" s="980"/>
      <c r="C22" s="980"/>
      <c r="D22" s="980"/>
    </row>
    <row r="23" spans="1:4" ht="18.75">
      <c r="A23" s="1356" t="s">
        <v>1280</v>
      </c>
    </row>
    <row r="24" spans="1:4" ht="18">
      <c r="A24" s="1356"/>
    </row>
    <row r="25" spans="1:4" ht="18.75">
      <c r="A25" s="1356" t="s">
        <v>1281</v>
      </c>
    </row>
    <row r="28" spans="1:4" ht="21" customHeight="1">
      <c r="D28" s="1396" t="s">
        <v>1282</v>
      </c>
    </row>
    <row r="29" spans="1:4" ht="21" customHeight="1">
      <c r="C29" s="1397"/>
      <c r="D29" s="139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4" customWidth="1"/>
    <col min="2" max="16384" width="14.5" style="605"/>
  </cols>
  <sheetData>
    <row r="1" spans="1:7" s="1385" customFormat="1" ht="18.75">
      <c r="A1" s="603" t="s">
        <v>1352</v>
      </c>
    </row>
    <row r="3" spans="1:7" ht="14.25">
      <c r="A3" s="1402" t="s">
        <v>1353</v>
      </c>
      <c r="B3" s="605" t="s">
        <v>1354</v>
      </c>
      <c r="G3" s="1403"/>
    </row>
    <row r="4" spans="1:7">
      <c r="G4" s="1403"/>
    </row>
    <row r="5" spans="1:7" ht="14.25">
      <c r="A5" s="1405" t="s">
        <v>1355</v>
      </c>
      <c r="B5" s="605" t="s">
        <v>1356</v>
      </c>
      <c r="G5" s="1403"/>
    </row>
    <row r="6" spans="1:7">
      <c r="G6" s="1403"/>
    </row>
    <row r="7" spans="1:7" ht="14.25">
      <c r="A7" s="1406" t="s">
        <v>1357</v>
      </c>
      <c r="B7" s="605" t="s">
        <v>1358</v>
      </c>
      <c r="G7" s="1403"/>
    </row>
    <row r="8" spans="1:7">
      <c r="G8" s="1403"/>
    </row>
    <row r="9" spans="1:7">
      <c r="A9" s="1407" t="s">
        <v>1359</v>
      </c>
      <c r="B9" s="605" t="s">
        <v>1360</v>
      </c>
    </row>
    <row r="11" spans="1:7">
      <c r="A11" s="1408" t="s">
        <v>1361</v>
      </c>
      <c r="B11" s="1409" t="s">
        <v>1362</v>
      </c>
    </row>
    <row r="13" spans="1:7">
      <c r="A13" s="1188" t="s">
        <v>1363</v>
      </c>
    </row>
    <row r="15" spans="1:7" ht="14.25">
      <c r="A15" s="3220" t="s">
        <v>1364</v>
      </c>
      <c r="B15" s="3215" t="s">
        <v>1365</v>
      </c>
      <c r="C15" s="3216"/>
    </row>
    <row r="16" spans="1:7" ht="14.25">
      <c r="A16" s="3221"/>
      <c r="B16" s="3215" t="s">
        <v>1366</v>
      </c>
      <c r="C16" s="3216"/>
    </row>
    <row r="17" spans="1:3" ht="14.25">
      <c r="A17" s="3221"/>
      <c r="B17" s="3215" t="s">
        <v>1367</v>
      </c>
      <c r="C17" s="3216"/>
    </row>
    <row r="18" spans="1:3" ht="14.25">
      <c r="A18" s="3222"/>
      <c r="B18" s="3217" t="s">
        <v>1368</v>
      </c>
      <c r="C18" s="3216"/>
    </row>
    <row r="19" spans="1:3" ht="14.25">
      <c r="A19" s="1410" t="s">
        <v>1369</v>
      </c>
      <c r="B19" s="1411"/>
      <c r="C19" s="1412"/>
    </row>
    <row r="20" spans="1:3" ht="14.25">
      <c r="A20" s="3218" t="s">
        <v>1370</v>
      </c>
      <c r="B20" s="3217" t="s">
        <v>1371</v>
      </c>
      <c r="C20" s="3216"/>
    </row>
    <row r="21" spans="1:3" ht="14.25">
      <c r="A21" s="3218"/>
      <c r="B21" s="3217" t="s">
        <v>1372</v>
      </c>
      <c r="C21" s="3216"/>
    </row>
    <row r="22" spans="1:3" ht="14.25">
      <c r="A22" s="3218"/>
      <c r="B22" s="3217" t="s">
        <v>1373</v>
      </c>
      <c r="C22" s="3216"/>
    </row>
    <row r="23" spans="1:3" ht="14.25">
      <c r="A23" s="3218"/>
      <c r="B23" s="3219" t="s">
        <v>1374</v>
      </c>
      <c r="C23" s="1413" t="s">
        <v>1375</v>
      </c>
    </row>
    <row r="24" spans="1:3" ht="14.25">
      <c r="A24" s="3218"/>
      <c r="B24" s="3219"/>
      <c r="C24" s="1413" t="s">
        <v>1376</v>
      </c>
    </row>
    <row r="25" spans="1:3" ht="14.25">
      <c r="A25" s="3218"/>
      <c r="B25" s="3219"/>
      <c r="C25" s="1413" t="s">
        <v>1377</v>
      </c>
    </row>
    <row r="26" spans="1:3" ht="14.25">
      <c r="A26" s="3218"/>
      <c r="B26" s="3219"/>
      <c r="C26" s="1413" t="s">
        <v>1378</v>
      </c>
    </row>
    <row r="27" spans="1:3" ht="14.25">
      <c r="A27" s="3218"/>
      <c r="B27" s="3219"/>
      <c r="C27" s="1413" t="s">
        <v>1379</v>
      </c>
    </row>
    <row r="28" spans="1:3" ht="14.25">
      <c r="A28" s="3218"/>
      <c r="B28" s="3219"/>
      <c r="C28" s="1413" t="s">
        <v>1380</v>
      </c>
    </row>
    <row r="29" spans="1:3" ht="14.25">
      <c r="A29" s="3218"/>
      <c r="B29" s="3219"/>
      <c r="C29" s="1413" t="s">
        <v>1381</v>
      </c>
    </row>
    <row r="30" spans="1:3" ht="14.25">
      <c r="A30" s="3218"/>
      <c r="B30" s="3219"/>
      <c r="C30" s="1413" t="s">
        <v>1382</v>
      </c>
    </row>
    <row r="31" spans="1:3" ht="14.25">
      <c r="A31" s="3218"/>
      <c r="B31" s="3219"/>
      <c r="C31" s="1413" t="s">
        <v>1383</v>
      </c>
    </row>
    <row r="32" spans="1:3">
      <c r="A32" s="1414"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44335</v>
      </c>
      <c r="C2" s="3060" t="s">
        <v>747</v>
      </c>
      <c r="D2" s="3060"/>
      <c r="E2" s="3060"/>
      <c r="F2" s="3057"/>
      <c r="G2" s="3057"/>
      <c r="H2" s="3057"/>
    </row>
    <row r="3" spans="1:8" ht="24" customHeight="1">
      <c r="A3" s="3061" t="s">
        <v>748</v>
      </c>
      <c r="B3" s="3062" t="s">
        <v>749</v>
      </c>
      <c r="C3" s="3062" t="s">
        <v>750</v>
      </c>
      <c r="D3" s="3063" t="s">
        <v>772</v>
      </c>
      <c r="E3" s="3076" t="s">
        <v>751</v>
      </c>
      <c r="F3" s="1299" t="s">
        <v>752</v>
      </c>
      <c r="G3" s="3062" t="s">
        <v>750</v>
      </c>
      <c r="H3" s="3063" t="s">
        <v>773</v>
      </c>
    </row>
    <row r="4" spans="1:8" ht="24" customHeight="1">
      <c r="A4" s="1299" t="s">
        <v>753</v>
      </c>
      <c r="B4" s="1299">
        <f ca="1">IF(C4&lt;B2,"已过期",1119970066)</f>
        <v>1119970066</v>
      </c>
      <c r="C4" s="3064">
        <v>44876</v>
      </c>
      <c r="D4" s="3075" t="str">
        <f ca="1">A4&amp;"（注册号："&amp;B4&amp;"）"</f>
        <v>梁津（注册号：1119970066）</v>
      </c>
      <c r="E4" s="3077" t="s">
        <v>753</v>
      </c>
      <c r="F4" s="1299">
        <f ca="1">IF(G4&lt;B2,"已过期",96010014)</f>
        <v>96010014</v>
      </c>
      <c r="G4" s="3065">
        <v>47118</v>
      </c>
      <c r="H4" s="3066" t="str">
        <f ca="1">E4&amp;"（注册号："&amp;F4&amp;"）"</f>
        <v>梁津（注册号：96010014）</v>
      </c>
    </row>
    <row r="5" spans="1:8" ht="24" customHeight="1">
      <c r="A5" s="1299" t="s">
        <v>754</v>
      </c>
      <c r="B5" s="1299">
        <f ca="1">IF(C5&lt;B2,"已过期",1119970111)</f>
        <v>1119970111</v>
      </c>
      <c r="C5" s="3064">
        <v>44876</v>
      </c>
      <c r="D5" s="3075" t="str">
        <f t="shared" ref="D5:D14" ca="1" si="0">A5&amp;"（注册号："&amp;B5&amp;"）"</f>
        <v>叶凌（注册号：1119970111）</v>
      </c>
      <c r="E5" s="3077" t="s">
        <v>754</v>
      </c>
      <c r="F5" s="1299">
        <f ca="1">IF(G5&lt;B2,"已过期",94010078)</f>
        <v>94010078</v>
      </c>
      <c r="G5" s="3065">
        <v>46387</v>
      </c>
      <c r="H5" s="3066" t="str">
        <f t="shared" ref="H5:H16" ca="1" si="1">E5&amp;"（注册号："&amp;F5&amp;"）"</f>
        <v>叶凌（注册号：94010078）</v>
      </c>
    </row>
    <row r="6" spans="1:8" ht="24" customHeight="1">
      <c r="A6" s="1299" t="s">
        <v>755</v>
      </c>
      <c r="B6" s="1299">
        <f ca="1">IF(C6&lt;B2,"已过期",1120050019)</f>
        <v>1120050019</v>
      </c>
      <c r="C6" s="3064">
        <v>44395</v>
      </c>
      <c r="D6" s="3075" t="str">
        <f t="shared" ca="1" si="0"/>
        <v>王鹏（注册号：1120050019）</v>
      </c>
      <c r="E6" s="3077" t="s">
        <v>755</v>
      </c>
      <c r="F6" s="1299">
        <f ca="1">IF(G6&lt;B2,"已过期",2002110030)</f>
        <v>2002110030</v>
      </c>
      <c r="G6" s="3065">
        <v>46387</v>
      </c>
      <c r="H6" s="3066" t="str">
        <f t="shared" ca="1" si="1"/>
        <v>王鹏（注册号：2002110030）</v>
      </c>
    </row>
    <row r="7" spans="1:8" ht="24" customHeight="1">
      <c r="A7" s="1299" t="s">
        <v>756</v>
      </c>
      <c r="B7" s="1299">
        <f ca="1">IF(C7&lt;B2,"已过期",1120000080)</f>
        <v>1120000080</v>
      </c>
      <c r="C7" s="3064">
        <v>44876</v>
      </c>
      <c r="D7" s="3075" t="str">
        <f t="shared" ca="1" si="0"/>
        <v>欧红伟（注册号：1120000080）</v>
      </c>
      <c r="E7" s="3077" t="s">
        <v>756</v>
      </c>
      <c r="F7" s="1299">
        <f ca="1">IF(G7&lt;B2,"已过期",2000110082)</f>
        <v>2000110082</v>
      </c>
      <c r="G7" s="3065">
        <v>46387</v>
      </c>
      <c r="H7" s="3066" t="str">
        <f t="shared" ca="1" si="1"/>
        <v>欧红伟（注册号：2000110082）</v>
      </c>
    </row>
    <row r="8" spans="1:8" ht="24" customHeight="1">
      <c r="A8" s="1299" t="s">
        <v>757</v>
      </c>
      <c r="B8" s="1299">
        <f ca="1">IF(C8&lt;B2,"已过期",1419970001)</f>
        <v>1419970001</v>
      </c>
      <c r="C8" s="3064">
        <v>44899</v>
      </c>
      <c r="D8" s="3075" t="str">
        <f t="shared" ca="1" si="0"/>
        <v>吴薇（注册号：1419970001）</v>
      </c>
      <c r="E8" s="3077" t="s">
        <v>757</v>
      </c>
      <c r="F8" s="1299">
        <f ca="1">IF(G8&lt;B2,"已过期",2002110125)</f>
        <v>2002110125</v>
      </c>
      <c r="G8" s="3065">
        <v>47118</v>
      </c>
      <c r="H8" s="3066" t="str">
        <f t="shared" ca="1" si="1"/>
        <v>吴薇（注册号：2002110125）</v>
      </c>
    </row>
    <row r="9" spans="1:8" ht="24" customHeight="1">
      <c r="A9" s="1299" t="s">
        <v>758</v>
      </c>
      <c r="B9" s="1299">
        <f ca="1">IF(C9&lt;B2,"已过期",1120060040)</f>
        <v>1120060040</v>
      </c>
      <c r="C9" s="3067">
        <v>44554</v>
      </c>
      <c r="D9" s="3075" t="str">
        <f t="shared" ca="1" si="0"/>
        <v>陈颖（注册号：1120060040）</v>
      </c>
      <c r="E9" s="3077" t="s">
        <v>758</v>
      </c>
      <c r="F9" s="1299">
        <f ca="1">IF(G9&lt;B2,"已过期",2004110096)</f>
        <v>2004110096</v>
      </c>
      <c r="G9" s="3065">
        <v>47118</v>
      </c>
      <c r="H9" s="3066" t="str">
        <f t="shared" ca="1" si="1"/>
        <v>陈颖（注册号：2004110096）</v>
      </c>
    </row>
    <row r="10" spans="1:8" ht="24" customHeight="1">
      <c r="A10" s="1299" t="s">
        <v>759</v>
      </c>
      <c r="B10" s="1299">
        <f ca="1">IF(C10&lt;B2,"已过期",1120100036)</f>
        <v>1120100036</v>
      </c>
      <c r="C10" s="3067">
        <v>44675</v>
      </c>
      <c r="D10" s="3075" t="str">
        <f t="shared" ca="1" si="0"/>
        <v>崔锴（注册号：1120100036）</v>
      </c>
      <c r="E10" s="3077" t="s">
        <v>759</v>
      </c>
      <c r="F10" s="1299">
        <f ca="1">IF(G10&lt;B2,"已过期",2010110070)</f>
        <v>2010110070</v>
      </c>
      <c r="G10" s="3065">
        <v>47907</v>
      </c>
      <c r="H10" s="3066" t="str">
        <f t="shared" ca="1" si="1"/>
        <v>崔锴（注册号：2010110070）</v>
      </c>
    </row>
    <row r="11" spans="1:8" ht="24" customHeight="1">
      <c r="A11" s="1299" t="s">
        <v>760</v>
      </c>
      <c r="B11" s="1299">
        <f ca="1">IF(C11&lt;B2,"已过期",1120070131)</f>
        <v>1120070131</v>
      </c>
      <c r="C11" s="3064">
        <v>44849</v>
      </c>
      <c r="D11" s="3075" t="str">
        <f t="shared" ca="1" si="0"/>
        <v>郑燚（注册号：1120070131）</v>
      </c>
      <c r="E11" s="3077" t="s">
        <v>760</v>
      </c>
      <c r="F11" s="1299">
        <f ca="1">IF(G11&lt;B2,"已过期",2014110011)</f>
        <v>2014110011</v>
      </c>
      <c r="G11" s="3065">
        <v>49302</v>
      </c>
      <c r="H11" s="3066" t="str">
        <f t="shared" ca="1" si="1"/>
        <v>郑燚（注册号：2014110011）</v>
      </c>
    </row>
    <row r="12" spans="1:8" ht="24" customHeight="1">
      <c r="A12" s="1299" t="s">
        <v>2712</v>
      </c>
      <c r="B12" s="1299">
        <f ca="1">IF(C12&lt;B2,"已过期",1120040230)</f>
        <v>1120040230</v>
      </c>
      <c r="C12" s="3067">
        <v>44864</v>
      </c>
      <c r="D12" s="3075" t="str">
        <f t="shared" ca="1" si="0"/>
        <v>苏海（注册号：1120040230）</v>
      </c>
      <c r="E12" s="3077" t="s">
        <v>2712</v>
      </c>
      <c r="F12" s="1299">
        <f ca="1">IF(G12&lt;B2,"已过期",98030020)</f>
        <v>98030020</v>
      </c>
      <c r="G12" s="3065">
        <v>47118</v>
      </c>
      <c r="H12" s="3066" t="str">
        <f t="shared" ca="1" si="1"/>
        <v>苏海（注册号：98030020）</v>
      </c>
    </row>
    <row r="13" spans="1:8" ht="24" customHeight="1">
      <c r="A13" s="1299" t="s">
        <v>761</v>
      </c>
      <c r="B13" s="1299">
        <f ca="1">IF(C13&lt;B2,"已过期",1120020033)</f>
        <v>1120020033</v>
      </c>
      <c r="C13" s="3064">
        <v>44339</v>
      </c>
      <c r="D13" s="3075" t="str">
        <f t="shared" ca="1" si="0"/>
        <v>刘敬东（注册号：1120020033）</v>
      </c>
      <c r="E13" s="3077" t="s">
        <v>761</v>
      </c>
      <c r="F13" s="1299">
        <f ca="1">IF(G13&lt;B2,"已过期",2000110137)</f>
        <v>2000110137</v>
      </c>
      <c r="G13" s="3065">
        <v>46387</v>
      </c>
      <c r="H13" s="3066" t="str">
        <f t="shared" ca="1" si="1"/>
        <v>刘敬东（注册号：2000110137）</v>
      </c>
    </row>
    <row r="14" spans="1:8" ht="24" customHeight="1">
      <c r="A14" s="1299" t="s">
        <v>2728</v>
      </c>
      <c r="B14" s="1299">
        <f ca="1">IF(C14&lt;B2,"已过期",1119980106)</f>
        <v>1119980106</v>
      </c>
      <c r="C14" s="3067">
        <v>44969</v>
      </c>
      <c r="D14" s="3075" t="str">
        <f t="shared" ca="1" si="0"/>
        <v>刘俊财（注册号：1119980106）</v>
      </c>
      <c r="E14" s="3077" t="s">
        <v>2828</v>
      </c>
      <c r="F14" s="1299">
        <f ca="1">IF(G14&lt;B2,"已过期",96010063)</f>
        <v>96010063</v>
      </c>
      <c r="G14" s="3065">
        <v>47483</v>
      </c>
      <c r="H14" s="3066" t="str">
        <f t="shared" ca="1" si="1"/>
        <v>刘俊财（注册号：96010063）</v>
      </c>
    </row>
    <row r="15" spans="1:8" ht="24" customHeight="1">
      <c r="A15" s="1299"/>
      <c r="B15" s="1299"/>
      <c r="C15" s="3067"/>
      <c r="D15" s="3075" t="str">
        <f t="shared" ref="D15" si="2">A15&amp;"（注册号："&amp;B15&amp;"）"</f>
        <v>（注册号：）</v>
      </c>
      <c r="E15" s="3077" t="s">
        <v>2832</v>
      </c>
      <c r="F15" s="1299">
        <f ca="1">IF(G15&lt;B2,"已过期",2011110090)</f>
        <v>2011110090</v>
      </c>
      <c r="G15" s="3065">
        <v>48302</v>
      </c>
      <c r="H15" s="3066" t="str">
        <f t="shared" ref="H15" ca="1" si="3">E15&amp;"（注册号："&amp;F15&amp;"）"</f>
        <v>赵雯（注册号：2011110090）</v>
      </c>
    </row>
    <row r="16" spans="1:8" s="3055" customFormat="1" ht="24" customHeight="1">
      <c r="A16" s="1299"/>
      <c r="B16" s="1299"/>
      <c r="C16" s="1299"/>
      <c r="D16" s="3075" t="str">
        <f>A16&amp;"（注册号："&amp;B16&amp;"）"</f>
        <v>（注册号：）</v>
      </c>
      <c r="E16" s="3077"/>
      <c r="F16" s="1299"/>
      <c r="G16" s="1299"/>
      <c r="H16" s="3068" t="str">
        <f t="shared" si="1"/>
        <v>（注册号：）</v>
      </c>
    </row>
    <row r="17" spans="1:8" ht="24" customHeight="1">
      <c r="A17" s="3223" t="s">
        <v>762</v>
      </c>
      <c r="B17" s="3223"/>
      <c r="C17" s="3223"/>
      <c r="D17" s="3223"/>
      <c r="E17" s="3223"/>
      <c r="F17" s="3223"/>
      <c r="G17" s="3223"/>
      <c r="H17" s="3223"/>
    </row>
    <row r="18" spans="1:8" ht="24" customHeight="1">
      <c r="A18" s="3224" t="s">
        <v>763</v>
      </c>
      <c r="B18" s="3224"/>
      <c r="C18" s="3224"/>
      <c r="D18" s="3063"/>
      <c r="E18" s="3225" t="s">
        <v>764</v>
      </c>
      <c r="F18" s="3224"/>
      <c r="G18" s="3224"/>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2829</v>
      </c>
      <c r="B20" s="3070" t="s">
        <v>2830</v>
      </c>
      <c r="C20" s="3065">
        <v>44820</v>
      </c>
      <c r="D20" s="3078"/>
      <c r="E20" s="3080" t="s">
        <v>768</v>
      </c>
      <c r="F20" s="3070" t="s">
        <v>769</v>
      </c>
      <c r="G20" s="3071">
        <v>44377</v>
      </c>
    </row>
    <row r="21" spans="1:8" s="3053" customFormat="1" ht="24" customHeight="1">
      <c r="A21" s="3070"/>
      <c r="B21" s="3070"/>
      <c r="C21" s="3072"/>
      <c r="D21" s="3079"/>
      <c r="E21" s="3080" t="s">
        <v>770</v>
      </c>
      <c r="F21" s="3073" t="s">
        <v>2727</v>
      </c>
      <c r="G21" s="3074">
        <v>44012</v>
      </c>
    </row>
    <row r="22" spans="1:8" ht="24" customHeight="1">
      <c r="C22" s="3056"/>
      <c r="D22" s="3056"/>
      <c r="E22" s="3081"/>
      <c r="F22" s="3082"/>
      <c r="G22" s="3083"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5" t="s">
        <v>1385</v>
      </c>
      <c r="B1" s="4" t="s">
        <v>1386</v>
      </c>
      <c r="C1" s="1416" t="s">
        <v>1387</v>
      </c>
      <c r="D1" s="5" t="s">
        <v>1388</v>
      </c>
      <c r="E1" s="5" t="s">
        <v>1389</v>
      </c>
      <c r="F1" s="5" t="s">
        <v>1390</v>
      </c>
      <c r="G1" s="5" t="s">
        <v>1391</v>
      </c>
      <c r="H1" s="5" t="s">
        <v>1392</v>
      </c>
      <c r="I1" s="5" t="s">
        <v>1393</v>
      </c>
      <c r="J1" s="5" t="s">
        <v>1394</v>
      </c>
      <c r="K1" s="5" t="s">
        <v>1395</v>
      </c>
      <c r="L1" s="5" t="s">
        <v>1396</v>
      </c>
      <c r="M1" s="5" t="s">
        <v>1397</v>
      </c>
      <c r="N1" s="5" t="s">
        <v>1398</v>
      </c>
      <c r="O1" s="5" t="s">
        <v>1399</v>
      </c>
      <c r="P1" s="1417" t="s">
        <v>1400</v>
      </c>
      <c r="Q1" s="1417" t="s">
        <v>1401</v>
      </c>
      <c r="R1" s="1417" t="s">
        <v>1402</v>
      </c>
      <c r="S1" s="5" t="s">
        <v>1403</v>
      </c>
      <c r="T1" s="6" t="s">
        <v>1404</v>
      </c>
      <c r="U1" s="5" t="s">
        <v>1405</v>
      </c>
      <c r="V1" s="5" t="s">
        <v>1406</v>
      </c>
      <c r="W1" s="5" t="s">
        <v>1407</v>
      </c>
      <c r="X1" s="5" t="s">
        <v>1408</v>
      </c>
      <c r="Y1" s="5" t="s">
        <v>1409</v>
      </c>
    </row>
    <row r="2" spans="1:25">
      <c r="A2" s="1418" t="s">
        <v>33</v>
      </c>
      <c r="B2" s="1418" t="s">
        <v>1410</v>
      </c>
      <c r="C2" s="1419"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8" t="s">
        <v>1423</v>
      </c>
      <c r="B3" s="1420"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8" t="s">
        <v>1436</v>
      </c>
      <c r="B4" s="1420" t="s">
        <v>1437</v>
      </c>
      <c r="C4" s="1419"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8" t="s">
        <v>1447</v>
      </c>
      <c r="B5" s="1418" t="s">
        <v>1448</v>
      </c>
      <c r="C5" s="1419"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1"/>
    </row>
    <row r="6" spans="1:25">
      <c r="A6" s="1418" t="s">
        <v>1456</v>
      </c>
      <c r="B6" s="1418"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1"/>
    </row>
    <row r="7" spans="1:25">
      <c r="A7" s="1418" t="s">
        <v>1464</v>
      </c>
      <c r="B7" s="1420" t="s">
        <v>1465</v>
      </c>
      <c r="C7" s="1419" t="s">
        <v>1466</v>
      </c>
      <c r="F7" s="7" t="s">
        <v>1467</v>
      </c>
      <c r="H7" s="7" t="s">
        <v>1468</v>
      </c>
      <c r="I7" s="7" t="s">
        <v>1469</v>
      </c>
      <c r="X7" s="1421"/>
    </row>
    <row r="8" spans="1:25">
      <c r="A8" s="1418" t="s">
        <v>1470</v>
      </c>
      <c r="B8" s="1420" t="s">
        <v>1471</v>
      </c>
      <c r="C8" s="1419" t="s">
        <v>1472</v>
      </c>
      <c r="F8" s="7" t="s">
        <v>1473</v>
      </c>
      <c r="H8" s="7" t="s">
        <v>1474</v>
      </c>
      <c r="I8" s="7" t="s">
        <v>1475</v>
      </c>
      <c r="X8" s="1421"/>
    </row>
    <row r="9" spans="1:25">
      <c r="A9" s="1418" t="s">
        <v>1476</v>
      </c>
      <c r="B9" s="1418" t="s">
        <v>1477</v>
      </c>
      <c r="C9" s="1419" t="s">
        <v>1478</v>
      </c>
      <c r="F9" s="7" t="s">
        <v>1479</v>
      </c>
      <c r="H9" s="7" t="s">
        <v>1480</v>
      </c>
    </row>
    <row r="10" spans="1:25">
      <c r="A10" s="1418" t="s">
        <v>1481</v>
      </c>
      <c r="B10" s="1418" t="s">
        <v>1482</v>
      </c>
      <c r="C10" s="1419" t="s">
        <v>1483</v>
      </c>
      <c r="F10" s="7" t="s">
        <v>13</v>
      </c>
    </row>
    <row r="11" spans="1:25">
      <c r="A11" s="1418" t="s">
        <v>1484</v>
      </c>
      <c r="B11" s="1418" t="s">
        <v>1485</v>
      </c>
      <c r="C11" s="1419" t="s">
        <v>1486</v>
      </c>
    </row>
    <row r="12" spans="1:25">
      <c r="A12" s="1418" t="s">
        <v>1487</v>
      </c>
      <c r="B12" s="1418" t="s">
        <v>1488</v>
      </c>
      <c r="C12" s="1419" t="s">
        <v>1489</v>
      </c>
    </row>
    <row r="13" spans="1:25">
      <c r="A13" s="1418" t="s">
        <v>1490</v>
      </c>
      <c r="B13" s="1418" t="s">
        <v>1491</v>
      </c>
      <c r="C13" s="1419" t="s">
        <v>1492</v>
      </c>
    </row>
    <row r="14" spans="1:25">
      <c r="A14" s="1418" t="s">
        <v>1493</v>
      </c>
      <c r="B14" s="1418" t="s">
        <v>1494</v>
      </c>
      <c r="C14" s="1419"/>
    </row>
    <row r="15" spans="1:25">
      <c r="A15" s="1418" t="s">
        <v>1495</v>
      </c>
      <c r="B15" s="1418" t="s">
        <v>1496</v>
      </c>
      <c r="C15" s="1419"/>
    </row>
    <row r="16" spans="1:25">
      <c r="A16" s="1418" t="s">
        <v>1497</v>
      </c>
      <c r="B16" s="1418" t="s">
        <v>1498</v>
      </c>
      <c r="C16" s="1419"/>
    </row>
    <row r="17" spans="1:3">
      <c r="A17" s="1418" t="s">
        <v>1499</v>
      </c>
      <c r="B17" s="1418" t="s">
        <v>1500</v>
      </c>
      <c r="C17" s="1419"/>
    </row>
    <row r="18" spans="1:3">
      <c r="A18" s="1418" t="s">
        <v>1501</v>
      </c>
      <c r="B18" s="1418" t="s">
        <v>1502</v>
      </c>
      <c r="C18" s="1419"/>
    </row>
    <row r="19" spans="1:3">
      <c r="A19" s="1418" t="s">
        <v>1503</v>
      </c>
      <c r="B19" s="1418" t="s">
        <v>1504</v>
      </c>
      <c r="C19" s="1419"/>
    </row>
    <row r="20" spans="1:3">
      <c r="A20" s="1418" t="s">
        <v>1505</v>
      </c>
      <c r="B20" s="1418" t="s">
        <v>740</v>
      </c>
      <c r="C20" s="1419"/>
    </row>
    <row r="21" spans="1:3">
      <c r="A21" s="1418" t="s">
        <v>1506</v>
      </c>
      <c r="B21" s="1418" t="s">
        <v>740</v>
      </c>
      <c r="C21" s="1419"/>
    </row>
    <row r="22" spans="1:3">
      <c r="A22" s="1418" t="s">
        <v>1507</v>
      </c>
      <c r="B22" s="1418" t="s">
        <v>740</v>
      </c>
      <c r="C22" s="1419"/>
    </row>
    <row r="23" spans="1:3">
      <c r="A23" s="1418" t="s">
        <v>1508</v>
      </c>
      <c r="B23" s="1418" t="s">
        <v>740</v>
      </c>
      <c r="C23" s="1419"/>
    </row>
    <row r="24" spans="1:3">
      <c r="A24" s="1418" t="s">
        <v>1509</v>
      </c>
      <c r="B24" s="1418" t="s">
        <v>740</v>
      </c>
      <c r="C24" s="1419"/>
    </row>
    <row r="25" spans="1:3">
      <c r="A25" s="1418" t="s">
        <v>1510</v>
      </c>
      <c r="B25" s="1418" t="s">
        <v>740</v>
      </c>
      <c r="C25" s="1419"/>
    </row>
    <row r="26" spans="1:3">
      <c r="A26" s="1418" t="s">
        <v>1511</v>
      </c>
      <c r="B26" s="1418" t="s">
        <v>740</v>
      </c>
      <c r="C26" s="1419"/>
    </row>
    <row r="27" spans="1:3">
      <c r="A27" s="1418" t="s">
        <v>740</v>
      </c>
      <c r="B27" s="1418" t="s">
        <v>740</v>
      </c>
      <c r="C27" s="1419"/>
    </row>
    <row r="28" spans="1:3">
      <c r="A28" s="1418" t="s">
        <v>740</v>
      </c>
      <c r="B28" s="1418" t="s">
        <v>740</v>
      </c>
      <c r="C28" s="1419"/>
    </row>
    <row r="29" spans="1:3">
      <c r="A29" s="1418" t="s">
        <v>740</v>
      </c>
      <c r="B29" s="1418" t="s">
        <v>740</v>
      </c>
      <c r="C29" s="1419"/>
    </row>
    <row r="30" spans="1:3">
      <c r="A30" s="1418" t="s">
        <v>740</v>
      </c>
      <c r="B30" s="1418" t="s">
        <v>740</v>
      </c>
      <c r="C30" s="1419"/>
    </row>
    <row r="31" spans="1:3">
      <c r="A31" s="1418" t="s">
        <v>740</v>
      </c>
      <c r="B31" s="1418" t="s">
        <v>740</v>
      </c>
      <c r="C31" s="1419"/>
    </row>
    <row r="32" spans="1:3">
      <c r="A32" s="1418" t="s">
        <v>740</v>
      </c>
      <c r="B32" s="1418" t="s">
        <v>740</v>
      </c>
      <c r="C32" s="1419"/>
    </row>
    <row r="33" spans="1:3">
      <c r="A33" s="1418" t="s">
        <v>740</v>
      </c>
      <c r="B33" s="1418" t="s">
        <v>740</v>
      </c>
      <c r="C33" s="1419"/>
    </row>
    <row r="34" spans="1:3">
      <c r="A34" s="1418" t="s">
        <v>740</v>
      </c>
      <c r="B34" s="1418" t="s">
        <v>740</v>
      </c>
      <c r="C34" s="1419"/>
    </row>
    <row r="35" spans="1:3">
      <c r="A35" s="1418" t="s">
        <v>740</v>
      </c>
      <c r="B35" s="1418" t="s">
        <v>740</v>
      </c>
      <c r="C35" s="1419"/>
    </row>
    <row r="36" spans="1:3">
      <c r="A36" s="1418" t="s">
        <v>740</v>
      </c>
      <c r="B36" s="1418" t="s">
        <v>740</v>
      </c>
      <c r="C36" s="1419"/>
    </row>
    <row r="37" spans="1:3">
      <c r="A37" s="1418" t="s">
        <v>740</v>
      </c>
      <c r="B37" s="1418" t="s">
        <v>740</v>
      </c>
      <c r="C37" s="1419"/>
    </row>
    <row r="38" spans="1:3">
      <c r="A38" s="1418" t="s">
        <v>740</v>
      </c>
      <c r="B38" s="1418" t="s">
        <v>740</v>
      </c>
      <c r="C38" s="1419"/>
    </row>
    <row r="39" spans="1:3">
      <c r="A39" s="1418" t="s">
        <v>740</v>
      </c>
      <c r="B39" s="1418" t="s">
        <v>740</v>
      </c>
      <c r="C39" s="1419"/>
    </row>
    <row r="40" spans="1:3">
      <c r="A40" s="1418" t="s">
        <v>740</v>
      </c>
      <c r="B40" s="1418" t="s">
        <v>740</v>
      </c>
      <c r="C40" s="1419"/>
    </row>
    <row r="41" spans="1:3">
      <c r="A41" s="1418" t="s">
        <v>740</v>
      </c>
      <c r="B41" s="1418" t="s">
        <v>740</v>
      </c>
      <c r="C41" s="1419"/>
    </row>
    <row r="42" spans="1:3">
      <c r="A42" s="1418" t="s">
        <v>740</v>
      </c>
      <c r="B42" s="1418" t="s">
        <v>740</v>
      </c>
      <c r="C42" s="1419"/>
    </row>
    <row r="43" spans="1:3">
      <c r="A43" s="1418" t="s">
        <v>740</v>
      </c>
      <c r="B43" s="1418" t="s">
        <v>740</v>
      </c>
      <c r="C43" s="1419"/>
    </row>
    <row r="44" spans="1:3">
      <c r="A44" s="1418" t="s">
        <v>740</v>
      </c>
      <c r="B44" s="1418" t="s">
        <v>740</v>
      </c>
      <c r="C44" s="1419"/>
    </row>
    <row r="45" spans="1:3">
      <c r="A45" s="1418" t="s">
        <v>740</v>
      </c>
      <c r="B45" s="1418" t="s">
        <v>740</v>
      </c>
      <c r="C45" s="1419"/>
    </row>
    <row r="46" spans="1:3">
      <c r="A46" s="1418" t="s">
        <v>740</v>
      </c>
      <c r="B46" s="1418" t="s">
        <v>740</v>
      </c>
      <c r="C46" s="1419"/>
    </row>
    <row r="47" spans="1:3">
      <c r="A47" s="1418" t="s">
        <v>740</v>
      </c>
      <c r="B47" s="1418" t="s">
        <v>740</v>
      </c>
      <c r="C47" s="1419"/>
    </row>
    <row r="48" spans="1:3">
      <c r="A48" s="1418" t="s">
        <v>740</v>
      </c>
      <c r="B48" s="1418" t="s">
        <v>740</v>
      </c>
      <c r="C48" s="1419"/>
    </row>
    <row r="49" spans="1:4">
      <c r="A49" s="1418" t="s">
        <v>740</v>
      </c>
      <c r="B49" s="1418" t="s">
        <v>740</v>
      </c>
      <c r="C49" s="1419"/>
    </row>
    <row r="50" spans="1:4">
      <c r="A50" s="1418" t="s">
        <v>740</v>
      </c>
      <c r="B50" s="1418" t="s">
        <v>740</v>
      </c>
      <c r="C50" s="1419"/>
    </row>
    <row r="51" spans="1:4">
      <c r="A51" s="1422"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韩亚银行（中国）有限公司北京分行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2" t="s">
        <v>1514</v>
      </c>
      <c r="B52" s="1422" t="s">
        <v>1515</v>
      </c>
      <c r="C52" s="9" t="s">
        <v>1516</v>
      </c>
      <c r="D52" s="9" t="s">
        <v>1517</v>
      </c>
    </row>
    <row r="53" spans="1:4" ht="14.25" customHeight="1">
      <c r="A53" s="3226"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本次估价的“房地产价值”是指在正常市场情况下，在价值时点2021年5月17日，估价对象规划用途为住宅，假定未设立法定优先受偿款下的房地产市场价值。</v>
      </c>
    </row>
    <row r="54" spans="1:4">
      <c r="A54" s="3226"/>
      <c r="B54" s="9" t="s">
        <v>1520</v>
      </c>
      <c r="C54" s="9" t="s">
        <v>1521</v>
      </c>
    </row>
    <row r="55" spans="1:4">
      <c r="A55" s="3226"/>
      <c r="B55" s="9" t="s">
        <v>1522</v>
      </c>
      <c r="C55" s="9" t="s">
        <v>1523</v>
      </c>
    </row>
    <row r="56" spans="1:4">
      <c r="A56" s="3226"/>
      <c r="B56" s="9" t="s">
        <v>1524</v>
      </c>
      <c r="C56" s="9" t="s">
        <v>1525</v>
      </c>
    </row>
    <row r="57" spans="1:4">
      <c r="A57" s="3226"/>
      <c r="B57" s="9" t="s">
        <v>1526</v>
      </c>
      <c r="C57" s="9" t="s">
        <v>1527</v>
      </c>
    </row>
    <row r="58" spans="1:4">
      <c r="A58" s="1423"/>
      <c r="B58" s="1421"/>
    </row>
    <row r="59" spans="1:4">
      <c r="A59" s="1423"/>
      <c r="B59" s="142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成本法</vt:lpstr>
      <vt:lpstr>假设开发法</vt:lpstr>
      <vt:lpstr>收益法</vt:lpstr>
      <vt:lpstr>酒店收入计算</vt:lpstr>
      <vt:lpstr>基准地价修正</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2021-05-19T03:00:06Z</dcterms:modified>
</cp:coreProperties>
</file>