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0" i="39" l="1"/>
  <c r="I9" i="39"/>
  <c r="I7" i="39"/>
  <c r="C10" i="12"/>
  <c r="G40" i="39"/>
  <c r="E40" i="39"/>
  <c r="C40" i="39"/>
  <c r="C13" i="39"/>
  <c r="C12" i="39"/>
  <c r="G9" i="39"/>
  <c r="E9" i="39"/>
  <c r="G7" i="39"/>
  <c r="E7" i="39"/>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A14" i="55"/>
  <c r="A11" i="55"/>
  <c r="A10" i="55"/>
  <c r="B61" i="63" s="1"/>
  <c r="A9" i="55"/>
  <c r="A8" i="55"/>
  <c r="B59" i="63" s="1"/>
  <c r="A6" i="54"/>
  <c r="A8" i="54"/>
  <c r="A7" i="54"/>
  <c r="A27" i="51"/>
  <c r="B20" i="63" s="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V9"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G5" i="54"/>
  <c r="B34" i="63" s="1"/>
  <c r="E5" i="54"/>
  <c r="B32" i="63" s="1"/>
  <c r="R2" i="54"/>
  <c r="B24" i="63" s="1"/>
  <c r="B49" i="50"/>
  <c r="B5" i="63"/>
  <c r="B40" i="50"/>
  <c r="B3" i="63"/>
  <c r="B21" i="63"/>
  <c r="B67" i="63"/>
  <c r="I19" i="46"/>
  <c r="Q13" i="59"/>
  <c r="P13" i="59"/>
  <c r="E13" i="59" s="1"/>
  <c r="O13" i="59"/>
  <c r="N13" i="59"/>
  <c r="B13" i="59" s="1"/>
  <c r="D74" i="59"/>
  <c r="F73" i="59"/>
  <c r="F72" i="59" s="1"/>
  <c r="F71" i="59" s="1"/>
  <c r="E73" i="59"/>
  <c r="E72" i="59"/>
  <c r="E71" i="59" s="1"/>
  <c r="C73" i="59"/>
  <c r="D73" i="59" s="1"/>
  <c r="B73" i="59"/>
  <c r="B72" i="59" s="1"/>
  <c r="B71" i="59"/>
  <c r="D70" i="59"/>
  <c r="F69" i="59"/>
  <c r="F68" i="59" s="1"/>
  <c r="E69" i="59"/>
  <c r="E68" i="59"/>
  <c r="E67" i="59" s="1"/>
  <c r="C69" i="59"/>
  <c r="D69" i="59" s="1"/>
  <c r="B69" i="59"/>
  <c r="B68" i="59" s="1"/>
  <c r="F67" i="59"/>
  <c r="B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B52" i="59"/>
  <c r="D50" i="59"/>
  <c r="Q49" i="59"/>
  <c r="P49" i="59"/>
  <c r="O49" i="59"/>
  <c r="N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N26" i="59"/>
  <c r="B27" i="59" s="1"/>
  <c r="B28" i="59" s="1"/>
  <c r="B29" i="59" s="1"/>
  <c r="S29" i="59" s="1"/>
  <c r="D26" i="59"/>
  <c r="Q25" i="59"/>
  <c r="P25" i="59"/>
  <c r="O25" i="59"/>
  <c r="N25" i="59"/>
  <c r="Q24" i="59"/>
  <c r="AB24" i="59" s="1"/>
  <c r="P24" i="59"/>
  <c r="O24" i="59"/>
  <c r="Y24" i="59"/>
  <c r="Z24" i="59" s="1"/>
  <c r="N24" i="59"/>
  <c r="X24" i="59" s="1"/>
  <c r="Q23" i="59"/>
  <c r="P23" i="59"/>
  <c r="O23" i="59"/>
  <c r="Y23" i="59" s="1"/>
  <c r="N23" i="59"/>
  <c r="Q22" i="59"/>
  <c r="P22" i="59"/>
  <c r="O22" i="59"/>
  <c r="C23" i="59"/>
  <c r="N22" i="59"/>
  <c r="B23" i="59"/>
  <c r="B24" i="59" s="1"/>
  <c r="B25" i="59" s="1"/>
  <c r="S25" i="59" s="1"/>
  <c r="D22" i="59"/>
  <c r="Q21" i="59"/>
  <c r="P21" i="59"/>
  <c r="AA21" i="59" s="1"/>
  <c r="O21" i="59"/>
  <c r="N21" i="59"/>
  <c r="X21" i="59" s="1"/>
  <c r="Q20" i="59"/>
  <c r="P20" i="59"/>
  <c r="AA20" i="59" s="1"/>
  <c r="O20" i="59"/>
  <c r="N20" i="59"/>
  <c r="X20" i="59" s="1"/>
  <c r="Q19" i="59"/>
  <c r="P19" i="59"/>
  <c r="AA19" i="59" s="1"/>
  <c r="O19" i="59"/>
  <c r="N19" i="59"/>
  <c r="X19" i="59" s="1"/>
  <c r="Q18" i="59"/>
  <c r="F19" i="59"/>
  <c r="P18" i="59"/>
  <c r="E19" i="59"/>
  <c r="E20" i="59" s="1"/>
  <c r="E21" i="59" s="1"/>
  <c r="U21" i="59" s="1"/>
  <c r="O18" i="59"/>
  <c r="Y18" i="59" s="1"/>
  <c r="Z18" i="59" s="1"/>
  <c r="C19" i="59"/>
  <c r="N18" i="59"/>
  <c r="B19" i="59"/>
  <c r="B20" i="59" s="1"/>
  <c r="B21" i="59" s="1"/>
  <c r="S21" i="59" s="1"/>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O14" i="59"/>
  <c r="Y14" i="59" s="1"/>
  <c r="Z14" i="59" s="1"/>
  <c r="N14" i="59"/>
  <c r="X14" i="59" s="1"/>
  <c r="D14" i="59"/>
  <c r="X10" i="59"/>
  <c r="X12" i="59"/>
  <c r="AA3" i="59"/>
  <c r="AA11" i="59"/>
  <c r="AA13" i="59"/>
  <c r="Y3" i="59"/>
  <c r="Z3" i="59"/>
  <c r="AB13" i="59"/>
  <c r="AB3" i="59"/>
  <c r="AB10" i="59"/>
  <c r="AB11" i="59"/>
  <c r="AB12" i="59"/>
  <c r="E15" i="59"/>
  <c r="E16" i="59"/>
  <c r="E17" i="59" s="1"/>
  <c r="U17" i="59" s="1"/>
  <c r="B36" i="59"/>
  <c r="B37" i="59"/>
  <c r="S37" i="59" s="1"/>
  <c r="E36" i="59"/>
  <c r="E37" i="59" s="1"/>
  <c r="U37" i="59" s="1"/>
  <c r="S53" i="59"/>
  <c r="Z23" i="59"/>
  <c r="AA24" i="59"/>
  <c r="F16" i="59"/>
  <c r="F17" i="59" s="1"/>
  <c r="V17" i="59" s="1"/>
  <c r="F20" i="59"/>
  <c r="F21" i="59"/>
  <c r="V21" i="59" s="1"/>
  <c r="F28" i="59"/>
  <c r="F29" i="59"/>
  <c r="V29" i="59" s="1"/>
  <c r="F32" i="59"/>
  <c r="F33" i="59" s="1"/>
  <c r="V33" i="59" s="1"/>
  <c r="F40" i="59"/>
  <c r="F41" i="59"/>
  <c r="V41" i="59" s="1"/>
  <c r="F44" i="59"/>
  <c r="F45" i="59" s="1"/>
  <c r="V45" i="59" s="1"/>
  <c r="F48" i="59"/>
  <c r="F49" i="59"/>
  <c r="V49" i="59" s="1"/>
  <c r="C24" i="59"/>
  <c r="D24" i="59" s="1"/>
  <c r="D23" i="59"/>
  <c r="C28" i="59"/>
  <c r="D28" i="59" s="1"/>
  <c r="D27" i="59"/>
  <c r="C32" i="59"/>
  <c r="D32" i="59" s="1"/>
  <c r="D31" i="59"/>
  <c r="C36" i="59"/>
  <c r="D35" i="59"/>
  <c r="C40" i="59"/>
  <c r="D39" i="59"/>
  <c r="C44" i="59"/>
  <c r="D43" i="59"/>
  <c r="C48" i="59"/>
  <c r="D47" i="59"/>
  <c r="C20" i="59"/>
  <c r="D19" i="59"/>
  <c r="E51" i="59"/>
  <c r="N52" i="59"/>
  <c r="B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P50" i="59"/>
  <c r="P51" i="59"/>
  <c r="D72" i="59"/>
  <c r="C71" i="59"/>
  <c r="D71" i="59"/>
  <c r="C63" i="59"/>
  <c r="D63" i="59" s="1"/>
  <c r="D56" i="59"/>
  <c r="O52" i="59"/>
  <c r="D68" i="59"/>
  <c r="C59" i="59"/>
  <c r="D59" i="59" s="1"/>
  <c r="N50" i="59"/>
  <c r="N51" i="59"/>
  <c r="C21" i="59"/>
  <c r="D21" i="59" s="1"/>
  <c r="D20" i="59"/>
  <c r="C49" i="59"/>
  <c r="D49" i="59" s="1"/>
  <c r="D48" i="59"/>
  <c r="D44" i="59"/>
  <c r="C45" i="59"/>
  <c r="C41" i="59"/>
  <c r="D41" i="59" s="1"/>
  <c r="D40" i="59"/>
  <c r="C37" i="59"/>
  <c r="D37" i="59" s="1"/>
  <c r="D36" i="59"/>
  <c r="C29" i="59"/>
  <c r="D29" i="59" s="1"/>
  <c r="C25" i="59"/>
  <c r="D25" i="59" s="1"/>
  <c r="N16" i="4"/>
  <c r="T45" i="59"/>
  <c r="D45" i="59"/>
  <c r="T25" i="59"/>
  <c r="T29" i="59"/>
  <c r="T37"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C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C6" i="12"/>
  <c r="B24" i="1"/>
  <c r="E77" i="9"/>
  <c r="O75" i="9"/>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I5" i="3" s="1"/>
  <c r="BJ13" i="3"/>
  <c r="BK13" i="3"/>
  <c r="BM13" i="3"/>
  <c r="BL13" i="3" s="1"/>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S41" i="21"/>
  <c r="AA41" i="21"/>
  <c r="W41" i="21"/>
  <c r="S10" i="39"/>
  <c r="U30" i="37"/>
  <c r="E103" i="37"/>
  <c r="F103" i="37"/>
  <c r="F39" i="37"/>
  <c r="S39" i="37"/>
  <c r="F29" i="36"/>
  <c r="AA29" i="36" s="1"/>
  <c r="F16" i="36"/>
  <c r="AA16" i="36" s="1"/>
  <c r="W22" i="36"/>
  <c r="AC31" i="36"/>
  <c r="J33" i="36"/>
  <c r="W33" i="36"/>
  <c r="AC27" i="35"/>
  <c r="W36" i="35"/>
  <c r="S31" i="35"/>
  <c r="W31" i="35"/>
  <c r="F36" i="34"/>
  <c r="S36" i="34"/>
  <c r="W9" i="34"/>
  <c r="H39" i="33"/>
  <c r="AB39" i="33" s="1"/>
  <c r="F26" i="33"/>
  <c r="AA26" i="33" s="1"/>
  <c r="U9" i="33"/>
  <c r="W38" i="33"/>
  <c r="S33"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F125" i="21"/>
  <c r="G125" i="21" s="1"/>
  <c r="G86" i="40"/>
  <c r="AB30" i="36"/>
  <c r="AC34" i="36"/>
  <c r="H29" i="35"/>
  <c r="U34" i="37"/>
  <c r="S34" i="37"/>
  <c r="AA34" i="37"/>
  <c r="AC43" i="34"/>
  <c r="AB42" i="34"/>
  <c r="AB40" i="34"/>
  <c r="J19" i="34"/>
  <c r="AC19" i="34"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572" i="3"/>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U30" i="33"/>
  <c r="J36" i="37"/>
  <c r="AC36" i="37" s="1"/>
  <c r="G105" i="37"/>
  <c r="AB28" i="36"/>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58" i="3"/>
  <c r="AZ540" i="3"/>
  <c r="AZ560" i="3"/>
  <c r="G483" i="3"/>
  <c r="G515" i="3"/>
  <c r="G507" i="3"/>
  <c r="G501" i="3"/>
  <c r="BA15" i="3"/>
  <c r="BL17" i="3"/>
  <c r="BL15" i="3"/>
  <c r="BA14" i="3"/>
  <c r="AZ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33" i="39"/>
  <c r="S33" i="39" s="1"/>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C20" i="43"/>
  <c r="F6" i="1"/>
  <c r="AP6" i="1" s="1"/>
  <c r="G11" i="1"/>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19" i="39"/>
  <c r="AC38" i="39"/>
  <c r="AC17" i="39"/>
  <c r="S14" i="39"/>
  <c r="AB15" i="39"/>
  <c r="U11" i="39"/>
  <c r="AB38" i="39"/>
  <c r="U31" i="39"/>
  <c r="AB31" i="39"/>
  <c r="S38" i="39"/>
  <c r="S22" i="31"/>
  <c r="D18" i="9"/>
  <c r="M44" i="9" s="1"/>
  <c r="M43" i="9"/>
  <c r="D96" i="9"/>
  <c r="A18" i="64"/>
  <c r="B74" i="63" s="1"/>
  <c r="C53" i="10"/>
  <c r="A25" i="64" s="1"/>
  <c r="A18" i="51"/>
  <c r="B14" i="63" s="1"/>
  <c r="BA16" i="3"/>
  <c r="BA17" i="3"/>
  <c r="AZ17" i="3"/>
  <c r="C24" i="12"/>
  <c r="F3" i="35"/>
  <c r="K1" i="43"/>
  <c r="K1" i="12"/>
  <c r="G1" i="44"/>
  <c r="I4" i="6"/>
  <c r="G3" i="46" s="1"/>
  <c r="J22" i="46" s="1"/>
  <c r="AZ15" i="3"/>
  <c r="BK5" i="3"/>
  <c r="BO5" i="3"/>
  <c r="BP5" i="3"/>
  <c r="BN5" i="3"/>
  <c r="BL18" i="3"/>
  <c r="AZ18" i="3"/>
  <c r="BC5" i="3"/>
  <c r="E8" i="6"/>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C51" i="10"/>
  <c r="A9" i="51" s="1"/>
  <c r="B9" i="63" s="1"/>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c r="K5" i="54"/>
  <c r="B38" i="63"/>
  <c r="T41" i="4"/>
  <c r="A17" i="64"/>
  <c r="B46" i="50"/>
  <c r="B4" i="63" s="1"/>
  <c r="C46" i="36"/>
  <c r="D46" i="36" s="1"/>
  <c r="E46" i="36" s="1"/>
  <c r="F46" i="36" s="1"/>
  <c r="C59" i="34"/>
  <c r="D59" i="34" s="1"/>
  <c r="E59" i="34" s="1"/>
  <c r="C48" i="35"/>
  <c r="D48" i="35" s="1"/>
  <c r="C52" i="37"/>
  <c r="D52" i="37" s="1"/>
  <c r="C67" i="40"/>
  <c r="D65" i="40"/>
  <c r="C72" i="39"/>
  <c r="D70" i="39"/>
  <c r="D72" i="39" s="1"/>
  <c r="O19" i="46"/>
  <c r="K17" i="4"/>
  <c r="A22" i="51"/>
  <c r="B16" i="63" s="1"/>
  <c r="H77" i="46"/>
  <c r="H73" i="46"/>
  <c r="H69" i="46"/>
  <c r="H74" i="46"/>
  <c r="H86" i="46"/>
  <c r="H82" i="46"/>
  <c r="H63" i="46"/>
  <c r="H59" i="46"/>
  <c r="H64" i="46"/>
  <c r="H60" i="46"/>
  <c r="H10" i="48"/>
  <c r="H87" i="46"/>
  <c r="H85" i="46"/>
  <c r="H83" i="46"/>
  <c r="O13" i="1"/>
  <c r="P13" i="1" s="1"/>
  <c r="K10" i="1"/>
  <c r="M10" i="1" s="1"/>
  <c r="S11" i="1"/>
  <c r="R11" i="1"/>
  <c r="S13" i="1"/>
  <c r="R13" i="1"/>
  <c r="B6" i="1"/>
  <c r="E6" i="1" s="1"/>
  <c r="B10" i="1"/>
  <c r="E10" i="1" s="1"/>
  <c r="S10" i="1"/>
  <c r="B8" i="1"/>
  <c r="E8" i="1"/>
  <c r="B12" i="1"/>
  <c r="E12" i="1"/>
  <c r="S12" i="1"/>
  <c r="K6" i="1"/>
  <c r="M6"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AB43" i="39"/>
  <c r="AC46" i="39"/>
  <c r="S34" i="39"/>
  <c r="W42" i="39"/>
  <c r="W36" i="39"/>
  <c r="AC37" i="39"/>
  <c r="U14"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12" i="11" s="1"/>
  <c r="C12" i="11" s="1"/>
  <c r="BA5" i="3"/>
  <c r="E27" i="6" s="1"/>
  <c r="G29" i="6"/>
  <c r="G30" i="6"/>
  <c r="G31" i="6" s="1"/>
  <c r="AZ16" i="3"/>
  <c r="H70" i="46"/>
  <c r="H72" i="46"/>
  <c r="A9" i="64"/>
  <c r="A3" i="55"/>
  <c r="B56" i="63" s="1"/>
  <c r="E52" i="37"/>
  <c r="F52" i="37" s="1"/>
  <c r="G52" i="37" s="1"/>
  <c r="E70" i="39"/>
  <c r="E72" i="39" s="1"/>
  <c r="D67" i="40"/>
  <c r="E65" i="40"/>
  <c r="E67" i="40" s="1"/>
  <c r="G66" i="36"/>
  <c r="J18" i="36"/>
  <c r="AE8" i="1"/>
  <c r="AE7" i="1"/>
  <c r="AE6" i="1"/>
  <c r="W18" i="36"/>
  <c r="AC18" i="36"/>
  <c r="AG6" i="1"/>
  <c r="E29" i="6"/>
  <c r="L20" i="6"/>
  <c r="L19" i="6"/>
  <c r="L27" i="6" s="1"/>
  <c r="K15" i="1"/>
  <c r="F65" i="40"/>
  <c r="G65" i="40" s="1"/>
  <c r="G67" i="40" s="1"/>
  <c r="S7" i="1"/>
  <c r="S8" i="1"/>
  <c r="S9" i="1"/>
  <c r="R9" i="1"/>
  <c r="R7" i="1"/>
  <c r="R8" i="1"/>
  <c r="C45" i="9"/>
  <c r="O40" i="9" s="1"/>
  <c r="R7" i="54" s="1"/>
  <c r="B52" i="63" s="1"/>
  <c r="K31" i="9"/>
  <c r="K32" i="9" s="1"/>
  <c r="N76" i="9"/>
  <c r="C46" i="9"/>
  <c r="I14" i="66"/>
  <c r="B8" i="66" s="1"/>
  <c r="M29" i="44"/>
  <c r="F28" i="44"/>
  <c r="M28" i="44"/>
  <c r="F12" i="67"/>
  <c r="L48" i="15"/>
  <c r="N5" i="65"/>
  <c r="M26" i="44"/>
  <c r="F10" i="67"/>
  <c r="J4" i="65"/>
  <c r="F7" i="15"/>
  <c r="B8" i="67"/>
  <c r="F43" i="44"/>
  <c r="M31" i="44"/>
  <c r="B10" i="67"/>
  <c r="J15" i="15"/>
  <c r="F36" i="15"/>
  <c r="N7" i="65"/>
  <c r="M22" i="15"/>
  <c r="E13" i="67"/>
  <c r="L47" i="15"/>
  <c r="E10" i="67"/>
  <c r="F8" i="67"/>
  <c r="L49" i="44"/>
  <c r="B13" i="67"/>
  <c r="F46" i="44"/>
  <c r="I6" i="65"/>
  <c r="J3" i="65"/>
  <c r="E9" i="67"/>
  <c r="F8" i="15"/>
  <c r="N6" i="65"/>
  <c r="M23" i="44"/>
  <c r="E11" i="67"/>
  <c r="B14" i="67"/>
  <c r="F14" i="67"/>
  <c r="M30" i="44"/>
  <c r="B12" i="67"/>
  <c r="I7" i="65"/>
  <c r="F40" i="44"/>
  <c r="M28" i="15"/>
  <c r="N3" i="65"/>
  <c r="I5" i="65"/>
  <c r="E8" i="67"/>
  <c r="F10" i="44"/>
  <c r="F6" i="15"/>
  <c r="F9" i="67"/>
  <c r="M23" i="15"/>
  <c r="F9" i="44"/>
  <c r="E14" i="67"/>
  <c r="B11" i="67"/>
  <c r="C19" i="44"/>
  <c r="N4" i="65"/>
  <c r="F8" i="44"/>
  <c r="E12" i="67"/>
  <c r="M24" i="15"/>
  <c r="F43" i="15"/>
  <c r="B9" i="67"/>
  <c r="M26" i="15"/>
  <c r="F9" i="15"/>
  <c r="L48" i="44"/>
  <c r="M27" i="15"/>
  <c r="F42" i="15"/>
  <c r="J6" i="65"/>
  <c r="I4" i="65"/>
  <c r="M11" i="44"/>
  <c r="M29" i="15"/>
  <c r="M6" i="15"/>
  <c r="M21" i="15"/>
  <c r="F26" i="15"/>
  <c r="F39" i="44"/>
  <c r="M25" i="44"/>
  <c r="F13" i="15"/>
  <c r="F38" i="44"/>
  <c r="F11" i="67"/>
  <c r="M8" i="15"/>
  <c r="F18" i="44"/>
  <c r="F35" i="15"/>
  <c r="I3" i="65"/>
  <c r="F11" i="44"/>
  <c r="M9" i="15"/>
  <c r="F15" i="44"/>
  <c r="M10" i="44"/>
  <c r="F37" i="15"/>
  <c r="F45" i="44"/>
  <c r="F40" i="15"/>
  <c r="M24" i="44"/>
  <c r="F41" i="15"/>
  <c r="F13" i="67"/>
  <c r="J5" i="65"/>
  <c r="J7" i="65"/>
  <c r="F16" i="15"/>
  <c r="J17" i="44"/>
  <c r="M8" i="44"/>
  <c r="J36" i="15"/>
  <c r="F37" i="44"/>
  <c r="F38" i="15"/>
  <c r="U23" i="39" l="1"/>
  <c r="F95" i="39"/>
  <c r="G95" i="39" s="1"/>
  <c r="F21" i="39"/>
  <c r="S21" i="39" s="1"/>
  <c r="J21" i="39"/>
  <c r="W21" i="39" s="1"/>
  <c r="H21" i="39"/>
  <c r="U21" i="39" s="1"/>
  <c r="F107" i="39"/>
  <c r="G107" i="39" s="1"/>
  <c r="H107" i="39" s="1"/>
  <c r="I107" i="39" s="1"/>
  <c r="J107" i="39" s="1"/>
  <c r="K107" i="39" s="1"/>
  <c r="L107" i="39" s="1"/>
  <c r="M107" i="39" s="1"/>
  <c r="J33" i="39"/>
  <c r="W33" i="39" s="1"/>
  <c r="M22" i="44"/>
  <c r="M20" i="15"/>
  <c r="F36" i="44"/>
  <c r="F28" i="15"/>
  <c r="C28" i="15" s="1"/>
  <c r="D86" i="9"/>
  <c r="F27" i="43"/>
  <c r="M18" i="15"/>
  <c r="F30" i="44"/>
  <c r="M20" i="44"/>
  <c r="F70" i="9"/>
  <c r="F32" i="15"/>
  <c r="F59" i="15" s="1"/>
  <c r="F72" i="9"/>
  <c r="F66" i="9"/>
  <c r="P72" i="9" s="1"/>
  <c r="AA44" i="39"/>
  <c r="AB44" i="39"/>
  <c r="S43" i="39"/>
  <c r="W43" i="39"/>
  <c r="W41" i="39"/>
  <c r="U41" i="39"/>
  <c r="S41" i="39"/>
  <c r="W40" i="39"/>
  <c r="AB33" i="39"/>
  <c r="AA33" i="39"/>
  <c r="AC33" i="39"/>
  <c r="W31" i="39"/>
  <c r="S31" i="39"/>
  <c r="W29" i="39"/>
  <c r="S29" i="39"/>
  <c r="AB29" i="39"/>
  <c r="U27" i="39"/>
  <c r="S27" i="39"/>
  <c r="W27" i="39"/>
  <c r="W25" i="39"/>
  <c r="S25" i="39"/>
  <c r="AB25" i="39"/>
  <c r="E14" i="52"/>
  <c r="C4" i="4" s="1"/>
  <c r="B20" i="55" s="1"/>
  <c r="B70" i="63" s="1"/>
  <c r="S23" i="39"/>
  <c r="W23" i="39"/>
  <c r="AA21" i="39"/>
  <c r="AC21" i="39"/>
  <c r="W13" i="39"/>
  <c r="U13" i="39"/>
  <c r="H16" i="1"/>
  <c r="D21" i="12"/>
  <c r="C21" i="12" s="1"/>
  <c r="AZ13" i="3"/>
  <c r="H5" i="3"/>
  <c r="BL5" i="3"/>
  <c r="E28" i="6"/>
  <c r="F31" i="6"/>
  <c r="A25" i="51"/>
  <c r="B18" i="63" s="1"/>
  <c r="AP16" i="1"/>
  <c r="F22" i="11" s="1"/>
  <c r="E58" i="33"/>
  <c r="F58" i="33" s="1"/>
  <c r="G58" i="33" s="1"/>
  <c r="H58" i="33" s="1"/>
  <c r="I58" i="33" s="1"/>
  <c r="J58" i="33" s="1"/>
  <c r="K58" i="33" s="1"/>
  <c r="L58" i="33" s="1"/>
  <c r="M58" i="33" s="1"/>
  <c r="N58" i="33" s="1"/>
  <c r="O58" i="33" s="1"/>
  <c r="F7" i="33"/>
  <c r="H7" i="33"/>
  <c r="E58" i="21"/>
  <c r="F58" i="21" s="1"/>
  <c r="G58" i="21" s="1"/>
  <c r="H58" i="21" s="1"/>
  <c r="I58" i="21" s="1"/>
  <c r="J58" i="21" s="1"/>
  <c r="K58" i="21" s="1"/>
  <c r="L58" i="21" s="1"/>
  <c r="M58" i="21" s="1"/>
  <c r="N58" i="21" s="1"/>
  <c r="O58" i="21" s="1"/>
  <c r="H7" i="21"/>
  <c r="J7" i="21"/>
  <c r="C25" i="12"/>
  <c r="C29" i="12"/>
  <c r="C15" i="43"/>
  <c r="C15" i="12"/>
  <c r="C27" i="43"/>
  <c r="C31" i="43"/>
  <c r="H65" i="40"/>
  <c r="F67" i="40"/>
  <c r="F70" i="39"/>
  <c r="C30" i="44"/>
  <c r="H52" i="37"/>
  <c r="I52" i="37" s="1"/>
  <c r="J52" i="37" s="1"/>
  <c r="K52" i="37" s="1"/>
  <c r="L52" i="37" s="1"/>
  <c r="M52" i="37" s="1"/>
  <c r="N52" i="37" s="1"/>
  <c r="O52" i="37" s="1"/>
  <c r="J7" i="37"/>
  <c r="K33" i="9"/>
  <c r="O41" i="9"/>
  <c r="R8" i="54" s="1"/>
  <c r="B54" i="63" s="1"/>
  <c r="K19" i="6"/>
  <c r="S6" i="1" s="1"/>
  <c r="S16" i="1" s="1"/>
  <c r="K20" i="6"/>
  <c r="M20" i="6" s="1"/>
  <c r="I20" i="6" s="1"/>
  <c r="S20" i="6" s="1"/>
  <c r="K14" i="1"/>
  <c r="M14" i="1" s="1"/>
  <c r="O6" i="1"/>
  <c r="E48" i="35"/>
  <c r="H22" i="46"/>
  <c r="AB11" i="46"/>
  <c r="AE11" i="46"/>
  <c r="AE13" i="46" s="1"/>
  <c r="AJ11" i="46"/>
  <c r="AF11" i="46"/>
  <c r="AF13" i="46" s="1"/>
  <c r="Y11" i="46"/>
  <c r="Y13" i="46" s="1"/>
  <c r="AG11" i="46"/>
  <c r="AG13" i="46" s="1"/>
  <c r="AC11" i="46"/>
  <c r="AC13" i="46" s="1"/>
  <c r="E22" i="46"/>
  <c r="H101" i="46"/>
  <c r="M101" i="46"/>
  <c r="D101" i="46"/>
  <c r="I101" i="46"/>
  <c r="G22" i="46"/>
  <c r="AI11" i="46"/>
  <c r="AI13" i="46" s="1"/>
  <c r="AA11" i="46"/>
  <c r="AA13" i="46" s="1"/>
  <c r="C23" i="46"/>
  <c r="C21" i="46" s="1"/>
  <c r="AH11" i="46"/>
  <c r="AD11" i="46"/>
  <c r="Z11" i="46"/>
  <c r="Z13" i="46" s="1"/>
  <c r="F101" i="46"/>
  <c r="N101" i="46"/>
  <c r="K101" i="46"/>
  <c r="Z7" i="46"/>
  <c r="E101" i="46"/>
  <c r="F22" i="46"/>
  <c r="L101" i="46"/>
  <c r="N104" i="45"/>
  <c r="B113" i="46"/>
  <c r="J101" i="46"/>
  <c r="G101" i="46"/>
  <c r="C101" i="46"/>
  <c r="O7" i="1"/>
  <c r="P7" i="1" s="1"/>
  <c r="O9" i="1"/>
  <c r="P9" i="1" s="1"/>
  <c r="O11" i="1"/>
  <c r="P11" i="1" s="1"/>
  <c r="H14" i="66"/>
  <c r="B7" i="66" s="1"/>
  <c r="G46" i="36"/>
  <c r="O10" i="1"/>
  <c r="P10" i="1" s="1"/>
  <c r="H7" i="37"/>
  <c r="F7" i="37"/>
  <c r="F59" i="34"/>
  <c r="K16" i="1"/>
  <c r="Q16" i="1"/>
  <c r="G16" i="1"/>
  <c r="D5" i="46"/>
  <c r="W41" i="34"/>
  <c r="AC41" i="34"/>
  <c r="AZ544" i="3"/>
  <c r="AZ562" i="3"/>
  <c r="AA27" i="37"/>
  <c r="S27" i="37"/>
  <c r="AC35" i="35"/>
  <c r="W35" i="35"/>
  <c r="AC46" i="33"/>
  <c r="W46" i="33"/>
  <c r="U40" i="37"/>
  <c r="AB40" i="37"/>
  <c r="S27" i="33"/>
  <c r="AA27" i="33"/>
  <c r="U13" i="21"/>
  <c r="AB13" i="21"/>
  <c r="U14" i="21"/>
  <c r="AB14" i="21"/>
  <c r="W37" i="33"/>
  <c r="AC37" i="33"/>
  <c r="U25" i="33"/>
  <c r="AA10" i="35"/>
  <c r="S10" i="35"/>
  <c r="AZ492" i="3"/>
  <c r="AZ493" i="3"/>
  <c r="AB31" i="21"/>
  <c r="AA38" i="37"/>
  <c r="AC31" i="34"/>
  <c r="W31" i="34"/>
  <c r="AA45" i="21"/>
  <c r="S45" i="21"/>
  <c r="AB46" i="21"/>
  <c r="U46" i="21"/>
  <c r="AB28" i="21"/>
  <c r="U28" i="21"/>
  <c r="AA22" i="35"/>
  <c r="S22" i="35"/>
  <c r="AC23" i="36"/>
  <c r="W23" i="36"/>
  <c r="AC33" i="33"/>
  <c r="W33" i="33"/>
  <c r="AB26" i="36"/>
  <c r="U26" i="36"/>
  <c r="H25" i="37"/>
  <c r="J25" i="37"/>
  <c r="F25" i="37"/>
  <c r="AA40" i="33"/>
  <c r="S40" i="33"/>
  <c r="AZ393" i="3"/>
  <c r="AZ396" i="3"/>
  <c r="AZ405" i="3"/>
  <c r="AZ411" i="3"/>
  <c r="W40" i="33"/>
  <c r="AB8" i="36"/>
  <c r="U38" i="33"/>
  <c r="S34" i="34"/>
  <c r="U31" i="35"/>
  <c r="U22" i="36"/>
  <c r="AB9" i="21"/>
  <c r="U9" i="21"/>
  <c r="BG5" i="3"/>
  <c r="F12" i="21"/>
  <c r="H12" i="21"/>
  <c r="AB33" i="33"/>
  <c r="U33" i="33"/>
  <c r="AC39" i="34"/>
  <c r="W39" i="34"/>
  <c r="J12" i="35"/>
  <c r="J34" i="35"/>
  <c r="H34" i="35"/>
  <c r="F34" i="35"/>
  <c r="H12" i="36"/>
  <c r="F23" i="36"/>
  <c r="AC39" i="37"/>
  <c r="W39" i="37"/>
  <c r="U41" i="21"/>
  <c r="AB41" i="21"/>
  <c r="G536" i="3"/>
  <c r="G524" i="3"/>
  <c r="G512" i="3"/>
  <c r="G489" i="3"/>
  <c r="G481" i="3"/>
  <c r="AZ389" i="3"/>
  <c r="AZ400" i="3"/>
  <c r="AZ408" i="3"/>
  <c r="AZ413" i="3"/>
  <c r="AZ424" i="3"/>
  <c r="AZ148" i="3"/>
  <c r="A30" i="64"/>
  <c r="A30" i="51"/>
  <c r="B22" i="63" s="1"/>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56" i="3"/>
  <c r="AZ75" i="3"/>
  <c r="AZ25" i="3"/>
  <c r="AZ30" i="3"/>
  <c r="AZ41" i="3"/>
  <c r="AZ46" i="3"/>
  <c r="AZ57" i="3"/>
  <c r="AZ72" i="3"/>
  <c r="AZ77" i="3"/>
  <c r="AZ87" i="3"/>
  <c r="AZ89" i="3"/>
  <c r="AZ100" i="3"/>
  <c r="AZ105" i="3"/>
  <c r="D1" i="57"/>
  <c r="E10" i="57" s="1"/>
  <c r="I21" i="57"/>
  <c r="O51" i="59"/>
  <c r="O50" i="59"/>
  <c r="D51" i="59"/>
  <c r="B54" i="46"/>
  <c r="C27" i="40"/>
  <c r="S27" i="40"/>
  <c r="S21" i="34"/>
  <c r="D52" i="59"/>
  <c r="Y13" i="59"/>
  <c r="Z13" i="59" s="1"/>
  <c r="Y12" i="59"/>
  <c r="Z12" i="59" s="1"/>
  <c r="Y11" i="59"/>
  <c r="Z11" i="59" s="1"/>
  <c r="Y10" i="59"/>
  <c r="Z10" i="59" s="1"/>
  <c r="AA12" i="59"/>
  <c r="AA10" i="59"/>
  <c r="X13" i="59"/>
  <c r="X11" i="59"/>
  <c r="X3" i="59"/>
  <c r="B15" i="59"/>
  <c r="B16" i="59" s="1"/>
  <c r="B17" i="59" s="1"/>
  <c r="S17" i="59" s="1"/>
  <c r="C15" i="59"/>
  <c r="AA14" i="59"/>
  <c r="AB17" i="59"/>
  <c r="X18" i="59"/>
  <c r="AB22" i="59"/>
  <c r="F23" i="59"/>
  <c r="F24" i="59" s="1"/>
  <c r="F25" i="59" s="1"/>
  <c r="V25" i="59" s="1"/>
  <c r="AB23" i="59"/>
  <c r="Q51" i="59"/>
  <c r="Q50" i="59"/>
  <c r="AA22" i="59"/>
  <c r="E23" i="59"/>
  <c r="E24" i="59" s="1"/>
  <c r="E25" i="59" s="1"/>
  <c r="U25" i="59" s="1"/>
  <c r="B12" i="59"/>
  <c r="B11" i="59" s="1"/>
  <c r="S13" i="59"/>
  <c r="U13" i="59"/>
  <c r="E12" i="59"/>
  <c r="E11" i="59" s="1"/>
  <c r="AA18" i="59"/>
  <c r="AB18" i="59"/>
  <c r="Y19" i="59"/>
  <c r="Z19" i="59" s="1"/>
  <c r="AB19" i="59"/>
  <c r="Y20" i="59"/>
  <c r="Z20" i="59" s="1"/>
  <c r="AB20" i="59"/>
  <c r="Y21" i="59"/>
  <c r="Z21" i="59" s="1"/>
  <c r="AB21" i="59"/>
  <c r="X22" i="59"/>
  <c r="Y22" i="59"/>
  <c r="Z22" i="59" s="1"/>
  <c r="X23" i="59"/>
  <c r="AA23" i="59"/>
  <c r="C13" i="59"/>
  <c r="Y9" i="59"/>
  <c r="Z9" i="59" s="1"/>
  <c r="AB9" i="59"/>
  <c r="F13" i="59"/>
  <c r="AB12" i="46"/>
  <c r="AB13" i="46" s="1"/>
  <c r="AJ12" i="46"/>
  <c r="AJ13" i="46" s="1"/>
  <c r="X9" i="59"/>
  <c r="Y8" i="59"/>
  <c r="Z8" i="59" s="1"/>
  <c r="AB8" i="59"/>
  <c r="X7" i="59"/>
  <c r="X6" i="59"/>
  <c r="AA6" i="59"/>
  <c r="A28" i="64"/>
  <c r="AH10" i="46"/>
  <c r="AH12" i="46"/>
  <c r="AH13" i="46" s="1"/>
  <c r="AD10" i="46"/>
  <c r="AD12" i="46"/>
  <c r="AD13" i="46" s="1"/>
  <c r="AA8" i="59"/>
  <c r="Y6" i="59"/>
  <c r="Z6" i="59" s="1"/>
  <c r="AB6" i="59"/>
  <c r="X8" i="59"/>
  <c r="C8" i="59"/>
  <c r="F8" i="59"/>
  <c r="F7" i="59" s="1"/>
  <c r="F6" i="59" s="1"/>
  <c r="F5" i="59" s="1"/>
  <c r="Y7" i="59"/>
  <c r="Z7" i="59" s="1"/>
  <c r="AA7" i="59"/>
  <c r="AB7" i="59"/>
  <c r="X5" i="59"/>
  <c r="AA5" i="59"/>
  <c r="K76" i="9"/>
  <c r="K77" i="9" s="1"/>
  <c r="K79" i="9" s="1"/>
  <c r="K81" i="9" s="1"/>
  <c r="AA9"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3" i="44"/>
  <c r="F31" i="15"/>
  <c r="M19" i="44"/>
  <c r="M17" i="15"/>
  <c r="F58" i="15"/>
  <c r="E2" i="65"/>
  <c r="C17" i="15"/>
  <c r="E3" i="65"/>
  <c r="C16" i="15"/>
  <c r="C18" i="44"/>
  <c r="AB21" i="39" l="1"/>
  <c r="K24" i="6"/>
  <c r="M24" i="6" s="1"/>
  <c r="I24" i="6" s="1"/>
  <c r="S24" i="6" s="1"/>
  <c r="K23" i="6"/>
  <c r="M23" i="6" s="1"/>
  <c r="I23" i="6" s="1"/>
  <c r="S23" i="6" s="1"/>
  <c r="K25" i="6"/>
  <c r="M25" i="6" s="1"/>
  <c r="I25" i="6" s="1"/>
  <c r="S25" i="6" s="1"/>
  <c r="K21" i="6"/>
  <c r="M21" i="6" s="1"/>
  <c r="I21" i="6" s="1"/>
  <c r="S21" i="6" s="1"/>
  <c r="K26" i="6"/>
  <c r="M26" i="6" s="1"/>
  <c r="I26" i="6" s="1"/>
  <c r="S26" i="6" s="1"/>
  <c r="K22" i="6"/>
  <c r="M22" i="6" s="1"/>
  <c r="I22" i="6" s="1"/>
  <c r="S22" i="6" s="1"/>
  <c r="E30" i="6"/>
  <c r="E31" i="6" s="1"/>
  <c r="G70" i="39"/>
  <c r="F72" i="39"/>
  <c r="H67" i="40"/>
  <c r="I65" i="40"/>
  <c r="AC7" i="21"/>
  <c r="V48" i="21" s="1"/>
  <c r="I48" i="21" s="1"/>
  <c r="W7" i="21"/>
  <c r="F7" i="21"/>
  <c r="U7" i="33"/>
  <c r="AB7" i="33"/>
  <c r="T48" i="33" s="1"/>
  <c r="G48" i="33" s="1"/>
  <c r="J7" i="33"/>
  <c r="U7" i="21"/>
  <c r="AB7" i="21"/>
  <c r="T48" i="21" s="1"/>
  <c r="G48" i="21" s="1"/>
  <c r="S7" i="33"/>
  <c r="AA7" i="33"/>
  <c r="R48" i="33" s="1"/>
  <c r="T13" i="59"/>
  <c r="C12" i="59"/>
  <c r="D13" i="59"/>
  <c r="AZ5" i="3"/>
  <c r="G5" i="3"/>
  <c r="B3" i="3" s="1"/>
  <c r="E481" i="3" s="1"/>
  <c r="E512" i="3"/>
  <c r="U12" i="36"/>
  <c r="AB12" i="36"/>
  <c r="U34" i="35"/>
  <c r="AB34" i="35"/>
  <c r="W12" i="35"/>
  <c r="AC12" i="35"/>
  <c r="S12" i="21"/>
  <c r="AA12" i="21"/>
  <c r="AA25" i="37"/>
  <c r="S25" i="37"/>
  <c r="U25" i="37"/>
  <c r="AB25" i="37"/>
  <c r="F33" i="12"/>
  <c r="C34" i="12" s="1"/>
  <c r="D33" i="12" s="1"/>
  <c r="F18" i="11"/>
  <c r="C18" i="11" s="1"/>
  <c r="F24" i="43"/>
  <c r="C26" i="43" s="1"/>
  <c r="D24" i="43" s="1"/>
  <c r="G59" i="34"/>
  <c r="AB7" i="37"/>
  <c r="T42" i="37" s="1"/>
  <c r="G42" i="37" s="1"/>
  <c r="U7" i="37"/>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3" i="46"/>
  <c r="K107" i="46"/>
  <c r="K106" i="46"/>
  <c r="K102" i="46"/>
  <c r="F109" i="46"/>
  <c r="F107" i="46"/>
  <c r="F105" i="46"/>
  <c r="F102" i="46"/>
  <c r="F106" i="46"/>
  <c r="F103" i="46"/>
  <c r="F104" i="46"/>
  <c r="D102" i="46"/>
  <c r="D104" i="46"/>
  <c r="D109" i="46"/>
  <c r="D103" i="46"/>
  <c r="D105" i="46"/>
  <c r="D106" i="46"/>
  <c r="D107" i="46"/>
  <c r="H104" i="46"/>
  <c r="H105" i="46"/>
  <c r="H106" i="46"/>
  <c r="H109" i="46"/>
  <c r="H102" i="46"/>
  <c r="H103" i="46"/>
  <c r="H107" i="46"/>
  <c r="W7" i="37"/>
  <c r="AC7" i="37"/>
  <c r="V42" i="37" s="1"/>
  <c r="I42" i="37" s="1"/>
  <c r="C7" i="59"/>
  <c r="D8" i="59"/>
  <c r="V13" i="59"/>
  <c r="F12" i="59"/>
  <c r="F11" i="59" s="1"/>
  <c r="C16" i="59"/>
  <c r="D15" i="59"/>
  <c r="E489" i="3"/>
  <c r="E524" i="3"/>
  <c r="AA23" i="36"/>
  <c r="S23" i="36"/>
  <c r="S34" i="35"/>
  <c r="AA34" i="35"/>
  <c r="AC34" i="35"/>
  <c r="W34" i="35"/>
  <c r="U12" i="21"/>
  <c r="AB12" i="21"/>
  <c r="E14" i="6"/>
  <c r="E15" i="6"/>
  <c r="E13" i="6"/>
  <c r="E12" i="6"/>
  <c r="E10" i="6"/>
  <c r="E11" i="6"/>
  <c r="W25" i="37"/>
  <c r="AC25" i="37"/>
  <c r="H12" i="39"/>
  <c r="F12" i="39"/>
  <c r="J12" i="40"/>
  <c r="J12" i="39"/>
  <c r="H12" i="40"/>
  <c r="F12" i="40"/>
  <c r="AA7" i="37"/>
  <c r="R42" i="37" s="1"/>
  <c r="S7" i="37"/>
  <c r="H46" i="36"/>
  <c r="C106" i="46"/>
  <c r="C105" i="46"/>
  <c r="C102" i="46"/>
  <c r="C104" i="46"/>
  <c r="C107" i="46"/>
  <c r="C109" i="46"/>
  <c r="C103" i="46"/>
  <c r="J104" i="46"/>
  <c r="J103" i="46"/>
  <c r="J105" i="46"/>
  <c r="J109" i="46"/>
  <c r="J102" i="46"/>
  <c r="J107" i="46"/>
  <c r="J106" i="46"/>
  <c r="N109" i="46"/>
  <c r="N105" i="46"/>
  <c r="N102" i="46"/>
  <c r="N107" i="46"/>
  <c r="N103" i="46"/>
  <c r="N106" i="46"/>
  <c r="N104" i="46"/>
  <c r="I102" i="46"/>
  <c r="I109" i="46"/>
  <c r="I107" i="46"/>
  <c r="I104" i="46"/>
  <c r="I106" i="46"/>
  <c r="I105" i="46"/>
  <c r="I103" i="46"/>
  <c r="M104" i="46"/>
  <c r="M103" i="46"/>
  <c r="M105" i="46"/>
  <c r="M107" i="46"/>
  <c r="M109" i="46"/>
  <c r="M102" i="46"/>
  <c r="M106" i="46"/>
  <c r="D22" i="46"/>
  <c r="F48" i="35"/>
  <c r="P6" i="1"/>
  <c r="T13" i="1"/>
  <c r="O14" i="1"/>
  <c r="O16" i="1" s="1"/>
  <c r="T7" i="1"/>
  <c r="T9" i="1"/>
  <c r="T11" i="1"/>
  <c r="T12" i="1"/>
  <c r="P14" i="1"/>
  <c r="M16" i="1"/>
  <c r="T10" i="1"/>
  <c r="T8" i="1"/>
  <c r="T6" i="1"/>
  <c r="T16" i="1" s="1"/>
  <c r="M19" i="6"/>
  <c r="K27" i="6"/>
  <c r="K34" i="9"/>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6" i="44"/>
  <c r="C14" i="15"/>
  <c r="E16" i="6" l="1"/>
  <c r="S7" i="46"/>
  <c r="S5" i="46"/>
  <c r="S3" i="46"/>
  <c r="S4" i="46"/>
  <c r="S6" i="46"/>
  <c r="S2" i="46"/>
  <c r="G53" i="33"/>
  <c r="H53" i="33" s="1"/>
  <c r="G52" i="33"/>
  <c r="H52" i="33" s="1"/>
  <c r="R49" i="33"/>
  <c r="E48" i="33"/>
  <c r="G53" i="21"/>
  <c r="H53" i="21" s="1"/>
  <c r="G52" i="21"/>
  <c r="H52" i="21" s="1"/>
  <c r="W7" i="33"/>
  <c r="AC7" i="33"/>
  <c r="V48" i="33" s="1"/>
  <c r="I48" i="33" s="1"/>
  <c r="I67" i="40"/>
  <c r="J65" i="40"/>
  <c r="S7" i="21"/>
  <c r="AA7" i="21"/>
  <c r="R48" i="21" s="1"/>
  <c r="I52" i="21"/>
  <c r="J52" i="21" s="1"/>
  <c r="G72" i="39"/>
  <c r="H70" i="39"/>
  <c r="C18" i="15"/>
  <c r="C15" i="15"/>
  <c r="C20" i="44"/>
  <c r="C17" i="44"/>
  <c r="L16" i="1"/>
  <c r="N16" i="1"/>
  <c r="C29" i="43" s="1"/>
  <c r="C13" i="43"/>
  <c r="P16" i="1"/>
  <c r="C13" i="12" s="1"/>
  <c r="G48" i="35"/>
  <c r="I46" i="36"/>
  <c r="R43" i="37"/>
  <c r="E42" i="37"/>
  <c r="I47" i="37" s="1"/>
  <c r="J47" i="37" s="1"/>
  <c r="AB12" i="40"/>
  <c r="U12" i="40"/>
  <c r="W12" i="40"/>
  <c r="AC12" i="40"/>
  <c r="AB12" i="39"/>
  <c r="U12" i="39"/>
  <c r="E60" i="40"/>
  <c r="E65" i="39"/>
  <c r="E61" i="40"/>
  <c r="E66" i="39"/>
  <c r="C17" i="59"/>
  <c r="D16" i="59"/>
  <c r="D7" i="59"/>
  <c r="C6" i="59"/>
  <c r="C115" i="46"/>
  <c r="D113" i="46" s="1"/>
  <c r="G47" i="37"/>
  <c r="H47" i="37" s="1"/>
  <c r="G46" i="37"/>
  <c r="H46" i="37" s="1"/>
  <c r="E536" i="3"/>
  <c r="E3" i="6"/>
  <c r="AY6" i="3"/>
  <c r="C11" i="59"/>
  <c r="D11" i="59" s="1"/>
  <c r="D12" i="59"/>
  <c r="M27" i="6"/>
  <c r="I19" i="6"/>
  <c r="AA12" i="40"/>
  <c r="S12" i="40"/>
  <c r="AC12" i="39"/>
  <c r="W12" i="39"/>
  <c r="S12" i="39"/>
  <c r="AA12" i="39"/>
  <c r="E58" i="40"/>
  <c r="E63" i="39"/>
  <c r="E64" i="39"/>
  <c r="E59" i="40"/>
  <c r="E67" i="39"/>
  <c r="E62" i="40"/>
  <c r="I46" i="37"/>
  <c r="J46" i="37" s="1"/>
  <c r="H59" i="34"/>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L52" i="44"/>
  <c r="H6" i="3" l="1"/>
  <c r="E6" i="3" s="1"/>
  <c r="AC6" i="3"/>
  <c r="C19" i="15"/>
  <c r="C20" i="15" s="1"/>
  <c r="C26" i="15" s="1"/>
  <c r="C21" i="44"/>
  <c r="C22" i="44" s="1"/>
  <c r="H72" i="39"/>
  <c r="I70" i="39"/>
  <c r="E48" i="21"/>
  <c r="R49" i="21"/>
  <c r="J67" i="40"/>
  <c r="K65" i="40"/>
  <c r="I53" i="33"/>
  <c r="J53" i="33" s="1"/>
  <c r="I52" i="33"/>
  <c r="J52" i="33" s="1"/>
  <c r="E52" i="33"/>
  <c r="F52" i="33" s="1"/>
  <c r="E53" i="33"/>
  <c r="F53" i="33" s="1"/>
  <c r="C49" i="33"/>
  <c r="B3" i="33" s="1"/>
  <c r="B2" i="33" s="1"/>
  <c r="C48" i="33"/>
  <c r="I27" i="6"/>
  <c r="S19"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C5" i="59"/>
  <c r="D6" i="59"/>
  <c r="E46" i="37"/>
  <c r="F46" i="37" s="1"/>
  <c r="E47" i="37"/>
  <c r="F47" i="37" s="1"/>
  <c r="C14" i="12"/>
  <c r="C17" i="12"/>
  <c r="I59" i="34"/>
  <c r="D16" i="43"/>
  <c r="C16" i="43" s="1"/>
  <c r="C21" i="4"/>
  <c r="O5" i="54" s="1"/>
  <c r="B45" i="63" s="1"/>
  <c r="D10" i="11"/>
  <c r="S27" i="6"/>
  <c r="D16" i="12"/>
  <c r="E6" i="6"/>
  <c r="L38" i="9"/>
  <c r="B14" i="66" s="1"/>
  <c r="B1" i="66" s="1"/>
  <c r="D45" i="9"/>
  <c r="D46" i="9"/>
  <c r="T17" i="59"/>
  <c r="D17" i="59"/>
  <c r="C42" i="37"/>
  <c r="C43" i="37"/>
  <c r="B3" i="37" s="1"/>
  <c r="B2" i="37" s="1"/>
  <c r="J46" i="36"/>
  <c r="H48" i="35"/>
  <c r="C14" i="43"/>
  <c r="C17" i="43"/>
  <c r="Q69" i="44"/>
  <c r="L58" i="44"/>
  <c r="L61" i="44" s="1"/>
  <c r="C32" i="15"/>
  <c r="C38" i="15"/>
  <c r="B5" i="11"/>
  <c r="B3" i="11"/>
  <c r="B4" i="11"/>
  <c r="C59" i="15"/>
  <c r="C65" i="15"/>
  <c r="C27" i="12"/>
  <c r="D26" i="12" s="1"/>
  <c r="C32" i="12" s="1"/>
  <c r="D30" i="12" s="1"/>
  <c r="Q49" i="44"/>
  <c r="Q55" i="44" s="1"/>
  <c r="Q67" i="44"/>
  <c r="Q58" i="44"/>
  <c r="C25" i="44" l="1"/>
  <c r="C28" i="44"/>
  <c r="C23" i="15"/>
  <c r="C29" i="15" s="1"/>
  <c r="C36" i="15" s="1"/>
  <c r="C18" i="43"/>
  <c r="C19" i="43" s="1"/>
  <c r="C25" i="43" s="1"/>
  <c r="C24" i="43" s="1"/>
  <c r="K67" i="40"/>
  <c r="L65" i="40"/>
  <c r="C49" i="21"/>
  <c r="B3" i="21" s="1"/>
  <c r="B2" i="21" s="1"/>
  <c r="C48" i="21"/>
  <c r="I72" i="39"/>
  <c r="J70" i="39"/>
  <c r="E52" i="21"/>
  <c r="F52" i="21" s="1"/>
  <c r="E53" i="21"/>
  <c r="F53" i="21" s="1"/>
  <c r="I53" i="21"/>
  <c r="J53" i="21" s="1"/>
  <c r="D13" i="11"/>
  <c r="C13" i="11" s="1"/>
  <c r="D22" i="12"/>
  <c r="C22" i="12" s="1"/>
  <c r="C20" i="12" s="1"/>
  <c r="J59" i="34"/>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E46" i="9"/>
  <c r="E45" i="9"/>
  <c r="F46" i="9"/>
  <c r="F45" i="9"/>
  <c r="I48" i="35"/>
  <c r="K46" i="36"/>
  <c r="L46" i="36" s="1"/>
  <c r="M46" i="36" s="1"/>
  <c r="N46" i="36" s="1"/>
  <c r="O46" i="36" s="1"/>
  <c r="H7" i="36"/>
  <c r="J7" i="36"/>
  <c r="C8" i="66"/>
  <c r="C7" i="66"/>
  <c r="D19" i="12"/>
  <c r="C19" i="12" s="1"/>
  <c r="C16" i="12"/>
  <c r="C18" i="12" s="1"/>
  <c r="Q68" i="44"/>
  <c r="Q77" i="44" s="1"/>
  <c r="Q59" i="44"/>
  <c r="Q64" i="44" s="1"/>
  <c r="Q50" i="15" l="1"/>
  <c r="C33" i="15"/>
  <c r="C31" i="15" s="1"/>
  <c r="J19" i="15"/>
  <c r="J17" i="15" s="1"/>
  <c r="J14" i="15"/>
  <c r="J22" i="15" s="1"/>
  <c r="J59" i="15"/>
  <c r="J60" i="15" s="1"/>
  <c r="Q49" i="15" s="1"/>
  <c r="C56" i="15"/>
  <c r="C60" i="15" s="1"/>
  <c r="C58" i="15" s="1"/>
  <c r="H27" i="6"/>
  <c r="C13" i="15"/>
  <c r="J35" i="15" s="1"/>
  <c r="C31" i="44"/>
  <c r="Q51" i="44" s="1"/>
  <c r="D16" i="6"/>
  <c r="D30" i="6"/>
  <c r="R26" i="6"/>
  <c r="R23" i="6"/>
  <c r="K70" i="39"/>
  <c r="J72" i="39"/>
  <c r="M65" i="40"/>
  <c r="L67" i="40"/>
  <c r="C35" i="46"/>
  <c r="T12" i="46"/>
  <c r="V12" i="46" s="1"/>
  <c r="C33" i="46"/>
  <c r="T16" i="46"/>
  <c r="V16" i="46" s="1"/>
  <c r="T4" i="46"/>
  <c r="V4" i="46" s="1"/>
  <c r="T14" i="46"/>
  <c r="V14" i="46" s="1"/>
  <c r="C29" i="46"/>
  <c r="C39" i="46"/>
  <c r="T7" i="46"/>
  <c r="V7" i="46" s="1"/>
  <c r="T9" i="46"/>
  <c r="V9" i="46" s="1"/>
  <c r="C37" i="46"/>
  <c r="T8" i="46"/>
  <c r="V8" i="46" s="1"/>
  <c r="T13" i="46"/>
  <c r="V13" i="46" s="1"/>
  <c r="C34" i="46"/>
  <c r="T15" i="46"/>
  <c r="V15" i="46" s="1"/>
  <c r="T5" i="46"/>
  <c r="V5" i="46" s="1"/>
  <c r="T10" i="46"/>
  <c r="V10" i="46" s="1"/>
  <c r="T2" i="46"/>
  <c r="V2" i="46" s="1"/>
  <c r="C38" i="46"/>
  <c r="T3" i="46"/>
  <c r="V3" i="46" s="1"/>
  <c r="C36" i="46"/>
  <c r="T11" i="46"/>
  <c r="V11" i="46" s="1"/>
  <c r="T6" i="46"/>
  <c r="V6" i="46" s="1"/>
  <c r="C23" i="12"/>
  <c r="C35" i="12" s="1"/>
  <c r="C33" i="12" s="1"/>
  <c r="AB7" i="36"/>
  <c r="T36" i="36" s="1"/>
  <c r="G36" i="36" s="1"/>
  <c r="U7" i="36"/>
  <c r="J48" i="35"/>
  <c r="R22" i="6"/>
  <c r="R25" i="6"/>
  <c r="R19" i="6"/>
  <c r="D27" i="6"/>
  <c r="D31" i="6" s="1"/>
  <c r="K59" i="34"/>
  <c r="AC7" i="36"/>
  <c r="V36" i="36" s="1"/>
  <c r="I36" i="36" s="1"/>
  <c r="W7" i="36"/>
  <c r="D8" i="66"/>
  <c r="D7" i="66"/>
  <c r="R24" i="6"/>
  <c r="R20" i="6"/>
  <c r="R21" i="6"/>
  <c r="A6" i="51"/>
  <c r="B7" i="63" s="1"/>
  <c r="A20" i="64"/>
  <c r="A20" i="51"/>
  <c r="B15" i="63" s="1"/>
  <c r="N5" i="54"/>
  <c r="B43" i="63" s="1"/>
  <c r="A6" i="64"/>
  <c r="C22" i="43"/>
  <c r="C21" i="43" s="1"/>
  <c r="C28" i="43" s="1"/>
  <c r="C30" i="43" s="1"/>
  <c r="C32" i="43" s="1"/>
  <c r="B2" i="43" s="1"/>
  <c r="F7" i="36"/>
  <c r="C15" i="44" l="1"/>
  <c r="Q72" i="44" s="1"/>
  <c r="L46" i="15"/>
  <c r="J16" i="44"/>
  <c r="J24" i="44" s="1"/>
  <c r="C55" i="15"/>
  <c r="C64" i="15" s="1"/>
  <c r="J13" i="15"/>
  <c r="J23" i="15" s="1"/>
  <c r="J16" i="15" s="1"/>
  <c r="J25" i="15" s="1"/>
  <c r="Q71" i="15"/>
  <c r="J15" i="44"/>
  <c r="J25" i="44" s="1"/>
  <c r="C38" i="44"/>
  <c r="C35" i="44"/>
  <c r="C33" i="44" s="1"/>
  <c r="J21" i="44"/>
  <c r="J19" i="44" s="1"/>
  <c r="C63" i="15"/>
  <c r="C37" i="15"/>
  <c r="C30" i="15" s="1"/>
  <c r="C39" i="15" s="1"/>
  <c r="Q70" i="15" s="1"/>
  <c r="Q69" i="15" s="1"/>
  <c r="R27" i="6"/>
  <c r="R6" i="1"/>
  <c r="R16" i="1" s="1"/>
  <c r="C28" i="12"/>
  <c r="C26" i="12" s="1"/>
  <c r="C31" i="12" s="1"/>
  <c r="C30" i="12" s="1"/>
  <c r="C36" i="12" s="1"/>
  <c r="B2" i="12" s="1"/>
  <c r="N65" i="40"/>
  <c r="N67" i="40" s="1"/>
  <c r="M67" i="40"/>
  <c r="J9" i="40" s="1"/>
  <c r="L70" i="39"/>
  <c r="K72" i="39"/>
  <c r="AA7" i="36"/>
  <c r="R36" i="36" s="1"/>
  <c r="S7" i="36"/>
  <c r="I40" i="36"/>
  <c r="J40" i="36" s="1"/>
  <c r="L59" i="34"/>
  <c r="K48" i="35"/>
  <c r="G40" i="36"/>
  <c r="H40" i="36" s="1"/>
  <c r="G41" i="36"/>
  <c r="H41" i="36" s="1"/>
  <c r="E34" i="46"/>
  <c r="G34" i="46"/>
  <c r="I34" i="46" s="1"/>
  <c r="G39" i="46"/>
  <c r="I39" i="46" s="1"/>
  <c r="E39" i="46"/>
  <c r="B5" i="43"/>
  <c r="B3" i="43"/>
  <c r="B4" i="43"/>
  <c r="I6" i="6"/>
  <c r="I5" i="6"/>
  <c r="G36" i="46"/>
  <c r="I36" i="46" s="1"/>
  <c r="E36" i="46"/>
  <c r="E38" i="46"/>
  <c r="G38" i="46"/>
  <c r="I38" i="46" s="1"/>
  <c r="G37" i="46"/>
  <c r="I37" i="46" s="1"/>
  <c r="E37" i="46"/>
  <c r="C30" i="46"/>
  <c r="E30" i="46" s="1"/>
  <c r="E29" i="46"/>
  <c r="G33" i="46"/>
  <c r="I33" i="46" s="1"/>
  <c r="E33" i="46"/>
  <c r="E35" i="46"/>
  <c r="G35" i="46"/>
  <c r="I35" i="46" s="1"/>
  <c r="D19" i="9"/>
  <c r="L51" i="15"/>
  <c r="F7" i="67"/>
  <c r="C43" i="44" l="1"/>
  <c r="C39" i="44"/>
  <c r="C32" i="44" s="1"/>
  <c r="C42" i="44" s="1"/>
  <c r="Q71" i="44" s="1"/>
  <c r="Q70" i="44" s="1"/>
  <c r="L44" i="9"/>
  <c r="J18" i="44"/>
  <c r="J27" i="44" s="1"/>
  <c r="C57" i="15"/>
  <c r="C66" i="15" s="1"/>
  <c r="C67" i="15" s="1"/>
  <c r="C70" i="15" s="1"/>
  <c r="J39" i="15"/>
  <c r="J40" i="15" s="1"/>
  <c r="L57" i="15"/>
  <c r="L60" i="15" s="1"/>
  <c r="Q67" i="15" s="1"/>
  <c r="Q68" i="15"/>
  <c r="C40" i="15"/>
  <c r="B3" i="12"/>
  <c r="B4" i="12"/>
  <c r="B5" i="12"/>
  <c r="M70" i="39"/>
  <c r="L72" i="39"/>
  <c r="F9" i="40"/>
  <c r="AC9" i="40"/>
  <c r="V44" i="40" s="1"/>
  <c r="I44" i="40" s="1"/>
  <c r="W9" i="40"/>
  <c r="H9" i="40"/>
  <c r="E4" i="67"/>
  <c r="C27" i="46"/>
  <c r="C26" i="46"/>
  <c r="L48" i="35"/>
  <c r="M59" i="34"/>
  <c r="E36" i="36"/>
  <c r="R37" i="36"/>
  <c r="D21" i="9"/>
  <c r="D20" i="9"/>
  <c r="E7" i="67"/>
  <c r="Q58" i="15" l="1"/>
  <c r="C44" i="44"/>
  <c r="C45" i="44" s="1"/>
  <c r="B2" i="44" s="1"/>
  <c r="B3" i="44" s="1"/>
  <c r="B2" i="15"/>
  <c r="B3" i="15" s="1"/>
  <c r="Q66" i="15"/>
  <c r="Q76" i="15" s="1"/>
  <c r="J42" i="15"/>
  <c r="J43" i="15" s="1"/>
  <c r="C43" i="15"/>
  <c r="Q48" i="15"/>
  <c r="Q54" i="15" s="1"/>
  <c r="Q57" i="15"/>
  <c r="C46" i="15"/>
  <c r="S9" i="40"/>
  <c r="AA9" i="40"/>
  <c r="R44" i="40" s="1"/>
  <c r="M72" i="39"/>
  <c r="N70" i="39"/>
  <c r="N72" i="39" s="1"/>
  <c r="F9" i="39" s="1"/>
  <c r="AB9" i="40"/>
  <c r="T44" i="40" s="1"/>
  <c r="G44" i="40" s="1"/>
  <c r="U9" i="40"/>
  <c r="I48" i="40"/>
  <c r="J48" i="40" s="1"/>
  <c r="J9" i="39"/>
  <c r="E3" i="67"/>
  <c r="C36" i="36"/>
  <c r="C37" i="36"/>
  <c r="B3" i="36" s="1"/>
  <c r="B2" i="36" s="1"/>
  <c r="N59" i="34"/>
  <c r="E41" i="36"/>
  <c r="F41" i="36" s="1"/>
  <c r="E40" i="36"/>
  <c r="F40" i="36" s="1"/>
  <c r="I41" i="36"/>
  <c r="J41" i="36" s="1"/>
  <c r="M48" i="35"/>
  <c r="B2" i="46"/>
  <c r="B7" i="67"/>
  <c r="Q63" i="15" l="1"/>
  <c r="B4" i="44"/>
  <c r="B5" i="44"/>
  <c r="AA9" i="39"/>
  <c r="R49" i="39" s="1"/>
  <c r="S9" i="39"/>
  <c r="W9" i="39"/>
  <c r="AC9" i="39"/>
  <c r="V49" i="39" s="1"/>
  <c r="I49" i="39" s="1"/>
  <c r="E44" i="40"/>
  <c r="R45" i="40"/>
  <c r="H9" i="39"/>
  <c r="G48" i="40"/>
  <c r="H48" i="40" s="1"/>
  <c r="G49" i="40"/>
  <c r="H49" i="40" s="1"/>
  <c r="B2" i="67"/>
  <c r="B4" i="46"/>
  <c r="D4" i="46"/>
  <c r="B3" i="46"/>
  <c r="N48" i="35"/>
  <c r="O48" i="35" s="1"/>
  <c r="F7" i="35" s="1"/>
  <c r="O59" i="34"/>
  <c r="F7" i="34"/>
  <c r="C44" i="40" l="1"/>
  <c r="C45" i="40"/>
  <c r="I53" i="39"/>
  <c r="J53" i="39" s="1"/>
  <c r="AB9" i="39"/>
  <c r="T49" i="39" s="1"/>
  <c r="G49" i="39" s="1"/>
  <c r="U9" i="39"/>
  <c r="E48" i="40"/>
  <c r="F48" i="40" s="1"/>
  <c r="E49" i="40"/>
  <c r="F49" i="40" s="1"/>
  <c r="I49" i="40"/>
  <c r="J49" i="40" s="1"/>
  <c r="E49" i="39"/>
  <c r="R50" i="39"/>
  <c r="AA7" i="35"/>
  <c r="R38" i="35" s="1"/>
  <c r="S7" i="35"/>
  <c r="S7" i="34"/>
  <c r="AA7" i="34"/>
  <c r="R49" i="34" s="1"/>
  <c r="H7" i="34"/>
  <c r="J7" i="34"/>
  <c r="J7" i="35"/>
  <c r="H7" i="35"/>
  <c r="B4" i="67"/>
  <c r="B3" i="67"/>
  <c r="E53" i="39" l="1"/>
  <c r="F53" i="39" s="1"/>
  <c r="E54" i="39"/>
  <c r="F54" i="39" s="1"/>
  <c r="I54" i="39"/>
  <c r="J54" i="39" s="1"/>
  <c r="B56" i="40"/>
  <c r="F56" i="40" s="1"/>
  <c r="B60" i="40"/>
  <c r="F60" i="40" s="1"/>
  <c r="B61" i="40"/>
  <c r="F61" i="40" s="1"/>
  <c r="B58" i="40"/>
  <c r="F58" i="40" s="1"/>
  <c r="B59" i="40"/>
  <c r="F59" i="40" s="1"/>
  <c r="B54" i="40"/>
  <c r="F54" i="40" s="1"/>
  <c r="B55" i="40"/>
  <c r="F55" i="40" s="1"/>
  <c r="B62" i="40"/>
  <c r="F62" i="40" s="1"/>
  <c r="B53" i="40"/>
  <c r="F53" i="40" s="1"/>
  <c r="B57" i="40"/>
  <c r="F57" i="40" s="1"/>
  <c r="F63" i="40"/>
  <c r="B2" i="40" s="1"/>
  <c r="C49" i="39"/>
  <c r="C50" i="39"/>
  <c r="G54" i="39"/>
  <c r="H54" i="39" s="1"/>
  <c r="G53" i="39"/>
  <c r="H53" i="39" s="1"/>
  <c r="W7" i="35"/>
  <c r="AC7" i="35"/>
  <c r="V38" i="35" s="1"/>
  <c r="I38" i="35" s="1"/>
  <c r="W7" i="34"/>
  <c r="AC7" i="34"/>
  <c r="V49" i="34" s="1"/>
  <c r="I49" i="34" s="1"/>
  <c r="R50" i="34"/>
  <c r="E49" i="34"/>
  <c r="AB7" i="35"/>
  <c r="T38" i="35" s="1"/>
  <c r="G38" i="35" s="1"/>
  <c r="U7" i="35"/>
  <c r="U7" i="34"/>
  <c r="AB7" i="34"/>
  <c r="T49" i="34" s="1"/>
  <c r="G49" i="34" s="1"/>
  <c r="R39" i="35"/>
  <c r="E38" i="35"/>
  <c r="B62" i="39" l="1"/>
  <c r="F62" i="39" s="1"/>
  <c r="B64" i="39"/>
  <c r="F64" i="39" s="1"/>
  <c r="B66" i="39"/>
  <c r="F66" i="39" s="1"/>
  <c r="B58" i="39"/>
  <c r="F58" i="39" s="1"/>
  <c r="B61" i="39"/>
  <c r="F61" i="39" s="1"/>
  <c r="B59" i="39"/>
  <c r="F59" i="39" s="1"/>
  <c r="B67" i="39"/>
  <c r="F67" i="39" s="1"/>
  <c r="B65" i="39"/>
  <c r="F65" i="39" s="1"/>
  <c r="B60" i="39"/>
  <c r="F60" i="39" s="1"/>
  <c r="B63" i="39"/>
  <c r="F63" i="39" s="1"/>
  <c r="B4" i="40"/>
  <c r="B5" i="40"/>
  <c r="B3" i="40"/>
  <c r="C38" i="35"/>
  <c r="C39" i="35"/>
  <c r="B3" i="35" s="1"/>
  <c r="B2" i="35" s="1"/>
  <c r="G42" i="35"/>
  <c r="H42" i="35" s="1"/>
  <c r="G43" i="35"/>
  <c r="H43" i="35" s="1"/>
  <c r="E42" i="35"/>
  <c r="F42" i="35" s="1"/>
  <c r="E43" i="35"/>
  <c r="F43" i="35" s="1"/>
  <c r="G53" i="34"/>
  <c r="H53" i="34" s="1"/>
  <c r="G54" i="34"/>
  <c r="H54" i="34" s="1"/>
  <c r="E54" i="34"/>
  <c r="F54" i="34" s="1"/>
  <c r="E53" i="34"/>
  <c r="F53" i="34" s="1"/>
  <c r="I53" i="34"/>
  <c r="J53" i="34" s="1"/>
  <c r="I54" i="34"/>
  <c r="J54" i="34" s="1"/>
  <c r="I42" i="35"/>
  <c r="J42" i="35" s="1"/>
  <c r="I43" i="35"/>
  <c r="J43" i="35" s="1"/>
  <c r="C50" i="34"/>
  <c r="B3" i="34" s="1"/>
  <c r="B2" i="34" s="1"/>
  <c r="C49" i="34"/>
  <c r="F68" i="39" l="1"/>
  <c r="B2" i="39" s="1"/>
  <c r="C19" i="9"/>
  <c r="L43" i="9" l="1"/>
  <c r="D22" i="9"/>
  <c r="G19" i="9"/>
  <c r="B3" i="39"/>
  <c r="B4" i="39"/>
  <c r="B5" i="39"/>
  <c r="C20" i="9"/>
  <c r="C21" i="9"/>
  <c r="G21" i="9" l="1"/>
  <c r="G20" i="9"/>
  <c r="N43" i="9"/>
  <c r="G22" i="9"/>
  <c r="C32" i="9"/>
  <c r="C33" i="9" l="1"/>
  <c r="O43" i="9"/>
  <c r="C35" i="9"/>
  <c r="F42" i="9" s="1"/>
  <c r="O38" i="9"/>
  <c r="C42" i="9"/>
  <c r="C34" i="9"/>
  <c r="N68" i="9" l="1"/>
  <c r="D14" i="66"/>
  <c r="C44" i="9"/>
  <c r="R5" i="54"/>
  <c r="B48" i="63" s="1"/>
  <c r="D63" i="9"/>
  <c r="N38" i="9"/>
  <c r="K28" i="9" s="1"/>
  <c r="D42" i="9"/>
  <c r="Q5" i="54" s="1"/>
  <c r="B47" i="63" s="1"/>
  <c r="E42" i="9"/>
  <c r="P5" i="54" s="1"/>
  <c r="B46" i="63" s="1"/>
  <c r="M38" i="9"/>
  <c r="K27" i="9" s="1"/>
  <c r="K25" i="9"/>
  <c r="K26" i="9"/>
  <c r="D70" i="9" l="1"/>
  <c r="C111" i="9"/>
  <c r="C104" i="9" s="1"/>
  <c r="C103" i="9"/>
  <c r="D77" i="9"/>
  <c r="N75" i="9" s="1"/>
  <c r="D71" i="9"/>
  <c r="D66" i="9" s="1"/>
  <c r="N72" i="9" s="1"/>
  <c r="C90" i="9"/>
  <c r="C82" i="9"/>
  <c r="C81" i="9" s="1"/>
  <c r="C85" i="9" s="1"/>
  <c r="C86" i="9" s="1"/>
  <c r="D72" i="9" s="1"/>
  <c r="C96" i="9"/>
  <c r="C91" i="9" s="1"/>
  <c r="G14" i="66"/>
  <c r="B6" i="66" s="1"/>
  <c r="D44" i="9"/>
  <c r="F44" i="9"/>
  <c r="N69" i="9"/>
  <c r="O39" i="9"/>
  <c r="E44" i="9"/>
  <c r="B5" i="66"/>
  <c r="F14" i="66"/>
  <c r="E14" i="66"/>
  <c r="M83" i="9" l="1"/>
  <c r="N83" i="9" s="1"/>
  <c r="M87" i="9"/>
  <c r="N87" i="9" s="1"/>
  <c r="M85" i="9"/>
  <c r="N85" i="9" s="1"/>
  <c r="M84" i="9"/>
  <c r="N84" i="9" s="1"/>
  <c r="M88" i="9"/>
  <c r="N88" i="9" s="1"/>
  <c r="M86" i="9"/>
  <c r="N86" i="9" s="1"/>
  <c r="C97" i="9"/>
  <c r="C5" i="66"/>
  <c r="D5" i="66"/>
  <c r="R6" i="54"/>
  <c r="B50" i="63" s="1"/>
  <c r="K29" i="9"/>
  <c r="K30" i="9" s="1"/>
  <c r="D6" i="66"/>
  <c r="C6" i="66"/>
  <c r="C113" i="9"/>
  <c r="N89" i="9" l="1"/>
  <c r="O89" i="9" s="1"/>
  <c r="C98" i="9"/>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<sst xmlns="http://schemas.openxmlformats.org/spreadsheetml/2006/main" count="7293" uniqueCount="3189">
  <si>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</si>
  <si>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</si>
  <si>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</si>
  <si>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</si>
  <si>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</si>
  <si>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</si>
  <si>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</si>
  <si>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</si>
  <si>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</si>
  <si>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</si>
  <si>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</si>
  <si>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</si>
  <si>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</si>
  <si>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</si>
  <si>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</si>
  <si>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</si>
  <si>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</si>
  <si>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</si>
  <si>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</si>
  <si>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</si>
  <si>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</si>
  <si>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</si>
  <si>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</si>
  <si>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</si>
  <si>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</si>
  <si>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</si>
  <si>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</si>
  <si>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</si>
  <si>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</si>
  <si>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</si>
  <si>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</si>
  <si>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</si>
  <si>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</si>
  <si>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</si>
  <si>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</si>
  <si>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</si>
  <si>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</si>
  <si>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</si>
  <si>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</si>
  <si>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</si>
  <si>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</si>
  <si>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</si>
  <si>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</si>
  <si>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</si>
  <si>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</si>
  <si>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</si>
  <si>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</si>
  <si>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</si>
  <si>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</si>
  <si>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</si>
  <si>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</si>
  <si>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</si>
  <si>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</si>
  <si>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</si>
  <si>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</si>
  <si>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</si>
  <si>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</si>
  <si>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</si>
  <si>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</si>
  <si>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</si>
  <si>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</si>
  <si>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</si>
  <si>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</si>
  <si>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</si>
  <si>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</si>
  <si>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</si>
  <si>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</si>
  <si>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</si>
  <si>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</si>
  <si>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</si>
  <si>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</si>
  <si>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</si>
  <si>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</si>
  <si>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</si>
  <si>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</si>
  <si>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</si>
  <si>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</si>
  <si>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</si>
  <si>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</si>
  <si>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</si>
  <si>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</si>
  <si>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</si>
  <si>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</si>
  <si>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</si>
  <si>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</si>
  <si>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</si>
  <si>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</si>
  <si>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</si>
  <si>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</si>
  <si>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</si>
  <si>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</si>
  <si>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</si>
  <si>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</si>
  <si>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</si>
  <si>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</si>
  <si>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</si>
  <si>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</si>
  <si>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</si>
  <si>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</si>
  <si>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</si>
  <si>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</si>
  <si>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</si>
  <si>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</si>
  <si>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</si>
  <si>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</si>
  <si>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</si>
  <si>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</si>
  <si>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</si>
  <si>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</si>
  <si>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</si>
  <si>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</si>
  <si>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</si>
  <si>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</si>
  <si>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</si>
  <si>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</si>
  <si>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</si>
  <si>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</si>
  <si>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</si>
  <si>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</si>
  <si>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</si>
  <si>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</si>
  <si>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</si>
  <si>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</si>
  <si>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</si>
  <si>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</si>
  <si>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</si>
  <si>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</si>
  <si>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</si>
  <si>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</si>
  <si>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</si>
  <si>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</si>
  <si>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</si>
  <si>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</si>
  <si>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</si>
  <si>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</si>
  <si>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</si>
  <si>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</si>
  <si>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</si>
  <si>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</si>
  <si>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</si>
  <si>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</si>
  <si>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</si>
  <si>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</si>
  <si>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</si>
  <si>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</si>
  <si>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</si>
  <si>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</si>
  <si>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</si>
  <si>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</si>
  <si>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</si>
  <si>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</si>
  <si>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</si>
  <si>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</si>
  <si>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</si>
  <si>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</si>
  <si>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</si>
  <si>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</si>
  <si>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</si>
  <si>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</si>
  <si>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</si>
  <si>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</si>
  <si>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</si>
  <si>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</si>
  <si>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</si>
  <si>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</si>
  <si>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</si>
  <si>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</si>
  <si>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</si>
  <si>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</si>
  <si>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</si>
  <si>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</si>
  <si>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</si>
  <si>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</si>
  <si>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</si>
  <si>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</si>
  <si>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</si>
  <si>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</si>
  <si>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</si>
  <si>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</si>
  <si>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</si>
  <si>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</si>
  <si>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</si>
  <si>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</si>
  <si>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</si>
  <si>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</si>
  <si>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</si>
  <si>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</si>
  <si>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</si>
  <si>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</si>
  <si>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</si>
  <si>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</si>
  <si>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</si>
  <si>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</si>
  <si>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</si>
  <si>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</si>
  <si>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</si>
  <si>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</si>
  <si>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</si>
  <si>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</si>
  <si>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</si>
  <si>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</si>
  <si>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</si>
  <si>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</si>
  <si>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</si>
  <si>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</si>
  <si>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</si>
  <si>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</si>
  <si>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</si>
  <si>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</si>
  <si>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</si>
  <si>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</si>
  <si>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</si>
  <si>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</si>
  <si>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</si>
  <si>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</si>
  <si>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</si>
  <si>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</si>
  <si>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</si>
  <si>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</si>
  <si>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</si>
  <si>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</si>
  <si>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</si>
  <si>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</si>
  <si>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</si>
  <si>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</si>
  <si>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</si>
  <si>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</si>
  <si>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</si>
  <si>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</si>
  <si>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</si>
  <si>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</si>
  <si>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</si>
  <si>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</si>
  <si>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</si>
  <si>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</si>
  <si>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</si>
  <si>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</si>
  <si>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</si>
  <si>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</si>
  <si>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</si>
  <si>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</si>
  <si>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</si>
  <si>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</si>
  <si>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</si>
  <si>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</si>
  <si>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</si>
  <si>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</si>
  <si>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</si>
  <si>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</si>
  <si>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</si>
  <si>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</si>
  <si>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</si>
  <si>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</si>
  <si>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</si>
  <si>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</si>
  <si>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</si>
  <si>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</si>
  <si>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</si>
  <si>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</si>
  <si>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</si>
  <si>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</si>
  <si>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</si>
  <si>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</si>
  <si>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</si>
  <si>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</si>
  <si>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</si>
  <si>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</si>
  <si>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</si>
  <si>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</si>
  <si>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</si>
  <si>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</si>
  <si>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</si>
  <si>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</si>
  <si>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</si>
  <si>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</si>
  <si>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</si>
  <si>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</si>
  <si>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</si>
  <si>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</si>
  <si>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</si>
  <si>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</si>
  <si>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</si>
  <si>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</si>
  <si>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</si>
  <si>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</si>
  <si>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</si>
  <si>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</si>
  <si>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</si>
  <si>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</si>
  <si>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</si>
  <si>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</si>
  <si>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</si>
  <si>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</si>
  <si>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</si>
  <si>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</si>
  <si>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</si>
  <si>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</si>
  <si>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</si>
  <si>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</si>
  <si>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</si>
  <si>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</si>
  <si>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</si>
  <si>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</si>
  <si>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</si>
  <si>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</si>
  <si>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</si>
  <si>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</si>
  <si>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</si>
  <si>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</si>
  <si>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</si>
  <si>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</si>
  <si>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</si>
  <si>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</si>
  <si>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</si>
  <si>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</si>
  <si>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</si>
  <si>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</si>
  <si>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</si>
  <si>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</si>
  <si>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</si>
  <si>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</si>
  <si>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</si>
  <si>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</si>
  <si>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</si>
  <si>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</si>
  <si>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</si>
  <si>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</si>
  <si>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</si>
  <si>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</si>
  <si>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</si>
  <si>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</si>
  <si>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</si>
  <si>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</si>
  <si>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</si>
  <si>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</si>
  <si>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</si>
  <si>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</si>
  <si>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</si>
  <si>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</si>
  <si>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</si>
  <si>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</si>
  <si>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</si>
  <si>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</si>
  <si>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</si>
  <si>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</si>
  <si>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</si>
  <si>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</si>
  <si>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</si>
  <si>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</si>
  <si>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</si>
  <si>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</si>
  <si>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</si>
  <si>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</si>
  <si>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</si>
  <si>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</si>
  <si>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</si>
  <si>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</si>
  <si>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</si>
  <si>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</si>
  <si>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</si>
  <si>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</si>
  <si>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</si>
  <si>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</si>
  <si>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</si>
  <si>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</si>
  <si>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</si>
  <si>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</si>
  <si>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</si>
  <si>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</si>
  <si>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</si>
  <si>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</si>
  <si>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</si>
  <si>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</si>
  <si>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</si>
  <si>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</si>
  <si>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</si>
  <si>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</si>
  <si>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</si>
  <si>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</si>
  <si>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</si>
  <si>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</si>
  <si>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</si>
  <si>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</si>
  <si>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</si>
  <si>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</si>
  <si>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</si>
  <si>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</si>
  <si>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</si>
  <si>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</si>
  <si>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</si>
  <si>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</si>
  <si>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</si>
  <si>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</si>
  <si>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</si>
  <si>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</si>
  <si>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</si>
  <si>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</si>
  <si>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</si>
  <si>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</si>
  <si>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</si>
  <si>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</si>
  <si>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</si>
  <si>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</si>
  <si>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</si>
  <si>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</si>
  <si>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</si>
  <si>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</si>
  <si>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</si>
  <si>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</si>
  <si>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</si>
  <si>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</si>
  <si>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</si>
  <si>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</si>
  <si>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</si>
  <si>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</si>
  <si>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</si>
  <si>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</si>
  <si>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</si>
  <si>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</si>
  <si>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</si>
  <si>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</si>
  <si>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</si>
  <si>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</si>
  <si>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</si>
  <si>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</si>
  <si>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</si>
  <si>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</si>
  <si>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</si>
  <si>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</si>
  <si>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</si>
  <si>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</si>
  <si>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</si>
  <si>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</si>
  <si>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</si>
  <si>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</si>
  <si>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</si>
  <si>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</si>
  <si>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</si>
  <si>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</si>
  <si>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</si>
  <si>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</si>
  <si>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</si>
  <si>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</si>
  <si>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</si>
  <si>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</si>
  <si>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</si>
  <si>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</si>
  <si>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</si>
  <si>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</si>
  <si>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</si>
  <si>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</si>
  <si>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</si>
  <si>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</si>
  <si>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</si>
  <si>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</si>
  <si>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</si>
  <si>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</si>
  <si>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</si>
  <si>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</si>
  <si>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</si>
  <si>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</si>
  <si>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</si>
  <si>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</si>
  <si>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</si>
  <si>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</si>
  <si>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</si>
  <si>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</si>
  <si>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</si>
  <si>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</si>
  <si>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</si>
  <si>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</si>
  <si>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</si>
  <si>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</si>
  <si>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</si>
  <si>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</si>
  <si>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</si>
  <si>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</si>
  <si>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</si>
  <si>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</si>
  <si>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</si>
  <si>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</si>
  <si>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</si>
  <si>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</si>
  <si>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</si>
  <si>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</si>
  <si>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</si>
  <si>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</si>
  <si>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</si>
  <si>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</si>
  <si>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</si>
  <si>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</si>
  <si>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</si>
  <si>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</si>
  <si>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</si>
  <si>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</si>
  <si>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</si>
  <si>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</si>
  <si>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</si>
  <si>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</si>
  <si>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</si>
  <si>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</si>
  <si>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</si>
  <si>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</si>
  <si>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</si>
  <si>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</si>
  <si>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</si>
  <si>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</si>
  <si>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</si>
  <si>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</si>
  <si>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</si>
  <si>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</si>
  <si>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</si>
  <si>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</si>
  <si>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</si>
  <si>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</si>
  <si>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</si>
  <si>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</si>
  <si>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</si>
  <si>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</si>
  <si>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</si>
  <si>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</si>
  <si>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</si>
  <si>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</si>
  <si>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</si>
  <si>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</si>
  <si>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</si>
  <si>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</si>
  <si>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</si>
  <si>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</si>
  <si>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</si>
  <si>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</si>
  <si>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</si>
  <si>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</si>
  <si>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</si>
  <si>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</si>
  <si>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</si>
  <si>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</si>
  <si>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</si>
  <si>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</si>
  <si>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</si>
  <si>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</si>
  <si>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</si>
  <si>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</si>
  <si>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</si>
  <si>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</si>
  <si>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</si>
  <si>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</si>
  <si>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</si>
  <si>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</si>
  <si>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</si>
  <si>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</si>
  <si>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</si>
  <si>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</si>
  <si>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</si>
  <si>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</si>
  <si>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</si>
  <si>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</si>
  <si>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</si>
  <si>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</si>
  <si>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</si>
  <si>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</si>
  <si>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</si>
  <si>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</si>
  <si>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</si>
  <si>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</si>
  <si>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</si>
  <si>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</si>
  <si>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</si>
  <si>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</si>
  <si>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</si>
  <si>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</si>
  <si>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</si>
  <si>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</si>
  <si>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</si>
  <si>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</si>
  <si>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</si>
  <si>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</si>
  <si>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</si>
  <si>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</si>
  <si>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</si>
  <si>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</si>
  <si>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</si>
  <si>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</si>
  <si>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</si>
  <si>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</si>
  <si>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</si>
  <si>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</si>
  <si>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</si>
  <si>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</si>
  <si>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</si>
  <si>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</si>
  <si>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</si>
  <si>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</si>
  <si>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</si>
  <si>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</si>
  <si>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</si>
  <si>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</si>
  <si>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</si>
  <si>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</si>
  <si>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</si>
  <si>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</si>
  <si>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</si>
  <si>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</si>
  <si>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</si>
  <si>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</si>
  <si>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</si>
  <si>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</si>
  <si>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</si>
  <si>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</si>
  <si>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</si>
  <si>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</si>
  <si>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</si>
  <si>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</si>
  <si>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</si>
  <si>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</si>
  <si>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</si>
  <si>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</si>
  <si>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</si>
  <si>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</si>
  <si>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</si>
  <si>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</si>
  <si>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</si>
  <si>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</si>
  <si>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</si>
  <si>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</si>
  <si>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</si>
  <si>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</si>
  <si>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</si>
  <si>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</si>
  <si>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</si>
  <si>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</si>
  <si>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</si>
  <si>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</si>
  <si>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</si>
  <si>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</si>
  <si>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</si>
  <si>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</si>
  <si>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</si>
  <si>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</si>
  <si>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</si>
  <si>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</si>
  <si>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</si>
  <si>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</si>
  <si>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</si>
  <si>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</si>
  <si>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</si>
  <si>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</si>
  <si>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</si>
  <si>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</si>
  <si>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</si>
  <si>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</si>
  <si>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</si>
  <si>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</si>
  <si>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</si>
  <si>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</si>
  <si>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</si>
  <si>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</si>
  <si>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</si>
  <si>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</si>
  <si>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</si>
  <si>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</si>
  <si>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</si>
  <si>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</si>
  <si>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</si>
  <si>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</si>
  <si>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</si>
  <si>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</si>
  <si>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</si>
  <si>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</si>
  <si>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</si>
  <si>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</si>
  <si>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</si>
  <si>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</si>
  <si>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</si>
  <si>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</si>
  <si>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</si>
  <si>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</si>
  <si>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</si>
  <si>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</si>
  <si>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</si>
  <si>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</si>
  <si>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</si>
  <si>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</si>
  <si>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</si>
  <si>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</si>
  <si>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</si>
  <si>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</si>
  <si>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</si>
  <si>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</si>
  <si>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</si>
  <si>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</si>
  <si>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</si>
  <si>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</si>
  <si>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</si>
  <si>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</si>
  <si>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</si>
  <si>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</si>
  <si>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</si>
  <si>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</si>
  <si>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</si>
  <si>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</si>
  <si>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</si>
  <si>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</si>
  <si>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</si>
  <si>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</si>
  <si>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</si>
  <si>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</si>
  <si>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</si>
  <si>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</si>
  <si>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</si>
  <si>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</si>
  <si>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</si>
  <si>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</si>
  <si>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</si>
  <si>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</si>
  <si>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</si>
  <si>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</si>
  <si>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</si>
  <si>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</si>
  <si>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</si>
  <si>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</si>
  <si>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</si>
  <si>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</si>
  <si>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</si>
  <si>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</si>
  <si>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</si>
  <si>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</si>
  <si>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</si>
  <si>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</si>
  <si>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</si>
  <si>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</si>
  <si>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</si>
  <si>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</si>
  <si>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</si>
  <si>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</si>
  <si>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</si>
  <si>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</si>
  <si>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</si>
  <si>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</si>
  <si>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</si>
  <si>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</si>
  <si>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</si>
  <si>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</si>
  <si>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</si>
  <si>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</si>
  <si>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</si>
  <si>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</si>
  <si>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</si>
  <si>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</si>
  <si>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</si>
  <si>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</si>
  <si>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</si>
  <si>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</si>
  <si>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</si>
  <si>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</si>
  <si>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</si>
  <si>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</si>
  <si>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</si>
  <si>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</si>
  <si>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</si>
  <si>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</si>
  <si>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</si>
  <si>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</si>
  <si>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</si>
  <si>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</si>
  <si>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</si>
  <si>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</si>
  <si>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</si>
  <si>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</si>
  <si>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</si>
  <si>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</si>
  <si>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</si>
  <si>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</si>
  <si>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</si>
  <si>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</si>
  <si>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</si>
  <si>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</si>
  <si>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</si>
  <si>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</si>
  <si>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</si>
  <si>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</si>
  <si>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</si>
  <si>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</si>
  <si>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</si>
  <si>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</si>
  <si>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</si>
  <si>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</si>
  <si>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</si>
  <si>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</si>
  <si>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</si>
  <si>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</si>
  <si>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</si>
  <si>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</si>
  <si>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</si>
  <si>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</si>
  <si>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</si>
  <si>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</si>
  <si>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</si>
  <si>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</si>
  <si>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</si>
  <si>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</si>
  <si>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</si>
  <si>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</si>
  <si>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</si>
  <si>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</si>
  <si>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</si>
  <si>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</si>
  <si>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</si>
  <si>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</si>
  <si>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</si>
  <si>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</si>
  <si>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</si>
  <si>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</si>
  <si>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</si>
  <si>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</si>
  <si>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</si>
  <si>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</si>
  <si>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</si>
  <si>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</si>
  <si>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</si>
  <si>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</si>
  <si>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</si>
  <si>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</si>
  <si>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</si>
  <si>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</si>
  <si>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</si>
  <si>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</si>
  <si>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</si>
  <si>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</si>
  <si>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</si>
  <si>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</si>
  <si>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</si>
  <si>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</si>
  <si>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</si>
  <si>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</si>
  <si>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</si>
  <si>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</si>
  <si>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</si>
  <si>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</si>
  <si>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</si>
  <si>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</si>
  <si>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</si>
  <si>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</si>
  <si>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</si>
  <si>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</si>
  <si>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</si>
  <si>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</si>
  <si>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</si>
  <si>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</si>
  <si>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</si>
  <si>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</si>
  <si>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</si>
  <si>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</si>
  <si>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</si>
  <si>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</si>
  <si>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</si>
  <si>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</si>
  <si>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</si>
  <si>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</si>
  <si>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</si>
  <si>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</si>
  <si>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</si>
  <si>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</si>
  <si>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</si>
  <si>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</si>
  <si>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</si>
  <si>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</si>
  <si>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</si>
  <si>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</si>
  <si>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</si>
  <si>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</si>
  <si>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</si>
  <si>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</si>
  <si>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</si>
  <si>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</si>
  <si>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</si>
  <si>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</si>
  <si>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</si>
  <si>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</si>
  <si>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</si>
  <si>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</si>
  <si>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</si>
  <si>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</si>
  <si>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</si>
  <si>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</si>
  <si>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</si>
  <si>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</si>
  <si>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</si>
  <si>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</si>
  <si>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</si>
  <si>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</si>
  <si>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</si>
  <si>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</si>
  <si>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</si>
  <si>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</si>
  <si>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</si>
  <si>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</si>
  <si>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</si>
  <si>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</si>
  <si>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</si>
  <si>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</si>
  <si>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</si>
  <si>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</si>
  <si>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</si>
  <si>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</si>
  <si>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</si>
  <si>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</si>
  <si>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</si>
  <si>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</si>
  <si>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</si>
  <si>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</si>
  <si>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</si>
  <si>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</si>
  <si>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</si>
  <si>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</si>
  <si>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</si>
  <si>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</si>
  <si>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</si>
  <si>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</si>
  <si>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</si>
  <si>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</si>
  <si>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</si>
  <si>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</si>
  <si>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</si>
  <si>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</si>
  <si>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</si>
  <si>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</si>
  <si>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</si>
  <si>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</si>
  <si>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</si>
  <si>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</si>
  <si>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</si>
  <si>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</si>
  <si>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</si>
  <si>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</si>
  <si>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</si>
  <si>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</si>
  <si>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</si>
  <si>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</si>
  <si>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</si>
  <si>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</si>
  <si>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</si>
  <si>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</si>
  <si>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</si>
  <si>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</si>
  <si>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</si>
  <si>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</si>
  <si>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</si>
  <si>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</si>
  <si>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</si>
  <si>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</si>
  <si>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</si>
  <si>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</si>
  <si>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</si>
  <si>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</si>
  <si>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</si>
  <si>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</si>
  <si>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</si>
  <si>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</si>
  <si>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</si>
  <si>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</si>
  <si>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</si>
  <si>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</si>
  <si>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</si>
  <si>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</si>
  <si>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</si>
  <si>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</si>
  <si>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</si>
  <si>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</si>
  <si>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</si>
  <si>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</si>
  <si>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</si>
  <si>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</si>
  <si>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</si>
  <si>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</si>
  <si>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</si>
  <si>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</si>
  <si>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</si>
  <si>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</si>
  <si>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</si>
  <si>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</si>
  <si>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</si>
  <si>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</si>
  <si>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</si>
  <si>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</si>
  <si>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</si>
  <si>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</si>
  <si>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</si>
  <si>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</si>
  <si>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</si>
  <si>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</si>
  <si>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</si>
  <si>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</si>
  <si>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</si>
  <si>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</si>
  <si>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</si>
  <si>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</si>
  <si>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</si>
  <si>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</si>
  <si>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</si>
  <si>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</si>
  <si>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</si>
  <si>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</si>
  <si>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</si>
  <si>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</si>
  <si>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</si>
  <si>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</si>
  <si>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</si>
  <si>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</si>
  <si>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</si>
  <si>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</si>
  <si>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</si>
  <si>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</si>
  <si>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</si>
  <si>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</si>
  <si>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</si>
  <si>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</si>
  <si>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</si>
  <si>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</si>
  <si>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</si>
  <si>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</si>
  <si>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</si>
  <si>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</si>
  <si>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</si>
  <si>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</si>
  <si>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</si>
  <si>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</si>
  <si>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</si>
  <si>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</si>
  <si>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</si>
  <si>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</si>
  <si>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</si>
  <si>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</si>
  <si>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</si>
  <si>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</si>
  <si>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</si>
  <si>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</si>
  <si>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</si>
  <si>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</si>
  <si>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</si>
  <si>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</si>
  <si>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</si>
  <si>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</si>
  <si>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</si>
  <si>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</si>
  <si>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</si>
  <si>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</si>
  <si>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</si>
  <si>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</si>
  <si>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</si>
  <si>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</si>
  <si>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</si>
  <si>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</si>
  <si>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</si>
  <si>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</si>
  <si>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</si>
  <si>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</si>
  <si>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</si>
  <si>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</si>
  <si>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</si>
  <si>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</si>
  <si>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</si>
  <si>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</si>
  <si>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</si>
  <si>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</si>
  <si>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</si>
  <si>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</si>
  <si>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</si>
  <si>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</si>
  <si>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</si>
  <si>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</si>
  <si>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</si>
  <si>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</si>
  <si>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</si>
  <si>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</si>
  <si>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</si>
  <si>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</si>
  <si>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</si>
  <si>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</si>
  <si>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</si>
  <si>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</si>
  <si>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</si>
  <si>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</si>
  <si>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</si>
  <si>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</si>
  <si>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</si>
  <si>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</si>
  <si>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</si>
  <si>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</si>
  <si>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</si>
  <si>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</si>
  <si>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</si>
  <si>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</si>
  <si>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</si>
  <si>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</si>
  <si>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</si>
  <si>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</si>
  <si>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</si>
  <si>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</si>
  <si>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</si>
  <si>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</si>
  <si>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</si>
  <si>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</si>
  <si>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</si>
  <si>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</si>
  <si>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</si>
  <si>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</si>
  <si>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</si>
  <si>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</si>
  <si>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</si>
  <si>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</si>
  <si>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</si>
  <si>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</si>
  <si>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</si>
  <si>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</si>
  <si>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</si>
  <si>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</si>
  <si>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</si>
  <si>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</si>
  <si>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</si>
  <si>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</si>
  <si>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</si>
  <si>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</si>
  <si>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</si>
  <si>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</si>
  <si>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</si>
  <si>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</si>
  <si>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</si>
  <si>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</si>
  <si>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</si>
  <si>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</si>
  <si>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</si>
  <si>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</si>
  <si>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</si>
  <si>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</si>
  <si>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</si>
  <si>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</si>
  <si>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</si>
  <si>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</si>
  <si>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</si>
  <si>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</si>
  <si>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</si>
  <si>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</si>
  <si>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</si>
  <si>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</si>
  <si>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</si>
  <si>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</si>
  <si>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</si>
  <si>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</si>
  <si>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</si>
  <si>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</si>
  <si>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</si>
  <si>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</si>
  <si>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</si>
  <si>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</si>
  <si>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</si>
  <si>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</si>
  <si>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</si>
  <si>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</si>
  <si>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</si>
  <si>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</si>
  <si>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</si>
  <si>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</si>
  <si>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</si>
  <si>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</si>
  <si>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</si>
  <si>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</si>
  <si>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</si>
  <si>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</si>
  <si>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</si>
  <si>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</si>
  <si>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</si>
  <si>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</si>
  <si>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</si>
  <si>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</si>
  <si>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</si>
  <si>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</si>
  <si>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</si>
  <si>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</si>
  <si>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</si>
  <si>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</si>
  <si>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</si>
  <si>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</si>
  <si>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</si>
  <si>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</si>
  <si>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</si>
  <si>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</si>
  <si>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</si>
  <si>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</si>
  <si>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</si>
  <si>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</si>
  <si>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</si>
  <si>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</si>
  <si>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</si>
  <si>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</si>
  <si>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</si>
  <si>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</si>
  <si>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</si>
  <si>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</si>
  <si>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</si>
  <si>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</si>
  <si>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</si>
  <si>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</si>
  <si>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</si>
  <si>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</si>
  <si>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</si>
  <si>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</si>
  <si>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</si>
  <si>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</si>
  <si>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</si>
  <si>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</si>
  <si>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</si>
  <si>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</si>
  <si>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</si>
  <si>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</si>
  <si>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</si>
  <si>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</si>
  <si>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</si>
  <si>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</si>
  <si>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</si>
  <si>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</si>
  <si>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</si>
  <si>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</si>
  <si>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</si>
  <si>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</si>
  <si>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</si>
  <si>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</si>
  <si>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</si>
  <si>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</si>
  <si>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</si>
  <si>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</si>
  <si>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</si>
  <si>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</si>
  <si>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</si>
  <si>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</si>
  <si>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</si>
  <si>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</si>
  <si>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</si>
  <si>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</si>
  <si>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</si>
  <si>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</si>
  <si>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</si>
  <si>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</si>
  <si>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</si>
  <si>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</si>
  <si>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</si>
  <si>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</si>
  <si>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</si>
  <si>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</si>
  <si>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</si>
  <si>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</si>
  <si>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</si>
  <si>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</si>
  <si>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</si>
  <si>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</si>
  <si>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</si>
  <si>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</si>
  <si>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</si>
  <si>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</si>
  <si>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</si>
  <si>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</si>
  <si>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</si>
  <si>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</si>
  <si>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</si>
  <si>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</si>
  <si>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</si>
  <si>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</si>
  <si>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</si>
  <si>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</si>
  <si>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</si>
  <si>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</si>
  <si>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</si>
  <si>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</si>
  <si>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</si>
  <si>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</si>
  <si>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</si>
  <si>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</si>
  <si>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</si>
  <si>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</si>
  <si>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</si>
  <si>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</si>
  <si>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</si>
  <si>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</si>
  <si>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</si>
  <si>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</si>
  <si>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</si>
  <si>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</si>
  <si>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</si>
  <si>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</si>
  <si>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</si>
  <si>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</si>
  <si>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</si>
  <si>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</si>
  <si>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</si>
  <si>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</si>
  <si>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</si>
  <si>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</si>
  <si>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</si>
  <si>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</si>
  <si>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</si>
  <si>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</si>
  <si>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</si>
  <si>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</si>
  <si>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</si>
  <si>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</si>
  <si>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</si>
  <si>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</si>
  <si>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</si>
  <si>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</si>
  <si>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</si>
  <si>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</si>
  <si>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</si>
  <si>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</si>
  <si>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</si>
  <si>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</si>
  <si>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</si>
  <si>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</si>
  <si>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</si>
  <si>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</si>
  <si>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</si>
  <si>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</si>
  <si>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</si>
  <si>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</si>
  <si>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</si>
  <si>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</si>
  <si>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</si>
  <si>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</si>
  <si>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</si>
  <si>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</si>
  <si>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</si>
  <si>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</si>
  <si>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</si>
  <si>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</si>
  <si>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</si>
  <si>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</si>
  <si>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</si>
  <si>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</si>
  <si>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</si>
  <si>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</si>
  <si>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</si>
  <si>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</si>
  <si>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</si>
  <si>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</si>
  <si>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</si>
  <si>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</si>
  <si>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</si>
  <si>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</si>
  <si>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</si>
  <si>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</si>
  <si>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</si>
  <si>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</si>
  <si>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</si>
  <si>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</si>
  <si>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</si>
  <si>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</si>
  <si>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</si>
  <si>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</si>
  <si>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</si>
  <si>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</si>
  <si>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</si>
  <si>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</si>
  <si>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</si>
  <si>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</si>
  <si>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</si>
  <si>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</si>
  <si>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</si>
  <si>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</si>
  <si>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</si>
  <si>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</si>
  <si>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</si>
  <si>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</si>
  <si>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</si>
  <si>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</si>
  <si>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</si>
  <si>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</si>
  <si>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</si>
  <si>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</si>
  <si>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</si>
  <si>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</si>
  <si>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</si>
  <si>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</si>
  <si>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</si>
  <si>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</si>
  <si>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</si>
  <si>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</si>
  <si>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</si>
  <si>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</si>
  <si>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</si>
  <si>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</si>
  <si>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</si>
  <si>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</si>
  <si>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</si>
  <si>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</si>
  <si>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</si>
  <si>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</si>
  <si>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</si>
  <si>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</si>
  <si>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</si>
  <si>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</si>
  <si>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</si>
  <si>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</si>
  <si>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</si>
  <si>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</si>
  <si>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</si>
  <si>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</si>
  <si>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</si>
  <si>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</si>
  <si>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</si>
  <si>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</si>
  <si>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</si>
  <si>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</si>
  <si>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</si>
  <si>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</si>
  <si>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</si>
  <si>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</si>
  <si>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</si>
  <si>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</si>
  <si>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</si>
  <si>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</si>
  <si>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</si>
  <si>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</si>
  <si>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</si>
  <si>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</si>
  <si>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</si>
  <si>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</si>
  <si>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</si>
  <si>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</si>
  <si>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</si>
  <si>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</si>
  <si>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</si>
  <si>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</si>
  <si>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</si>
  <si>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</si>
  <si>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</si>
  <si>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</si>
  <si>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</si>
  <si>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</si>
  <si>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</si>
  <si>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</si>
  <si>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</si>
  <si>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</si>
  <si>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</si>
  <si>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</si>
  <si>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</si>
  <si>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</si>
  <si>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</si>
  <si>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</si>
  <si>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</si>
  <si>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</si>
  <si>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</si>
  <si>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</si>
  <si>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</si>
  <si>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</si>
  <si>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</si>
  <si>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</si>
  <si>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</si>
  <si>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</si>
  <si>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</si>
  <si>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</si>
  <si>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</si>
  <si>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</si>
  <si>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</si>
  <si>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</si>
  <si>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</si>
  <si>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</si>
  <si>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</si>
  <si>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</si>
  <si>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</si>
  <si>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</si>
  <si>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</si>
  <si>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</si>
  <si>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</si>
  <si>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</si>
  <si>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</si>
  <si>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</si>
  <si>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</si>
  <si>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</si>
  <si>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</si>
  <si>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</si>
  <si>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</si>
  <si>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</si>
  <si>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</si>
  <si>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</si>
  <si>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</si>
  <si>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</si>
  <si>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</si>
  <si>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</si>
  <si>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</si>
  <si>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</si>
  <si>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</si>
  <si>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</si>
  <si>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</si>
  <si>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</si>
  <si>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</si>
  <si>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</si>
  <si>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</si>
  <si>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</si>
  <si>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</si>
  <si>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</si>
  <si>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</si>
  <si>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</si>
  <si>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</si>
  <si>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</si>
  <si>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</si>
  <si>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</si>
  <si>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</si>
  <si>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</si>
  <si>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</si>
  <si>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</si>
  <si>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</si>
  <si>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</si>
  <si>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</si>
  <si>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</si>
  <si>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</si>
  <si>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</si>
  <si>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</si>
  <si>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</si>
  <si>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</si>
  <si>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</si>
  <si>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</si>
  <si>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</si>
  <si>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</si>
  <si>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</si>
  <si>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</si>
  <si>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</si>
  <si>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</si>
  <si>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</si>
  <si>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</si>
  <si>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</si>
  <si>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</si>
  <si>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</si>
  <si>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</si>
  <si>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</si>
  <si>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</si>
  <si>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</si>
  <si>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</si>
  <si>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</si>
  <si>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</si>
  <si>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</si>
  <si>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</si>
  <si>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</si>
  <si>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</si>
  <si>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</si>
  <si>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</si>
  <si>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</si>
  <si>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</si>
  <si>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</si>
  <si>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</si>
  <si>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</si>
  <si>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</si>
  <si>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</si>
  <si>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</si>
  <si>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</si>
  <si>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</si>
  <si>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</si>
  <si>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</si>
  <si>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</si>
  <si>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</si>
  <si>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</si>
  <si>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</si>
  <si>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</si>
  <si>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</si>
  <si>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</si>
  <si>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</si>
  <si>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</si>
  <si>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</si>
  <si>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</si>
  <si>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</si>
  <si>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</si>
  <si>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</si>
  <si>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</si>
  <si>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</si>
  <si>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</si>
  <si>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</si>
  <si>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</si>
  <si>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</si>
  <si>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</si>
  <si>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</si>
  <si>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</si>
  <si>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</si>
  <si>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</si>
  <si>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</si>
  <si>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</si>
  <si>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</si>
  <si>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</si>
  <si>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</si>
  <si>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</si>
  <si>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</si>
  <si>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</si>
  <si>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</si>
  <si>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</si>
  <si>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</si>
  <si>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</si>
  <si>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</si>
  <si>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</si>
  <si>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</si>
  <si>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</si>
  <si>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</si>
  <si>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</si>
  <si>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</si>
  <si>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</si>
  <si>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</si>
  <si>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</si>
  <si>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</si>
  <si>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</si>
  <si>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</si>
  <si>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</si>
  <si>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</si>
  <si>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</si>
  <si>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</si>
  <si>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</si>
  <si>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</si>
  <si>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</si>
  <si>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</si>
  <si>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</si>
  <si>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</si>
  <si>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</si>
  <si>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</si>
  <si>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</si>
  <si>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</si>
  <si>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</si>
  <si>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</si>
  <si>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</si>
  <si>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</si>
  <si>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</si>
  <si>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</si>
  <si>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</si>
  <si>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</si>
  <si>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</si>
  <si>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</si>
  <si>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</si>
  <si>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</si>
  <si>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</si>
  <si>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</si>
  <si>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</si>
  <si>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</si>
  <si>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</si>
  <si>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</si>
  <si>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</si>
  <si>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</si>
  <si>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</si>
  <si>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</si>
  <si>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</si>
  <si>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</si>
  <si>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</si>
  <si>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</si>
  <si>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</si>
  <si>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</si>
  <si>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</si>
  <si>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</si>
  <si>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</si>
  <si>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</si>
  <si>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</si>
  <si>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</si>
  <si>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</si>
  <si>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</si>
  <si>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</si>
  <si>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</si>
  <si>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</si>
  <si>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</si>
  <si>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</si>
  <si>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</si>
  <si>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</si>
  <si>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</si>
  <si>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</si>
  <si>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</si>
  <si>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</si>
  <si>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</si>
  <si>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</si>
  <si>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</si>
  <si>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</si>
  <si>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</si>
  <si>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</si>
  <si>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</si>
  <si>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</si>
  <si>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</si>
  <si>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</si>
  <si>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</si>
  <si>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</si>
  <si>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</si>
  <si>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</si>
  <si>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</si>
  <si>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</si>
  <si>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</si>
  <si>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</si>
  <si>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</si>
  <si>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</si>
  <si>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</si>
  <si>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</si>
  <si>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</si>
  <si>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</si>
  <si>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</si>
  <si>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</si>
  <si>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</si>
  <si>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</si>
  <si>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</si>
  <si>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</si>
  <si>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</si>
  <si>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</si>
  <si>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</si>
  <si>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</si>
  <si>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</si>
  <si>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</si>
  <si>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</si>
  <si>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</si>
  <si>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</si>
  <si>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</si>
  <si>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</si>
  <si>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</si>
  <si>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</si>
  <si>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</si>
  <si>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</si>
  <si>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</si>
  <si>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</si>
  <si>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</si>
  <si>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</si>
  <si>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</si>
  <si>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</si>
  <si>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</si>
  <si>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</si>
  <si>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</si>
  <si>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</si>
  <si>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</si>
  <si>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</si>
  <si>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</si>
  <si>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</si>
  <si>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</si>
  <si>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</si>
  <si>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</si>
  <si>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</si>
  <si>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</si>
  <si>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</si>
  <si>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</si>
  <si>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</si>
  <si>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</si>
  <si>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</si>
  <si>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</si>
  <si>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</si>
  <si>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</si>
  <si>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</si>
  <si>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</si>
  <si>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</si>
  <si>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</si>
  <si>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</si>
  <si>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</si>
  <si>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</si>
  <si>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</si>
  <si>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</si>
  <si>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</si>
  <si>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</si>
  <si>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</si>
  <si>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</si>
  <si>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</si>
  <si>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</si>
  <si>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</si>
  <si>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</si>
  <si>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</si>
  <si>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</si>
  <si>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</si>
  <si>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</si>
  <si>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</si>
  <si>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</si>
  <si>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</si>
  <si>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</si>
  <si>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</si>
  <si>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</si>
  <si>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</si>
  <si>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</si>
  <si>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</si>
  <si>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</si>
  <si>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</si>
  <si>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</si>
  <si>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</si>
  <si>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</si>
  <si>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</si>
  <si>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</si>
  <si>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</si>
  <si>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</si>
  <si>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</si>
  <si>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</si>
  <si>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</si>
  <si>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</si>
  <si>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</si>
  <si>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</si>
  <si>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</si>
  <si>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</si>
  <si>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</si>
  <si>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</si>
  <si>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</si>
  <si>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</si>
  <si>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</si>
  <si>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</si>
  <si>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</si>
  <si>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</si>
  <si>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</si>
  <si>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</si>
  <si>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</si>
  <si>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</si>
  <si>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</si>
  <si>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</si>
  <si>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</si>
  <si>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</si>
  <si>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</si>
  <si>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</si>
  <si>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</si>
  <si>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</si>
  <si>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</si>
  <si>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</si>
  <si>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</si>
  <si>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</si>
  <si>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</si>
  <si>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</si>
  <si>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</si>
  <si>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</si>
  <si>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</si>
  <si>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</si>
  <si>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</si>
  <si>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</si>
  <si>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</si>
  <si>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</si>
  <si>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</si>
  <si>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</si>
  <si>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</si>
  <si>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</si>
  <si>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</si>
  <si>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</si>
  <si>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</si>
  <si>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</si>
  <si>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</si>
  <si>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</si>
  <si>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</si>
  <si>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</si>
  <si>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</si>
  <si>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</si>
  <si>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</si>
  <si>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</si>
  <si>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</si>
  <si>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</si>
  <si>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</si>
  <si>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</si>
  <si>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</si>
  <si>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</si>
  <si>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</si>
  <si>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</si>
  <si>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</si>
  <si>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</si>
  <si>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</si>
  <si>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</si>
  <si>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</si>
  <si>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</si>
  <si>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</si>
  <si>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</si>
  <si>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</si>
  <si>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</si>
  <si>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</si>
  <si>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</si>
  <si>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</si>
  <si>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</si>
  <si>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</si>
  <si>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</si>
  <si>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</si>
  <si>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</si>
  <si>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</si>
  <si>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</si>
  <si>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</si>
  <si>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</si>
  <si>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</si>
  <si>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</si>
  <si>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</si>
  <si>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</si>
  <si>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</si>
  <si>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</si>
  <si>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</si>
  <si>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</si>
  <si>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</si>
  <si>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</si>
  <si>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</si>
  <si>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</si>
  <si>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</si>
  <si>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</si>
  <si>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</si>
  <si>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</si>
  <si>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</si>
  <si>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</si>
  <si>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</si>
  <si>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</si>
  <si>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</si>
  <si>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</si>
  <si>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</si>
  <si>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</si>
  <si>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</si>
  <si>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</si>
  <si>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</si>
  <si>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</si>
  <si>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</si>
  <si>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</si>
  <si>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</si>
  <si>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</si>
  <si>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</si>
  <si>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</si>
  <si>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</si>
  <si>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</si>
  <si>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</si>
  <si>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</si>
  <si>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</si>
  <si>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</si>
  <si>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</si>
  <si>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</si>
  <si>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</si>
  <si>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</si>
  <si>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</si>
  <si>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</si>
  <si>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</si>
  <si>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</si>
  <si>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</si>
  <si>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</si>
  <si>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</si>
  <si>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</si>
  <si>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</si>
  <si>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</si>
  <si>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</si>
  <si>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</si>
  <si>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</si>
  <si>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</si>
  <si>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</si>
  <si>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</si>
  <si>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</si>
  <si>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</si>
  <si>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</si>
  <si>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</si>
  <si>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</si>
  <si>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</si>
  <si>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</si>
  <si>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</si>
  <si>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</si>
  <si>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</si>
  <si>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</si>
  <si>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</si>
  <si>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</si>
  <si>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</si>
  <si>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</si>
  <si>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</si>
  <si>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</si>
  <si>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</si>
  <si>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</si>
  <si>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</si>
  <si>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</si>
  <si>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</si>
  <si>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</si>
  <si>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</si>
  <si>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</si>
  <si>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</si>
  <si>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</si>
  <si>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</si>
  <si>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</si>
  <si>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</si>
  <si>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</si>
  <si>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</si>
  <si>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</si>
  <si>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</si>
  <si>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</si>
  <si>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</si>
  <si>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</si>
  <si>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</si>
  <si>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</si>
  <si>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</si>
  <si>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</si>
  <si>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</si>
  <si>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</si>
  <si>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</si>
  <si>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</si>
  <si>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</si>
  <si>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</si>
  <si>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</si>
  <si>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</si>
  <si>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</si>
  <si>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</si>
  <si>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</si>
  <si>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</si>
  <si>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</si>
  <si>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</si>
  <si>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</si>
  <si>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</si>
  <si>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</si>
  <si>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</si>
  <si>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</si>
  <si>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</si>
  <si>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</si>
  <si>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</si>
  <si>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</si>
  <si>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</si>
  <si>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</si>
  <si>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</si>
  <si>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</si>
  <si>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</si>
  <si>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</si>
  <si>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</si>
  <si>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</si>
  <si>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</si>
  <si>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</si>
  <si>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</si>
  <si>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</si>
  <si>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</si>
  <si>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</si>
  <si>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</si>
  <si>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</si>
  <si>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</si>
  <si>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</si>
  <si>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</si>
  <si>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</si>
  <si>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</si>
  <si>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</si>
  <si>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</si>
  <si>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</si>
  <si>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</si>
  <si>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</si>
  <si>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</si>
  <si>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</si>
  <si>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</si>
  <si>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</si>
  <si>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</si>
  <si>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</si>
  <si>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</si>
  <si>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</si>
  <si>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</si>
  <si>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</si>
  <si>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</si>
  <si>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</si>
  <si>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</si>
  <si>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</si>
  <si>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</si>
  <si>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</si>
  <si>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</si>
  <si>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</si>
  <si>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</si>
  <si>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</si>
  <si>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</si>
  <si>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</si>
  <si>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</si>
  <si>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</si>
  <si>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</si>
  <si>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</si>
  <si>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</si>
  <si>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</si>
  <si>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</si>
  <si>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</si>
  <si>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</si>
  <si>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</si>
  <si>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</si>
  <si>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</si>
  <si>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</si>
  <si>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</si>
  <si>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</si>
  <si>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</si>
  <si>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</si>
  <si>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</si>
  <si>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</si>
  <si>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</si>
  <si>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</si>
  <si>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</si>
  <si>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</si>
  <si>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</si>
  <si>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</si>
  <si>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</si>
  <si>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</si>
  <si>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</si>
  <si>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</si>
  <si>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</si>
  <si>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</si>
  <si>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</si>
  <si>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</si>
  <si>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</si>
  <si>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</si>
  <si>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</si>
  <si>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</si>
  <si>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</si>
  <si>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</si>
  <si>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</si>
  <si>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</si>
  <si>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</si>
  <si>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</si>
  <si>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</si>
  <si>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</si>
  <si>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</si>
  <si>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</si>
  <si>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</si>
  <si>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</si>
  <si>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</si>
  <si>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</si>
  <si>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</si>
  <si>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</si>
  <si>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</si>
  <si>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</si>
  <si>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</si>
  <si>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</si>
  <si>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</si>
  <si>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</si>
  <si>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</si>
  <si>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</si>
  <si>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</si>
  <si>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</si>
  <si>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</si>
  <si>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</si>
  <si>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</si>
  <si>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</si>
  <si>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</si>
  <si>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</si>
  <si>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</si>
  <si>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</si>
  <si>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</si>
  <si>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</si>
  <si>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</si>
  <si>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</si>
  <si>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</si>
  <si>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</si>
  <si>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</si>
  <si>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</si>
  <si>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</si>
  <si>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</si>
  <si>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</si>
  <si>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</si>
  <si>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</si>
  <si>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</si>
  <si>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</si>
  <si>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</si>
  <si>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</si>
  <si>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</si>
  <si>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</si>
  <si>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</si>
  <si>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</si>
  <si>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</si>
  <si>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</si>
  <si>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</si>
  <si>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</si>
  <si>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</si>
  <si>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</si>
  <si>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</si>
  <si>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</si>
  <si>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</si>
  <si>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</si>
  <si>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</si>
  <si>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</si>
  <si>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</si>
  <si>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</si>
  <si>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</si>
  <si>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</si>
  <si>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</si>
  <si>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</si>
  <si>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</si>
  <si>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</si>
  <si>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</si>
  <si>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</si>
  <si>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</si>
  <si>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</si>
  <si>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</si>
  <si>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</si>
  <si>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</si>
  <si>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</si>
  <si>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</si>
  <si>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</si>
  <si>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</si>
  <si>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</si>
  <si>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</si>
  <si>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</si>
  <si>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</si>
  <si>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</si>
  <si>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</si>
  <si>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</si>
  <si>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</si>
  <si>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</si>
  <si>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</si>
  <si>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</si>
  <si>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</si>
  <si>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</si>
  <si>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</si>
  <si>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</si>
  <si>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</si>
  <si>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</si>
  <si>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</si>
  <si>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</si>
  <si>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</si>
  <si>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</si>
  <si>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</si>
  <si>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</si>
  <si>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</si>
  <si>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</si>
  <si>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</si>
  <si>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</si>
  <si>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</si>
  <si>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</si>
  <si>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</si>
  <si>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</si>
  <si>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</si>
  <si>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</si>
  <si>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</si>
  <si>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</si>
  <si>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</si>
  <si>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</si>
  <si>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</si>
  <si>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</si>
  <si>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</si>
  <si>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</si>
  <si>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</si>
  <si>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</si>
  <si>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</si>
  <si>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</si>
  <si>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</si>
  <si>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</si>
  <si>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</si>
  <si>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</si>
  <si>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</si>
  <si>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</si>
  <si>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</si>
  <si>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</si>
  <si>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</si>
  <si>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</si>
  <si>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</si>
  <si>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</si>
  <si>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</si>
  <si>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</si>
  <si>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</si>
  <si>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</si>
  <si>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</si>
  <si>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</si>
  <si>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</si>
  <si>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</si>
  <si>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</si>
  <si>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</si>
  <si>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</si>
  <si>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</si>
  <si>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</si>
  <si>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</si>
  <si>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</si>
  <si>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</si>
  <si>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</si>
  <si>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</si>
  <si>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</si>
  <si>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</si>
  <si>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</si>
  <si>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</si>
  <si>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</si>
  <si>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</si>
  <si>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</si>
  <si>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</si>
  <si>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</si>
  <si>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</si>
  <si>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</si>
  <si>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</si>
  <si>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</si>
  <si>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</si>
  <si>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</si>
  <si>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</si>
  <si>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</si>
  <si>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</si>
  <si>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</si>
  <si>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</si>
  <si>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</si>
  <si>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</si>
  <si>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</si>
  <si>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</si>
  <si>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</si>
  <si>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</si>
  <si>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</si>
  <si>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</si>
  <si>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</si>
  <si>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</si>
  <si>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</si>
  <si>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</si>
  <si>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</si>
  <si>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</si>
  <si>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</si>
  <si>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</si>
  <si>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</si>
  <si>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</si>
  <si>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</si>
  <si>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</si>
  <si>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</si>
  <si>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</si>
  <si>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</si>
  <si>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</si>
  <si>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</si>
  <si>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</si>
  <si>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</si>
  <si>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</si>
  <si>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</si>
  <si>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</si>
  <si>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</si>
  <si>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</si>
  <si>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</si>
  <si>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</si>
  <si>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</si>
  <si>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</si>
  <si>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</si>
  <si>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</si>
  <si>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</si>
  <si>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</si>
  <si>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</si>
  <si>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</si>
  <si>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</si>
  <si>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</si>
  <si>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</si>
  <si>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</si>
  <si>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</si>
  <si>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</si>
  <si>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</si>
  <si>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</si>
  <si>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</si>
  <si>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</si>
  <si>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</si>
  <si>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</si>
  <si>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</si>
  <si>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</si>
  <si>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</si>
  <si>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</si>
  <si>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</si>
  <si>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</si>
  <si>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</si>
  <si>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</si>
  <si>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</si>
  <si>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</si>
  <si>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</si>
  <si>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</si>
  <si>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</si>
  <si>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</si>
  <si>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</si>
  <si>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</si>
  <si>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</si>
  <si>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</si>
  <si>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</si>
  <si>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</si>
  <si>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</si>
  <si>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</si>
  <si>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</si>
  <si>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</si>
  <si>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</si>
  <si>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</si>
  <si>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</si>
  <si>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</si>
  <si>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</si>
  <si>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</si>
  <si>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</si>
  <si>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</si>
  <si>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</si>
  <si>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</si>
  <si>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</si>
  <si>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</si>
  <si>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</si>
  <si>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</si>
  <si>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</si>
  <si>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</si>
  <si>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</si>
  <si>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</si>
  <si>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</si>
  <si>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</si>
  <si>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</si>
  <si>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</si>
  <si>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</si>
  <si>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</si>
  <si>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</si>
  <si>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</si>
  <si>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</si>
  <si>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</si>
  <si>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</si>
  <si>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</si>
  <si>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</si>
  <si>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</si>
  <si>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</si>
  <si>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</si>
  <si>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</si>
  <si>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</si>
  <si>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</si>
  <si>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</si>
  <si>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</si>
  <si>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</si>
  <si>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</si>
  <si>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</si>
  <si>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</si>
  <si>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</si>
  <si>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</si>
  <si>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</si>
  <si>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</si>
  <si>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</si>
  <si>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</si>
  <si>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</si>
  <si>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</si>
  <si>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</si>
  <si>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</si>
  <si>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</si>
  <si>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</si>
  <si>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</si>
  <si>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</si>
  <si>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</si>
  <si>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</si>
  <si>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</si>
  <si>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</si>
  <si>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</si>
  <si>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</si>
  <si>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</si>
  <si>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</si>
  <si>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</si>
  <si>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</si>
  <si>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</si>
  <si>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</si>
  <si>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</si>
  <si>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</si>
  <si>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</si>
  <si>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</si>
  <si>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</si>
  <si>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</si>
  <si>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</si>
  <si>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</si>
  <si>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</si>
  <si>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</si>
  <si>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</si>
  <si>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</si>
  <si>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</si>
  <si>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</si>
  <si>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</si>
  <si>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</si>
  <si>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</si>
  <si>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</si>
  <si>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</si>
  <si>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</si>
  <si>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</si>
  <si>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</si>
  <si>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</si>
  <si>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</si>
  <si>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</si>
  <si>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</si>
  <si>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</si>
  <si>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</si>
  <si>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</si>
  <si>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</si>
  <si>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</si>
  <si>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</si>
  <si>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</si>
  <si>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</si>
  <si>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</si>
  <si>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</si>
  <si>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</si>
  <si>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</si>
  <si>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</si>
  <si>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</si>
  <si>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</si>
  <si>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</si>
  <si>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</si>
  <si>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</si>
  <si>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</si>
  <si>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</si>
  <si>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</si>
  <si>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</si>
  <si>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</si>
  <si>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</si>
  <si>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</si>
  <si>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</si>
  <si>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</si>
  <si>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</si>
  <si>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</si>
  <si>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</si>
  <si>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</si>
  <si>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</si>
  <si>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</si>
  <si>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</si>
  <si>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</si>
  <si>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</si>
  <si>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</si>
  <si>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</si>
  <si>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</si>
  <si>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</si>
  <si>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</si>
  <si>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</si>
  <si>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</si>
  <si>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</si>
  <si>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</si>
  <si>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</si>
  <si>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</si>
  <si>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</si>
  <si>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</si>
  <si>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</si>
  <si>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</si>
  <si>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</si>
  <si>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</si>
  <si>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</si>
  <si>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</si>
  <si>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</si>
  <si>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</si>
  <si>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</si>
  <si>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</si>
  <si>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</si>
  <si>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</si>
  <si>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</si>
  <si>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</si>
  <si>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</si>
  <si>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</si>
  <si>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</si>
  <si>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</si>
  <si>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</si>
  <si>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</si>
  <si>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</si>
  <si>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</si>
  <si>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</si>
  <si>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</si>
  <si>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</si>
  <si>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</si>
  <si>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</si>
  <si>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</si>
  <si>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</si>
  <si>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</si>
  <si>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</si>
  <si>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</si>
  <si>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</si>
  <si>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</si>
  <si>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</si>
  <si>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</si>
  <si>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</si>
  <si>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</si>
  <si>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</si>
  <si>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</si>
  <si>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</si>
  <si>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</si>
  <si>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</si>
  <si>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</si>
  <si>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</si>
  <si>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</si>
  <si>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</si>
  <si>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</si>
  <si>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</si>
  <si>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</si>
  <si>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</si>
  <si>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</si>
  <si>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</si>
  <si>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</si>
  <si>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</si>
  <si>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</si>
  <si>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</si>
  <si>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</si>
  <si>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</si>
  <si>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</si>
  <si>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</si>
  <si>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</si>
  <si>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</si>
  <si>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</si>
  <si>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</si>
  <si>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</si>
  <si>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</si>
  <si>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</si>
  <si>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</si>
  <si>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</si>
  <si>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</si>
  <si>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</si>
  <si>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</si>
  <si>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</si>
  <si>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</si>
  <si>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</si>
  <si>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</si>
  <si>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</si>
  <si>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</si>
  <si>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</si>
  <si>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</si>
  <si>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</si>
  <si>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</si>
  <si>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</si>
  <si>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</si>
  <si>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</si>
  <si>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</si>
  <si>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</si>
  <si>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</si>
  <si>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</si>
  <si>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</si>
  <si>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</si>
  <si>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</si>
  <si>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</si>
  <si>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</si>
  <si>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</si>
  <si>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</si>
  <si>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</si>
  <si>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</si>
  <si>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</si>
  <si>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</si>
  <si>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</si>
  <si>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</si>
  <si>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</si>
  <si>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</si>
  <si>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</si>
  <si>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</si>
  <si>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</si>
  <si>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</si>
  <si>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</si>
  <si>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</si>
  <si>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</si>
  <si>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</si>
  <si>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</si>
  <si>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</si>
  <si>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</si>
  <si>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</si>
  <si>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</si>
  <si>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</si>
  <si>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</si>
  <si>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</si>
  <si>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</si>
  <si>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</si>
  <si>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</si>
  <si>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</si>
  <si>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</si>
  <si>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</si>
  <si>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</si>
  <si>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</si>
  <si>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</si>
  <si>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</si>
  <si>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</si>
  <si>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</si>
  <si>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</si>
  <si>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</si>
  <si>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</si>
  <si>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</si>
  <si>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</si>
  <si>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</si>
  <si>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</si>
  <si>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</si>
  <si>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</si>
  <si>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</si>
  <si>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</si>
  <si>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</si>
  <si>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</si>
  <si>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</si>
  <si>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</si>
  <si>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</si>
  <si>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</si>
  <si>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</si>
  <si>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</si>
  <si>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</si>
  <si>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</si>
  <si>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</si>
  <si>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</si>
  <si>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</si>
  <si>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</si>
  <si>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</si>
  <si>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</si>
  <si>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</si>
  <si>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</si>
  <si>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</si>
  <si>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</si>
  <si>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</si>
  <si>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</si>
  <si>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</si>
  <si>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</si>
  <si>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</si>
  <si>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</si>
  <si>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</si>
  <si>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</si>
  <si>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</si>
  <si>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</si>
  <si>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</si>
  <si>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</si>
  <si>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</si>
  <si>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</si>
  <si>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</si>
  <si>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</si>
  <si>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</si>
  <si>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</si>
  <si>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</si>
  <si>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</si>
  <si>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</si>
  <si>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</si>
  <si>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</si>
  <si>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</si>
  <si>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</si>
  <si>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</si>
  <si>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</si>
  <si>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</si>
  <si>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</si>
  <si>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</si>
  <si>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</si>
  <si>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</si>
  <si>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</si>
  <si>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</si>
  <si>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</si>
  <si>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</si>
  <si>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</si>
  <si>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</si>
  <si>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</si>
  <si>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</si>
  <si>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</si>
  <si>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</si>
  <si>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</si>
  <si>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</si>
  <si>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</si>
  <si>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</si>
  <si>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</si>
  <si>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</si>
  <si>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</si>
  <si>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</si>
  <si>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</si>
  <si>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</si>
  <si>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</si>
  <si>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</si>
  <si>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</si>
  <si>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</si>
  <si>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</si>
  <si>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</si>
  <si>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</si>
  <si>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</si>
  <si>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</si>
  <si>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</si>
  <si>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</si>
  <si>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</si>
  <si>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</si>
  <si>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</si>
  <si>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</si>
  <si>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</si>
  <si>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</si>
  <si>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</si>
  <si>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</si>
  <si>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</si>
  <si>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</si>
  <si>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</si>
  <si>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</si>
  <si>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</si>
  <si>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</si>
  <si>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</si>
  <si>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</si>
  <si>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</si>
  <si>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</si>
  <si>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</si>
  <si>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</si>
  <si>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</si>
  <si>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</si>
  <si>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</si>
  <si>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</si>
  <si>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</si>
  <si>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</si>
  <si>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</si>
  <si>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</si>
  <si>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</si>
  <si>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</si>
  <si>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</si>
  <si>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</si>
  <si>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</si>
  <si>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</si>
  <si>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</si>
  <si>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</si>
  <si>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</si>
  <si>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</si>
  <si>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</si>
  <si>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</si>
  <si>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</si>
  <si>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</si>
  <si>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</si>
  <si>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</si>
  <si>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</si>
  <si>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</si>
  <si>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</si>
  <si>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</si>
  <si>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</si>
  <si>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</si>
  <si>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</si>
  <si>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</si>
  <si>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</si>
  <si>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</si>
  <si>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</si>
  <si>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</si>
  <si>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</si>
  <si>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</si>
  <si>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</si>
  <si>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</si>
  <si>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</si>
  <si>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</si>
  <si>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</si>
  <si>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</si>
  <si>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</si>
  <si>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</si>
  <si>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</si>
  <si>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</si>
  <si>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</si>
  <si>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</si>
  <si>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</si>
  <si>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</si>
  <si>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</si>
  <si>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</si>
  <si>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</si>
  <si>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</si>
  <si>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</si>
  <si>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</si>
  <si>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</si>
  <si>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</si>
  <si>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</si>
  <si>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</si>
  <si>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</si>
  <si>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</si>
  <si>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</si>
  <si>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</si>
  <si>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</si>
  <si>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</si>
  <si>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</si>
  <si>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</si>
  <si>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</si>
  <si>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</si>
  <si>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</si>
  <si>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</si>
  <si>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</si>
  <si>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</si>
  <si>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</si>
  <si>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</si>
  <si>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</si>
  <si>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</si>
  <si>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</si>
  <si>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</si>
  <si>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</si>
  <si>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</si>
  <si>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</si>
  <si>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</si>
  <si>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</si>
  <si>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</si>
  <si>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</si>
  <si>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</si>
  <si>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</si>
  <si>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</si>
  <si>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</si>
  <si>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</si>
  <si>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</si>
  <si>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</si>
  <si>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</si>
  <si>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</si>
  <si>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</si>
  <si>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</si>
  <si>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</si>
  <si>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</si>
  <si>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</si>
  <si>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</si>
  <si>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</si>
  <si>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</si>
  <si>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</si>
  <si>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</si>
  <si>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</si>
  <si>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</si>
  <si>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</si>
  <si>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</si>
  <si>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</si>
  <si>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</si>
  <si>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</si>
  <si>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</si>
  <si>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</si>
  <si>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</si>
  <si>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</si>
  <si>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</si>
  <si>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</si>
  <si>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</si>
  <si>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</si>
  <si>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</si>
  <si>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</si>
  <si>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</si>
  <si>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</si>
  <si>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</si>
  <si>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</si>
  <si>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</si>
  <si>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</si>
  <si>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</si>
  <si>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</si>
  <si>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</si>
  <si>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</si>
  <si>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</si>
  <si>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</si>
  <si>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</si>
  <si>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</si>
  <si>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</si>
  <si>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</si>
  <si>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</si>
  <si>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</si>
  <si>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</si>
  <si>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</si>
  <si>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</si>
  <si>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</si>
  <si>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</si>
  <si>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</si>
  <si>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</si>
  <si>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</si>
  <si>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</si>
  <si>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</si>
  <si>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</si>
  <si>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</si>
  <si>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</si>
  <si>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</si>
  <si>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</si>
  <si>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</si>
  <si>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</si>
  <si>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</si>
  <si>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</si>
  <si>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</si>
  <si>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</si>
  <si>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</si>
  <si>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</si>
  <si>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</si>
  <si>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</si>
  <si>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</si>
  <si>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</si>
  <si>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</si>
  <si>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</si>
  <si>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</si>
  <si>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</si>
  <si>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</si>
  <si>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</si>
  <si>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</si>
  <si>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</si>
  <si>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</si>
  <si>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</si>
  <si>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</si>
  <si>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</si>
  <si>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</si>
  <si>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</si>
  <si>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</si>
  <si>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</si>
  <si>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</si>
  <si>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</si>
  <si>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</si>
  <si>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</si>
  <si>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</si>
  <si>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</si>
  <si>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</si>
  <si>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</si>
  <si>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</si>
  <si>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</si>
  <si>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</si>
  <si>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</si>
  <si>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</si>
  <si>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</si>
  <si>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</si>
  <si>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</si>
  <si>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</si>
  <si>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</si>
  <si>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</si>
  <si>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</si>
  <si>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</si>
  <si>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</si>
  <si>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</si>
  <si>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</si>
  <si>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</si>
  <si>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</si>
  <si>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</si>
  <si>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</si>
  <si>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</si>
  <si>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</si>
  <si>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</si>
  <si>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</si>
  <si>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</si>
  <si>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</si>
  <si>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</si>
  <si>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</si>
  <si>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</si>
  <si>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</si>
  <si>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</si>
  <si>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</si>
  <si>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</si>
  <si>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</si>
  <si>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</si>
  <si>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</si>
  <si>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</si>
  <si>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</si>
  <si>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</si>
  <si>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</si>
  <si>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</si>
  <si>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</si>
  <si>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</si>
  <si>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</si>
  <si>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</si>
  <si>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</si>
  <si>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</si>
  <si>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</si>
  <si>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</si>
  <si>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</si>
  <si>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</si>
  <si>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</si>
  <si>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</si>
  <si>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</si>
  <si>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</si>
  <si>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</si>
  <si>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</si>
  <si>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</si>
  <si>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</si>
  <si>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</si>
  <si>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</si>
  <si>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</si>
  <si>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</si>
  <si>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</si>
  <si>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</si>
  <si>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</si>
  <si>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</si>
  <si>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</si>
  <si>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</si>
  <si>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</si>
  <si>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</si>
  <si>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</si>
  <si>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</si>
  <si>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</si>
  <si>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</si>
  <si>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</si>
  <si>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苏海</t>
  </si>
  <si>
    <t>郑燚</t>
  </si>
  <si>
    <t>抵押</t>
  </si>
  <si>
    <t>抵押价格</t>
  </si>
  <si>
    <t>企业</t>
  </si>
  <si>
    <t>其他：</t>
  </si>
  <si>
    <t>商业</t>
  </si>
  <si>
    <t>出让</t>
  </si>
  <si>
    <t>一致</t>
  </si>
  <si>
    <t>符合</t>
  </si>
  <si>
    <t>商业</t>
    <phoneticPr fontId="6" type="noConversion"/>
  </si>
  <si>
    <t>商业</t>
    <phoneticPr fontId="6" type="noConversion"/>
  </si>
  <si>
    <t>地上</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</si>
  <si>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</si>
  <si>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</si>
  <si>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</si>
  <si>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</si>
  <si>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</si>
  <si>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</si>
  <si>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</si>
  <si>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</si>
  <si>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</si>
  <si>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</si>
  <si>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</si>
  <si>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</si>
  <si>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</si>
  <si>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</si>
  <si>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淮阴区棉花庄镇淮高路西侧</t>
  </si>
  <si>
    <t>淮安市</t>
  </si>
  <si>
    <t>商业/办公用地</t>
  </si>
  <si>
    <t>≤0.35</t>
  </si>
  <si>
    <t>挂牌</t>
  </si>
  <si>
    <t>2018-12-12</t>
  </si>
  <si>
    <t>淮安市淮阴区棉花加油站</t>
  </si>
  <si>
    <t>0星</t>
  </si>
  <si>
    <t>明远路北侧、古黄河路东侧</t>
  </si>
  <si>
    <t>≤1.2</t>
  </si>
  <si>
    <t>2018-06-19</t>
  </si>
  <si>
    <t>江苏惠淮投资有限公司</t>
  </si>
  <si>
    <t>1星</t>
  </si>
  <si>
    <t>香港路西侧、钱江路北侧</t>
  </si>
  <si>
    <t>≤1.8</t>
  </si>
  <si>
    <t>淮安宝瑞丰泰雷克萨斯汽车销售服务有限公司</t>
  </si>
  <si>
    <t>纬三路北侧、237省道西侧</t>
  </si>
  <si>
    <t>≤0.5</t>
  </si>
  <si>
    <t>2017-10-11</t>
  </si>
  <si>
    <t>中国石化销售有限公司江苏淮安石油分公司</t>
  </si>
  <si>
    <t>交通路南侧、淮海北路东侧</t>
  </si>
  <si>
    <t>＞1且≤6</t>
  </si>
  <si>
    <t>2017-07-28</t>
  </si>
  <si>
    <t>淮安华信投资发展有限公司</t>
  </si>
  <si>
    <t>和益大道东侧、旭日大道北侧</t>
  </si>
  <si>
    <t>≤1.5</t>
  </si>
  <si>
    <t>2017-06-27</t>
  </si>
  <si>
    <t>淮安市荣舜房地产开发有限公司</t>
  </si>
  <si>
    <t>珠江路南侧、韩候大道东侧</t>
  </si>
  <si>
    <t>≤2</t>
  </si>
  <si>
    <t>淮安鑫泰置业有限公司</t>
  </si>
  <si>
    <t>淮河路北侧、飞耀路西侧</t>
  </si>
  <si>
    <t>≤2.5</t>
  </si>
  <si>
    <t>2017-01-25</t>
  </si>
  <si>
    <t>淮安园兴投资有限公司</t>
  </si>
  <si>
    <t>205国道东侧、福瑞路南侧</t>
  </si>
  <si>
    <t>中国石油天然气股份有限公司江苏销售分公司、王国庆</t>
  </si>
  <si>
    <t>长江路南侧、237省道东侧</t>
  </si>
  <si>
    <t>≤1</t>
  </si>
  <si>
    <t>2016-07-01</t>
  </si>
  <si>
    <t>淮安传化石油销售有限公司</t>
  </si>
  <si>
    <t>325省道南侧杨庙村4组</t>
  </si>
  <si>
    <t>2015-09-02</t>
  </si>
  <si>
    <t>尹冬明</t>
  </si>
  <si>
    <t>码头镇中港路北侧、京杭大运河南侧</t>
  </si>
  <si>
    <t>2015-06-16</t>
  </si>
  <si>
    <t>淮安市淮阴区码头古镇文化旅游发展有限公司</t>
  </si>
  <si>
    <t>飞耀路东侧、佟洼路南侧</t>
  </si>
  <si>
    <t>小于或等于0.5</t>
  </si>
  <si>
    <t>2015-02-28</t>
  </si>
  <si>
    <t>西宋集镇渔宋路东侧、同丰村十三组</t>
  </si>
  <si>
    <t>小于或等于0.35</t>
  </si>
  <si>
    <t>2015-02-13</t>
  </si>
  <si>
    <t>陈中展</t>
  </si>
  <si>
    <t>南昌路东侧、樱花路两侧</t>
  </si>
  <si>
    <t>小于或等于1.5</t>
  </si>
  <si>
    <t>2014-11-11</t>
  </si>
  <si>
    <t>江苏中业慧谷投资有限公司、淮安园兴投资有限公司</t>
  </si>
  <si>
    <t>双坝路西侧淮河路北侧</t>
  </si>
  <si>
    <t>大于1并且小于或等于2.5</t>
  </si>
  <si>
    <t>2014-11-07</t>
  </si>
  <si>
    <t>淮河路北侧规划南昌路东侧</t>
  </si>
  <si>
    <t>大于1并且小于或等于2</t>
  </si>
  <si>
    <t>邹海雷</t>
  </si>
  <si>
    <t>钱江路南侧淮海路西侧</t>
  </si>
  <si>
    <t>大于1并且小于或等于1.2</t>
  </si>
  <si>
    <t>淮安市五星汽车工程设备有限公司</t>
  </si>
  <si>
    <t>香港路东侧钱江路南侧</t>
  </si>
  <si>
    <t>淮安市克江商贸有限公司</t>
  </si>
  <si>
    <t>钱江路南侧规划淮海路西侧</t>
  </si>
  <si>
    <t>江苏国信汽车服务有限公司</t>
  </si>
  <si>
    <t>珠江路北侧规划路西侧</t>
  </si>
  <si>
    <t>小于或等于0.4</t>
  </si>
  <si>
    <t>中国石油天然气股份有限公司江苏淮安销售分公司</t>
  </si>
  <si>
    <t>小于或等于1.2</t>
  </si>
  <si>
    <t>2014-01-21</t>
  </si>
  <si>
    <t>淮安市宁联汽车销售服务有限公司</t>
  </si>
  <si>
    <t>淮安市金晟汽贸有限公司</t>
  </si>
  <si>
    <t>淮安益昌汽车销售服务有限公司</t>
  </si>
  <si>
    <t>香港路东侧纬四路北侧</t>
  </si>
  <si>
    <t>淮安市泰威汽车销售有限公司</t>
  </si>
  <si>
    <t>淮安市正大顺通汽车贸易有限公司</t>
  </si>
  <si>
    <t>淮安益都汽车销售服务有限公司</t>
  </si>
  <si>
    <t>北京北路西侧珠江路南侧</t>
  </si>
  <si>
    <t>小于或等于3</t>
  </si>
  <si>
    <t>淮安恒兴综合大市场开发有限公司</t>
  </si>
  <si>
    <t>珠江路南侧地块</t>
  </si>
  <si>
    <t>北京北路东侧珠江路南侧</t>
  </si>
  <si>
    <t>小于或等于3.5</t>
  </si>
  <si>
    <t>江苏禧润奥丽特置业有限公司</t>
  </si>
  <si>
    <t>香港路西侧钱江路南侧</t>
  </si>
  <si>
    <t>小于或等于1.8</t>
  </si>
  <si>
    <t>淮安万帮金星汽车销售有限公司</t>
  </si>
  <si>
    <t>钱江路南侧经十路西侧</t>
  </si>
  <si>
    <t>小于或等于2</t>
  </si>
  <si>
    <t>2013-12-13</t>
  </si>
  <si>
    <t>江苏磐石基础工程有限公司</t>
  </si>
  <si>
    <t>淮河路南侧经十一路西侧</t>
  </si>
  <si>
    <t>翠景美墅西侧滨河路北侧</t>
  </si>
  <si>
    <t>大于或等于1并且小于或等于1.2</t>
  </si>
  <si>
    <t>淮安市华能再生资源利用有限公司</t>
  </si>
  <si>
    <t>国税公寓东侧盛祥苑南侧</t>
  </si>
  <si>
    <t>2013-09-26</t>
  </si>
  <si>
    <t>曹金虎</t>
  </si>
  <si>
    <t>经四路西侧</t>
  </si>
  <si>
    <t>淮安市广通汽车销售服务有限公司</t>
  </si>
  <si>
    <t>棉花镇鑫园村</t>
  </si>
  <si>
    <t>淮安市金旺达度假村有限公司</t>
  </si>
  <si>
    <t>经七路西侧钱江路南侧</t>
  </si>
  <si>
    <t>江苏宝晨汽车销售有限公司</t>
  </si>
  <si>
    <t>珠江路北侧</t>
  </si>
  <si>
    <t>小于或等于2.5</t>
  </si>
  <si>
    <t>淮安市创达义乌商贸城开发有限公司</t>
  </si>
  <si>
    <t>码头镇安澜大街东侧</t>
  </si>
  <si>
    <t>李晓红*李晓辉</t>
  </si>
  <si>
    <t>茶圣路西侧古盐河公园内</t>
  </si>
  <si>
    <t>2013-03-12</t>
  </si>
  <si>
    <t>淮安市瑞海田园度假村有限公司</t>
  </si>
  <si>
    <t>淮涟路东侧规划路北侧</t>
  </si>
  <si>
    <t>小于或等于4</t>
  </si>
  <si>
    <t>淮安市东方元顺置业有限公司</t>
  </si>
  <si>
    <t>淮涟路东侧规划路南侧</t>
  </si>
  <si>
    <t>栖霞路西侧古盐河公园内</t>
  </si>
  <si>
    <t>大于或等于1并且小于或等于3</t>
  </si>
  <si>
    <t>2013-01-15</t>
  </si>
  <si>
    <t>淮河路南侧经十路西侧</t>
  </si>
  <si>
    <t>江苏民恒投资有限公司</t>
  </si>
  <si>
    <t>黄河西路北侧地块</t>
  </si>
  <si>
    <t>≤3.5</t>
  </si>
  <si>
    <t>2012-10-19</t>
  </si>
  <si>
    <t>韩成忠</t>
  </si>
  <si>
    <t>香港路东侧地块</t>
  </si>
  <si>
    <t>2012-07-18</t>
  </si>
  <si>
    <t>江苏驰悦汽车贸易有限公司</t>
  </si>
  <si>
    <t>广州路东侧地块</t>
  </si>
  <si>
    <t>≤3.0</t>
  </si>
  <si>
    <t>淮安市淮阴经济开发有限公司</t>
  </si>
  <si>
    <t>渔沟镇加油站地块</t>
  </si>
  <si>
    <t>≤1.0</t>
  </si>
  <si>
    <t>淮安市淮阴区银禾加油站</t>
  </si>
  <si>
    <t>钢混</t>
  </si>
  <si>
    <t>否</t>
  </si>
  <si>
    <t>按租金收入计税</t>
  </si>
  <si>
    <t>押一</t>
  </si>
  <si>
    <t>正常</t>
    <phoneticPr fontId="26" type="noConversion"/>
  </si>
  <si>
    <t>正常</t>
    <phoneticPr fontId="26" type="noConversion"/>
  </si>
  <si>
    <t>正常</t>
    <phoneticPr fontId="26" type="noConversion"/>
  </si>
  <si>
    <t>商业</t>
    <phoneticPr fontId="26" type="noConversion"/>
  </si>
  <si>
    <t>40</t>
    <phoneticPr fontId="26" type="noConversion"/>
  </si>
  <si>
    <t>40</t>
    <phoneticPr fontId="26" type="noConversion"/>
  </si>
  <si>
    <t>较好</t>
    <phoneticPr fontId="26" type="noConversion"/>
  </si>
  <si>
    <t>一般</t>
    <phoneticPr fontId="26" type="noConversion"/>
  </si>
  <si>
    <t>较好</t>
    <phoneticPr fontId="26" type="noConversion"/>
  </si>
  <si>
    <t>较好</t>
    <phoneticPr fontId="26" type="noConversion"/>
  </si>
  <si>
    <t>六通</t>
    <phoneticPr fontId="26" type="noConversion"/>
  </si>
  <si>
    <t>多面临街</t>
  </si>
  <si>
    <t>多面临街</t>
    <phoneticPr fontId="26" type="noConversion"/>
  </si>
  <si>
    <t>多面临街</t>
    <phoneticPr fontId="26" type="noConversion"/>
  </si>
  <si>
    <t>较规则</t>
    <phoneticPr fontId="26" type="noConversion"/>
  </si>
  <si>
    <t>三通</t>
    <phoneticPr fontId="26" type="noConversion"/>
  </si>
  <si>
    <t>较好</t>
    <phoneticPr fontId="26" type="noConversion"/>
  </si>
  <si>
    <t>楼面地价</t>
  </si>
  <si>
    <t>比较法-住宅、综合</t>
  </si>
  <si>
    <t>剩余法-待开发</t>
  </si>
  <si>
    <r>
      <t>周边住宅高层6</t>
    </r>
    <r>
      <rPr>
        <sz val="11"/>
        <color theme="1"/>
        <rFont val="宋体"/>
        <family val="3"/>
        <charset val="134"/>
        <scheme val="minor"/>
      </rPr>
      <t>200.别墅8000-10000</t>
    </r>
    <phoneticPr fontId="228" type="noConversion"/>
  </si>
  <si>
    <r>
      <t>周边写字楼较少，一个7</t>
    </r>
    <r>
      <rPr>
        <sz val="11"/>
        <color theme="1"/>
        <rFont val="宋体"/>
        <family val="3"/>
        <charset val="134"/>
        <scheme val="minor"/>
      </rPr>
      <t>000，一个12000</t>
    </r>
    <phoneticPr fontId="228" type="noConversion"/>
  </si>
  <si>
    <t>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</si>
</sst>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0" borderId="0" xfId="16" applyFill="1"/>
    <xf numFmtId="0" fontId="0" fillId="0" borderId="0" xfId="0"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苏海、郑燚</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103456.5平方米。根据《建设工程规划许可证》[]、《出让合同》[]，估价对象规划建筑面积为310569.6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2019年1月22日</v>
      </c>
    </row>
    <row r="11" spans="1:55" s="2855" customFormat="1">
      <c r="A11" s="2856" t="s">
        <v>2666</v>
      </c>
      <c r="B11" s="2857" t="str">
        <f>'预评函-1'!A14</f>
        <v>根据《国有土地使用证》[]，本次评估估价对象证载（地类）用途为商业。</v>
      </c>
    </row>
    <row r="12" spans="1:55" s="2855" customFormat="1">
      <c r="A12" s="2856" t="s">
        <v>2667</v>
      </c>
      <c r="B12" s="2857" t="str">
        <f>'预评函-1'!A15</f>
        <v>本次评估设定用途即为证载用途商业。</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根据《国有土地使用证》[]，估价对象（分摊）出让国有建设用地使用权面积为103456.5平方米。根据《建设工程规划许可证》[]、《出让合同》[]，估价对象规划建筑面积为310569.6平方米。</v>
      </c>
    </row>
    <row r="16" spans="1:55" s="2855" customFormat="1">
      <c r="A16" s="2856" t="s">
        <v>2670</v>
      </c>
      <c r="B16" s="2857" t="str">
        <f>'预评函-1'!A22</f>
        <v>本次估价对象为出让国有建设用地使用权，《国有土地使用证》[]证载土地终止日期为商业2052年10月23日。截至估价期日，出让国有建设用地使用权剩余土地使用年限为。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1月22日，在规划利用条件下、设定土地开发程度为红线外“七通”、宗地内场地，设定用途为商业，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估价期日：2019年1月22日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商业</v>
      </c>
      <c r="AV32" s="2861"/>
    </row>
    <row r="33" spans="1:2">
      <c r="A33" s="2856" t="s">
        <v>2714</v>
      </c>
      <c r="B33" s="2857">
        <f>'预评函-2'!F5</f>
        <v>258</v>
      </c>
    </row>
    <row r="34" spans="1:2">
      <c r="A34" s="2856" t="s">
        <v>2715</v>
      </c>
      <c r="B34" s="2857" t="str">
        <f>'预评函-2'!G5</f>
        <v>商业</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103456.5</v>
      </c>
    </row>
    <row r="44" spans="1:2">
      <c r="A44" s="2856" t="s">
        <v>2741</v>
      </c>
      <c r="B44" s="2857" t="str">
        <f>'预评函-2'!O3</f>
        <v>规划建筑面积/㎡</v>
      </c>
    </row>
    <row r="45" spans="1:2">
      <c r="A45" s="2856" t="s">
        <v>2723</v>
      </c>
      <c r="B45" s="2857">
        <f>'预评函-2'!O5</f>
        <v>310569.59999999998</v>
      </c>
    </row>
    <row r="46" spans="1:2">
      <c r="A46" s="2856" t="s">
        <v>2724</v>
      </c>
      <c r="B46" s="2857">
        <f ca="1">'预评函-2'!P5</f>
        <v>2535</v>
      </c>
    </row>
    <row r="47" spans="1:2">
      <c r="A47" s="2856" t="s">
        <v>2725</v>
      </c>
      <c r="B47" s="2857">
        <f ca="1">'预评函-2'!Q5</f>
        <v>845</v>
      </c>
    </row>
    <row r="48" spans="1:2">
      <c r="A48" s="2856" t="s">
        <v>2726</v>
      </c>
      <c r="B48" s="2857">
        <f ca="1">'预评函-2'!R5</f>
        <v>26229</v>
      </c>
    </row>
    <row r="49" spans="1:2">
      <c r="A49" s="2856" t="s">
        <v>2742</v>
      </c>
      <c r="B49" s="2857" t="str">
        <f>'预评函-2'!A6</f>
        <v>抵押价格</v>
      </c>
    </row>
    <row r="50" spans="1:2">
      <c r="A50" s="2856" t="s">
        <v>2727</v>
      </c>
      <c r="B50" s="2857">
        <f ca="1">'预评函-2'!R6</f>
        <v>26229</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苏海</v>
      </c>
    </row>
    <row r="70" spans="1:2">
      <c r="A70" s="2856" t="s">
        <v>2691</v>
      </c>
      <c r="B70" s="2863">
        <f ca="1">'预评函-3'!B20</f>
        <v>98030020</v>
      </c>
    </row>
    <row r="71" spans="1:2">
      <c r="A71" s="2856" t="s">
        <v>2692</v>
      </c>
      <c r="B71" s="2857" t="str">
        <f>'预评函-3'!A21</f>
        <v>郑燚</v>
      </c>
    </row>
    <row r="72" spans="1:2" s="2871" customFormat="1" ht="15" thickBot="1">
      <c r="A72" s="2878" t="s">
        <v>2692</v>
      </c>
      <c r="B72" s="2884">
        <f ca="1">'预评函-3'!B21</f>
        <v>2014110011</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7" sqref="I3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05" t="str">
        <f>IF(B10="北京市","北京市",C10)&amp;F10&amp;B16&amp;"国有建设用地使用权"&amp;B9&amp;"预评估"</f>
        <v>出让国有建设用地使用权抵押价格预评估</v>
      </c>
      <c r="C1" s="3206"/>
      <c r="D1" s="3206"/>
      <c r="E1" s="3206"/>
      <c r="F1" s="3206"/>
      <c r="G1" s="3206"/>
      <c r="H1" s="3206"/>
      <c r="I1" s="3207"/>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43487</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2995</v>
      </c>
      <c r="C4" s="1845">
        <f ca="1">SUMIF(土地估价师,B4,估价师及机构信息!E3:E24)</f>
        <v>98030020</v>
      </c>
      <c r="D4" s="1842" t="s">
        <v>2996</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苏海、郑燚</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2997</v>
      </c>
      <c r="C8" s="1670"/>
      <c r="D8" s="3211" t="s">
        <v>1945</v>
      </c>
      <c r="E8" s="1843" t="s">
        <v>2998</v>
      </c>
      <c r="F8" s="1671"/>
      <c r="G8" s="1659"/>
      <c r="H8" s="1659"/>
      <c r="I8" s="1706"/>
      <c r="J8" s="1693"/>
      <c r="K8" s="1773"/>
      <c r="L8" s="1722"/>
      <c r="M8" s="1722"/>
      <c r="N8" s="1693"/>
      <c r="O8" s="1694"/>
      <c r="P8" s="1693"/>
      <c r="Q8" s="1693"/>
      <c r="R8" s="1693"/>
      <c r="S8" s="1693"/>
      <c r="T8" s="1693"/>
      <c r="U8" s="1693"/>
    </row>
    <row r="9" spans="1:21" ht="15" thickBot="1">
      <c r="A9" s="1672" t="s">
        <v>1944</v>
      </c>
      <c r="B9" s="1673" t="s">
        <v>2998</v>
      </c>
      <c r="C9" s="1674"/>
      <c r="D9" s="3212"/>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3000</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08" t="s">
        <v>3005</v>
      </c>
      <c r="C12" s="3209"/>
      <c r="D12" s="3210"/>
      <c r="E12" s="1698" t="s">
        <v>2062</v>
      </c>
      <c r="F12" s="3226" t="s">
        <v>2890</v>
      </c>
      <c r="G12" s="3227"/>
      <c r="H12" s="3227"/>
      <c r="I12" s="3228"/>
      <c r="J12" s="1693"/>
      <c r="K12" s="1773"/>
      <c r="L12" s="1722"/>
      <c r="M12" s="1722"/>
      <c r="N12" s="1693"/>
      <c r="O12" s="1694"/>
      <c r="P12" s="1693"/>
      <c r="Q12" s="1693"/>
      <c r="R12" s="1693"/>
      <c r="S12" s="1693"/>
      <c r="T12" s="1693"/>
      <c r="U12" s="1693"/>
    </row>
    <row r="13" spans="1:21">
      <c r="A13" s="1686" t="s">
        <v>2060</v>
      </c>
      <c r="B13" s="3208" t="s">
        <v>3006</v>
      </c>
      <c r="C13" s="3209"/>
      <c r="D13" s="3210"/>
      <c r="E13" s="1698" t="s">
        <v>2062</v>
      </c>
      <c r="F13" s="3226" t="s">
        <v>2891</v>
      </c>
      <c r="G13" s="3227"/>
      <c r="H13" s="3227"/>
      <c r="I13" s="3228"/>
      <c r="J13" s="1693"/>
      <c r="K13" s="1773"/>
      <c r="L13" s="1722"/>
      <c r="M13" s="1722"/>
      <c r="N13" s="1693"/>
      <c r="O13" s="1694"/>
      <c r="P13" s="1693"/>
      <c r="Q13" s="1693"/>
      <c r="R13" s="1693"/>
      <c r="S13" s="1693"/>
      <c r="T13" s="1693"/>
      <c r="U13" s="1693"/>
    </row>
    <row r="14" spans="1:21">
      <c r="A14" s="1660" t="s">
        <v>2063</v>
      </c>
      <c r="B14" s="1698"/>
      <c r="C14" s="1844" t="s">
        <v>3003</v>
      </c>
      <c r="D14" s="1732" t="str">
        <f>IF(C14="不一致","是否符合证载地类范围","")</f>
        <v/>
      </c>
      <c r="E14" s="1698"/>
      <c r="F14" s="1789" t="s">
        <v>3004</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3002</v>
      </c>
      <c r="C16" s="1698" t="s">
        <v>1949</v>
      </c>
      <c r="D16" s="2625" t="s">
        <v>1950</v>
      </c>
      <c r="E16" s="1721" t="s">
        <v>3001</v>
      </c>
      <c r="F16" s="1721"/>
      <c r="G16" s="1721"/>
      <c r="H16" s="1721"/>
      <c r="I16" s="1685" t="s">
        <v>1955</v>
      </c>
      <c r="J16" s="1693"/>
      <c r="K16" s="2435" t="str">
        <f>IF(D17="","",D16&amp;TEXT(D17,"yyyy年m月d日;;"))</f>
        <v/>
      </c>
      <c r="L16" s="1698" t="str">
        <f>IF(OR(K16="",M16=""),"","、")</f>
        <v/>
      </c>
      <c r="M16" s="2435" t="str">
        <f>IF(E17="","",E16&amp;TEXT(E17,"yyyy年m月d日;;"))</f>
        <v>商业2052年10月23日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55815</v>
      </c>
      <c r="F17" s="1699"/>
      <c r="G17" s="1699"/>
      <c r="H17" s="1699"/>
      <c r="I17" s="1699"/>
      <c r="J17" s="1693"/>
      <c r="K17" s="2434" t="str">
        <f>CONCATENATE(K16,L16,M16,N16,O16,P16,Q16,R16,S16,T16,,U16)</f>
        <v>商业2052年10月23日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33.770000000000003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3"/>
      <c r="E20" s="3224"/>
      <c r="F20" s="3224"/>
      <c r="G20" s="3224"/>
      <c r="H20" s="3224"/>
      <c r="I20" s="3225"/>
      <c r="J20" s="1693"/>
      <c r="K20" s="1773"/>
      <c r="L20" s="1722"/>
      <c r="M20" s="1722"/>
      <c r="N20" s="1693"/>
      <c r="O20" s="1694"/>
      <c r="P20" s="1693"/>
      <c r="Q20" s="1693"/>
      <c r="R20" s="1693"/>
      <c r="S20" s="1693"/>
      <c r="T20" s="1693"/>
      <c r="U20" s="1693"/>
    </row>
    <row r="21" spans="1:21">
      <c r="A21" s="1762" t="s">
        <v>1959</v>
      </c>
      <c r="B21" s="1763" t="s">
        <v>1960</v>
      </c>
      <c r="C21" s="1758">
        <f>'数据-汇总表'!E3</f>
        <v>310569.59999999998</v>
      </c>
      <c r="D21" s="1759" t="s">
        <v>1961</v>
      </c>
      <c r="E21" s="3213" t="s">
        <v>1999</v>
      </c>
      <c r="F21" s="3214"/>
      <c r="G21" s="3214"/>
      <c r="H21" s="3214"/>
      <c r="I21" s="3215"/>
      <c r="J21" s="1693"/>
      <c r="K21" s="1773"/>
      <c r="L21" s="1722"/>
      <c r="M21" s="1722"/>
      <c r="N21" s="1693"/>
      <c r="O21" s="1694"/>
      <c r="P21" s="1693"/>
      <c r="Q21" s="1693"/>
      <c r="R21" s="1693"/>
      <c r="S21" s="1693"/>
      <c r="T21" s="1693"/>
      <c r="U21" s="1693"/>
    </row>
    <row r="22" spans="1:21">
      <c r="A22" s="3120" t="s">
        <v>952</v>
      </c>
      <c r="B22" s="1660" t="s">
        <v>1962</v>
      </c>
      <c r="C22" s="1685">
        <f>'数据-汇总表'!D3</f>
        <v>103456.5</v>
      </c>
      <c r="D22" s="1686" t="s">
        <v>1961</v>
      </c>
      <c r="E22" s="3213" t="s">
        <v>2892</v>
      </c>
      <c r="F22" s="3214"/>
      <c r="G22" s="3214"/>
      <c r="H22" s="3214"/>
      <c r="I22" s="3215"/>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16" t="s">
        <v>1967</v>
      </c>
      <c r="C24" s="3217"/>
      <c r="D24" s="3218" t="s">
        <v>1968</v>
      </c>
      <c r="E24" s="3219"/>
      <c r="F24" s="1707" t="s">
        <v>1969</v>
      </c>
      <c r="G24" s="1693"/>
      <c r="H24" s="1693"/>
      <c r="I24" s="1706"/>
      <c r="J24" s="1693"/>
      <c r="K24" s="3204"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04"/>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04"/>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1" t="s">
        <v>2002</v>
      </c>
      <c r="B31" s="1763" t="s">
        <v>2003</v>
      </c>
      <c r="C31" s="3229"/>
      <c r="D31" s="3230"/>
      <c r="E31" s="1693"/>
      <c r="F31" s="1693"/>
      <c r="G31" s="1693"/>
      <c r="H31" s="1693"/>
      <c r="I31" s="1706"/>
      <c r="J31" s="1693"/>
      <c r="K31" s="2437"/>
      <c r="L31" s="1693"/>
      <c r="M31" s="1693"/>
      <c r="N31" s="1693"/>
      <c r="O31" s="1693"/>
      <c r="P31" s="1693"/>
      <c r="Q31" s="1693"/>
      <c r="R31" s="1693"/>
      <c r="S31" s="1693"/>
      <c r="T31" s="1693"/>
      <c r="U31" s="1693"/>
    </row>
    <row r="32" spans="1:21">
      <c r="A32" s="3231"/>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1"/>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2"/>
      <c r="B34" s="1660" t="s">
        <v>2006</v>
      </c>
      <c r="C34" s="3233"/>
      <c r="D34" s="3234"/>
      <c r="E34" s="1693"/>
      <c r="F34" s="1693"/>
      <c r="G34" s="1693"/>
      <c r="H34" s="1693"/>
      <c r="I34" s="1706"/>
      <c r="J34" s="1693"/>
      <c r="K34" s="2437"/>
      <c r="L34" s="1693"/>
      <c r="M34" s="1693"/>
      <c r="N34" s="1693"/>
      <c r="O34" s="1693"/>
      <c r="P34" s="1693"/>
      <c r="Q34" s="1693"/>
      <c r="R34" s="1693"/>
      <c r="S34" s="1693"/>
      <c r="T34" s="1693"/>
      <c r="U34" s="1693"/>
    </row>
    <row r="35" spans="1:21">
      <c r="A35" s="3235" t="s">
        <v>847</v>
      </c>
      <c r="B35" s="1721"/>
      <c r="C35" s="1775" t="str">
        <f>IF(B35="场地平整","——","具体情况：")</f>
        <v>具体情况：</v>
      </c>
      <c r="D35" s="3237"/>
      <c r="E35" s="3238"/>
      <c r="F35" s="3238"/>
      <c r="G35" s="3238"/>
      <c r="H35" s="3238"/>
      <c r="I35" s="3239"/>
      <c r="J35" s="1693"/>
      <c r="K35" s="1774"/>
      <c r="L35" s="1722"/>
      <c r="M35" s="1722"/>
      <c r="N35" s="1693"/>
      <c r="O35" s="1694"/>
      <c r="P35" s="1693"/>
      <c r="Q35" s="1693"/>
      <c r="R35" s="1693"/>
      <c r="S35" s="1693"/>
      <c r="T35" s="1693"/>
      <c r="U35" s="1693"/>
    </row>
    <row r="36" spans="1:21">
      <c r="A36" s="3231"/>
      <c r="B36" s="3240" t="s">
        <v>2055</v>
      </c>
      <c r="C36" s="3241"/>
      <c r="D36" s="1791"/>
      <c r="E36" s="3242"/>
      <c r="F36" s="3242"/>
      <c r="G36" s="1686" t="str">
        <f>IF(B35="场地未平整","估价结果处理","")</f>
        <v/>
      </c>
      <c r="H36" s="3243"/>
      <c r="I36" s="3243"/>
      <c r="J36" s="1693"/>
      <c r="K36" s="1774"/>
      <c r="L36" s="1722"/>
      <c r="M36" s="1722"/>
      <c r="N36" s="1693"/>
      <c r="O36" s="1694"/>
      <c r="P36" s="1693"/>
      <c r="Q36" s="1693"/>
      <c r="R36" s="1693"/>
      <c r="S36" s="1693"/>
      <c r="T36" s="1693"/>
      <c r="U36" s="1693"/>
    </row>
    <row r="37" spans="1:21" ht="28.5">
      <c r="A37" s="3231"/>
      <c r="B37" s="322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1"/>
      <c r="B38" s="3221"/>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32"/>
      <c r="B39" s="322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03" t="s">
        <v>1986</v>
      </c>
      <c r="T40" s="1730" t="str">
        <f>NUMBERSTRING(7-K40,1)&amp;"通"</f>
        <v>七通</v>
      </c>
      <c r="U40" s="1693"/>
    </row>
    <row r="41" spans="1:21">
      <c r="A41" s="1662"/>
      <c r="B41" s="3236" t="s">
        <v>1722</v>
      </c>
      <c r="C41" s="3236"/>
      <c r="D41" s="3236"/>
      <c r="E41" s="323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03"/>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2893</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103456.5</v>
      </c>
      <c r="B3" s="22">
        <f>IF(C3="否",G5-AT5,G5)</f>
        <v>310569.59999999998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310569.59999999998</v>
      </c>
      <c r="H5" s="27">
        <f t="shared" ref="H5:AT5" si="0">SUM(H13:H641)</f>
        <v>310569.59999999998</v>
      </c>
      <c r="I5" s="27">
        <f t="shared" si="0"/>
        <v>310569.59999999998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310569.59999999998</v>
      </c>
      <c r="BA5" s="29">
        <f t="shared" si="1"/>
        <v>310569.59999999998</v>
      </c>
      <c r="BB5" s="29">
        <f t="shared" si="1"/>
        <v>310569.59999999998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103456.5</v>
      </c>
      <c r="F6" s="27" t="s">
        <v>1</v>
      </c>
      <c r="G6" s="27" t="s">
        <v>2</v>
      </c>
      <c r="H6" s="33">
        <f>SUMIF(I$12:AB$12,"总值",I6:AB6)</f>
        <v>103456.5</v>
      </c>
      <c r="I6" s="27">
        <f t="shared" ref="I6:AB6" si="2">ROUND($A$3*I5/$B$3,2)</f>
        <v>103456.5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103456.5</v>
      </c>
      <c r="AZ6" s="27" t="s">
        <v>3</v>
      </c>
      <c r="BA6" s="27">
        <f>ROUND($AY$6*BA5/$AZ$5,2)</f>
        <v>103456.5</v>
      </c>
      <c r="BB6" s="27">
        <f>ROUND($AY$6*BB5/$AZ$5,2)</f>
        <v>103456.5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3007</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3001</v>
      </c>
      <c r="J10" s="51"/>
      <c r="K10" s="2995"/>
      <c r="L10" s="51"/>
      <c r="M10" s="2995"/>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103456.5</v>
      </c>
      <c r="F13" s="81"/>
      <c r="G13" s="82">
        <f t="shared" ref="G13:G20" si="7">H13+AC13+AT13</f>
        <v>310569.59999999998</v>
      </c>
      <c r="H13" s="33">
        <f t="shared" ref="H13:H20" si="8">SUMIF(I$12:AB$12,"总值",I13:AB13)</f>
        <v>310569.59999999998</v>
      </c>
      <c r="I13" s="2992">
        <v>310569.59999999998</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103456.5</v>
      </c>
      <c r="AZ13" s="27">
        <f t="shared" ref="AZ13:AZ20" si="12">BA13+BL13</f>
        <v>310569.59999999998</v>
      </c>
      <c r="BA13" s="27">
        <f t="shared" ref="BA13:BA20" si="13">SUM(BB13:BK13)</f>
        <v>310569.59999999998</v>
      </c>
      <c r="BB13" s="27">
        <f t="shared" ref="BB13:BB20" si="14">IF($D13="是",I13-J13,0)</f>
        <v>310569.59999999998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4" t="s">
        <v>0</v>
      </c>
      <c r="B1" s="3244" t="s">
        <v>4</v>
      </c>
      <c r="C1" s="3244" t="s">
        <v>5</v>
      </c>
      <c r="D1" s="3245" t="s">
        <v>40</v>
      </c>
      <c r="E1" s="3245" t="s">
        <v>41</v>
      </c>
      <c r="F1" s="3245"/>
      <c r="G1" s="3245"/>
      <c r="H1" s="3245"/>
      <c r="I1" s="3245"/>
      <c r="J1" s="3245"/>
      <c r="K1" s="3245"/>
      <c r="L1" s="3245"/>
      <c r="M1" s="3245"/>
    </row>
    <row r="2" spans="1:13" ht="27" customHeight="1">
      <c r="A2" s="3244"/>
      <c r="B2" s="3244"/>
      <c r="C2" s="3244"/>
      <c r="D2" s="3245"/>
      <c r="E2" s="3245" t="s">
        <v>24</v>
      </c>
      <c r="F2" s="3245" t="s">
        <v>25</v>
      </c>
      <c r="G2" s="3245"/>
      <c r="H2" s="3245"/>
      <c r="I2" s="3245"/>
      <c r="J2" s="3245" t="s">
        <v>26</v>
      </c>
      <c r="K2" s="3245"/>
      <c r="L2" s="3245"/>
      <c r="M2" s="3245"/>
    </row>
    <row r="3" spans="1:13" ht="28.5">
      <c r="A3" s="3244"/>
      <c r="B3" s="3244"/>
      <c r="C3" s="3244"/>
      <c r="D3" s="3245"/>
      <c r="E3" s="32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5" t="s">
        <v>42</v>
      </c>
      <c r="B9" s="3245"/>
      <c r="C9" s="32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12" sqref="L1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5" t="s">
        <v>203</v>
      </c>
      <c r="B2" s="3255"/>
      <c r="C2" s="3255"/>
      <c r="D2" s="1975" t="s">
        <v>204</v>
      </c>
      <c r="E2" s="106" t="s">
        <v>205</v>
      </c>
      <c r="F2" s="1984"/>
      <c r="G2" s="1198"/>
      <c r="H2" s="1199"/>
      <c r="I2" s="1200" t="s">
        <v>857</v>
      </c>
      <c r="J2" s="1984"/>
      <c r="K2" s="1984"/>
      <c r="L2" s="1984"/>
    </row>
    <row r="3" spans="1:16" ht="15.75" thickBot="1">
      <c r="A3" s="3256" t="s">
        <v>206</v>
      </c>
      <c r="B3" s="3256"/>
      <c r="C3" s="3256"/>
      <c r="D3" s="107">
        <f>'数据-基础表'!AY6</f>
        <v>103456.5</v>
      </c>
      <c r="E3" s="107">
        <f>'数据-基础表'!AZ5</f>
        <v>310569.59999999998</v>
      </c>
      <c r="F3" s="1984"/>
      <c r="G3" s="280" t="s">
        <v>858</v>
      </c>
      <c r="H3" s="275" t="s">
        <v>859</v>
      </c>
      <c r="I3" s="1976">
        <f>ROUND('数据-基础表'!B3/'数据-基础表'!A3,2)</f>
        <v>3</v>
      </c>
      <c r="J3" s="1984"/>
      <c r="K3" s="1984"/>
      <c r="L3" s="1984"/>
    </row>
    <row r="4" spans="1:16" ht="15">
      <c r="A4" s="3257"/>
      <c r="B4" s="3258"/>
      <c r="C4" s="3259"/>
      <c r="D4" s="108" t="s">
        <v>204</v>
      </c>
      <c r="E4" s="109" t="s">
        <v>205</v>
      </c>
      <c r="F4" s="1984"/>
      <c r="G4" s="1201"/>
      <c r="H4" s="275" t="s">
        <v>860</v>
      </c>
      <c r="I4" s="1976">
        <f>ROUND(SUMIF('数据-基础表'!I9:AS9,"地上",'数据-基础表'!I5:AS5)/'数据-基础表'!A3,2)</f>
        <v>3</v>
      </c>
      <c r="J4" s="1984"/>
      <c r="K4" s="1984"/>
      <c r="L4" s="1984"/>
    </row>
    <row r="5" spans="1:16">
      <c r="A5" s="110" t="s">
        <v>207</v>
      </c>
      <c r="B5" s="3260" t="s">
        <v>230</v>
      </c>
      <c r="C5" s="3260"/>
      <c r="D5" s="111">
        <f>ROUND($D$3*E5/$E$3,2)</f>
        <v>0</v>
      </c>
      <c r="E5" s="112">
        <f>SUMIF('数据-基础表'!$11:$11,"住宅",'数据-基础表'!$5:$5)</f>
        <v>0</v>
      </c>
      <c r="F5" s="1984"/>
      <c r="G5" s="280" t="s">
        <v>861</v>
      </c>
      <c r="H5" s="275" t="s">
        <v>859</v>
      </c>
      <c r="I5" s="1976">
        <f>ROUND(E31/D31,2)</f>
        <v>3</v>
      </c>
      <c r="J5" s="1984"/>
      <c r="K5" s="1984"/>
      <c r="L5" s="1984"/>
    </row>
    <row r="6" spans="1:16" ht="15" thickBot="1">
      <c r="A6" s="113"/>
      <c r="B6" s="3260" t="s">
        <v>208</v>
      </c>
      <c r="C6" s="3260"/>
      <c r="D6" s="111">
        <f>ROUND($D$3*E6/$E$3,2)</f>
        <v>103456.5</v>
      </c>
      <c r="E6" s="112">
        <f>E3-E5</f>
        <v>310569.59999999998</v>
      </c>
      <c r="F6" s="1984"/>
      <c r="G6" s="1201"/>
      <c r="H6" s="275" t="s">
        <v>860</v>
      </c>
      <c r="I6" s="1976">
        <f>ROUND(F31/D31,2)</f>
        <v>3</v>
      </c>
      <c r="J6" s="1984"/>
      <c r="K6" s="1984"/>
      <c r="L6" s="1984"/>
    </row>
    <row r="7" spans="1:16" ht="15">
      <c r="A7" s="3252"/>
      <c r="B7" s="3253"/>
      <c r="C7" s="3254"/>
      <c r="D7" s="108" t="s">
        <v>204</v>
      </c>
      <c r="E7" s="114" t="s">
        <v>231</v>
      </c>
      <c r="F7" s="1984"/>
      <c r="G7" s="1156" t="s">
        <v>1646</v>
      </c>
      <c r="H7" s="1157"/>
      <c r="I7" s="1846"/>
      <c r="J7" s="1984"/>
      <c r="K7" s="1984"/>
      <c r="L7" s="1984"/>
    </row>
    <row r="8" spans="1:16">
      <c r="A8" s="110" t="s">
        <v>209</v>
      </c>
      <c r="B8" s="115" t="s">
        <v>210</v>
      </c>
      <c r="C8" s="111" t="s">
        <v>211</v>
      </c>
      <c r="D8" s="111">
        <f t="shared" ref="D8:D15" si="0">ROUND($D$3*E8/$E$3,2)</f>
        <v>103456.5</v>
      </c>
      <c r="E8" s="116">
        <f>SUMIF('数据-基础表'!BB10:BK10,"地上",'数据-基础表'!BB5:BK5)</f>
        <v>310569.59999999998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103456.5</v>
      </c>
      <c r="E16" s="120">
        <f>SUM(E8:E15)</f>
        <v>310569.59999999998</v>
      </c>
      <c r="F16" s="1984"/>
      <c r="G16" s="1986"/>
      <c r="H16" s="968" t="s">
        <v>219</v>
      </c>
      <c r="I16" s="969"/>
      <c r="J16" s="1984"/>
      <c r="K16" s="3246" t="s">
        <v>2567</v>
      </c>
      <c r="L16" s="3247"/>
      <c r="M16" s="3247"/>
      <c r="N16" s="3247"/>
      <c r="O16" s="3247"/>
      <c r="P16" s="3248"/>
    </row>
    <row r="17" spans="1:19" ht="15">
      <c r="A17" s="121" t="s">
        <v>216</v>
      </c>
      <c r="B17" s="122" t="s">
        <v>217</v>
      </c>
      <c r="C17" s="2298" t="s">
        <v>2314</v>
      </c>
      <c r="D17" s="108" t="s">
        <v>204</v>
      </c>
      <c r="E17" s="124" t="s">
        <v>205</v>
      </c>
      <c r="F17" s="125"/>
      <c r="G17" s="1366"/>
      <c r="H17" s="970" t="s">
        <v>218</v>
      </c>
      <c r="I17" s="971" t="s">
        <v>2313</v>
      </c>
      <c r="J17" s="1984"/>
      <c r="K17" s="3249" t="s">
        <v>2568</v>
      </c>
      <c r="L17" s="3250"/>
      <c r="M17" s="3251"/>
      <c r="N17" s="3249" t="s">
        <v>2569</v>
      </c>
      <c r="O17" s="3250"/>
      <c r="P17" s="3251"/>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2999" t="s">
        <v>3008</v>
      </c>
      <c r="D19" s="111">
        <f t="shared" ref="D19:D26" si="1">ROUND($D$3*E19/$E$3,2)</f>
        <v>103456.5</v>
      </c>
      <c r="E19" s="134">
        <f t="shared" ref="E19:E26" si="2">SUM(F19:G19)</f>
        <v>310569.59999999998</v>
      </c>
      <c r="F19" s="135">
        <f>'数据-基础表'!I13</f>
        <v>310569.59999999998</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103456.5</v>
      </c>
      <c r="S19" s="2301">
        <f t="shared" si="5"/>
        <v>310569.59999999998</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103456.5</v>
      </c>
      <c r="E27" s="143">
        <f>IF(SUM(E19:E26)='数据-基础表'!BA5,SUM(E19:E26),IF(F27="地上面积有误","面积有误","地下面积有误"))</f>
        <v>310569.59999999998</v>
      </c>
      <c r="F27" s="134">
        <f>IF(SUM(F19:F26)=E8,SUM(F19:F26),"地上面积有误")</f>
        <v>310569.59999999998</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103456.5</v>
      </c>
      <c r="S27" s="275">
        <f>IF(SUM(S19:S26)=$E$3,SUM(S19:S26),SUM(S19:S26)&amp;"误差"&amp;ROUND(SUM(S19:S26)-E3,2))</f>
        <v>310569.59999999998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103456.5</v>
      </c>
      <c r="E31" s="1372">
        <f>E27+E30</f>
        <v>310569.59999999998</v>
      </c>
      <c r="F31" s="1373">
        <f>F27+F30</f>
        <v>310569.59999999998</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29" sqref="Q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3001</v>
      </c>
      <c r="D6" s="2308">
        <f>SUMIF(项目基本情况!D$15:I$15,C6,项目基本情况!D$18:I$18)</f>
        <v>40</v>
      </c>
      <c r="E6" s="2309">
        <f>IF(B6="","",SUMIF(项目基本情况!D$15:I$15,C6,项目基本情况!D$17:I$17))</f>
        <v>55815</v>
      </c>
      <c r="F6" s="174">
        <f>SUMIF(项目基本情况!D$15:I$15,C6,项目基本情况!D$19:I$19)</f>
        <v>33.770000000000003</v>
      </c>
      <c r="G6" s="175">
        <f>IF(ISERROR(ROUND(POWER(1+H6,D6-F6)*(POWER(1+H6,F6)-1)/(POWER(1+H6,D6)-1),3)),0,ROUND(POWER(1+H6,D6-F6)*(POWER(1+H6,F6)-1)/(POWER(1+H6,D6)-1),3))</f>
        <v>0.94699999999999995</v>
      </c>
      <c r="H6" s="3000">
        <v>5.5E-2</v>
      </c>
      <c r="I6" s="3000">
        <v>0.06</v>
      </c>
      <c r="J6" s="176">
        <v>0.08</v>
      </c>
      <c r="K6" s="179">
        <f>SUMIF('数据-汇总表'!C$19:C$33,'数据-取费表'!A6,'数据-汇总表'!E$19:E$33)</f>
        <v>310569.59999999998</v>
      </c>
      <c r="L6" s="3001">
        <v>2800</v>
      </c>
      <c r="M6" s="177">
        <f t="shared" ref="M6:M14" si="0">ROUND(K6*L6/10000,0)</f>
        <v>86959</v>
      </c>
      <c r="N6" s="3002">
        <v>0</v>
      </c>
      <c r="O6" s="177">
        <f>IF($N$5="成新度","——",ROUND(M6*N6,0))</f>
        <v>0</v>
      </c>
      <c r="P6" s="178">
        <f>IF($N$5="成新度","——",M6-O6)</f>
        <v>86959</v>
      </c>
      <c r="Q6" s="3003">
        <v>0.3</v>
      </c>
      <c r="R6" s="179">
        <f>SUMIF('数据-汇总表'!C$19:C$33,A6,'数据-汇总表'!R$19:R$33)</f>
        <v>103456.5</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4"/>
      <c r="AN6" s="2371"/>
      <c r="AO6" s="2000"/>
      <c r="AP6" s="1204">
        <f>ROUND(1-1/(1+H6)^F6,3)</f>
        <v>0.83599999999999997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5.5E-2</v>
      </c>
      <c r="I16" s="204"/>
      <c r="J16" s="204"/>
      <c r="K16" s="205">
        <f>SUM(K6:K15)</f>
        <v>310569.59999999998</v>
      </c>
      <c r="L16" s="206">
        <f>ROUND(M16*10000/SUM(K6:K14),0)</f>
        <v>2800</v>
      </c>
      <c r="M16" s="206">
        <f>SUM(M6:M14)</f>
        <v>86959</v>
      </c>
      <c r="N16" s="207">
        <f>ROUND(SUMPRODUCT(M6:M14,N6:N14)/M16,3)</f>
        <v>0</v>
      </c>
      <c r="O16" s="206">
        <f>SUM(O6:O14)</f>
        <v>0</v>
      </c>
      <c r="P16" s="206">
        <f>SUM(P6:P14)</f>
        <v>86959</v>
      </c>
      <c r="Q16" s="208">
        <f>ROUND(SUMPRODUCT(Q6:Q13,K6:K13)/SUMPRODUCT((Q6:Q13&gt;0)*(K6:K13)),2)</f>
        <v>0.3</v>
      </c>
      <c r="R16" s="2311">
        <f>SUM(R6:R13)</f>
        <v>103456.5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0.83599999999999997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200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51" t="s">
        <v>2905</v>
      </c>
      <c r="D53" s="3052"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2907</v>
      </c>
      <c r="B54" s="186">
        <v>6</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2908</v>
      </c>
      <c r="B55" s="186">
        <v>5</v>
      </c>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2909</v>
      </c>
      <c r="B56" s="186">
        <v>4</v>
      </c>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2910</v>
      </c>
      <c r="B57" s="186">
        <v>3</v>
      </c>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2911</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2912</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1" t="s">
        <v>1664</v>
      </c>
      <c r="B1" s="3262"/>
      <c r="C1" s="3262"/>
      <c r="D1" s="3262"/>
      <c r="E1" s="3262"/>
      <c r="F1" s="3262"/>
      <c r="G1" s="3262"/>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6" t="s">
        <v>2923</v>
      </c>
      <c r="D3" s="2009"/>
      <c r="E3" s="1229" t="s">
        <v>1667</v>
      </c>
      <c r="F3" s="1230" t="s">
        <v>1655</v>
      </c>
      <c r="G3" s="3060" t="s">
        <v>2922</v>
      </c>
      <c r="H3" s="2008"/>
      <c r="I3" s="2008"/>
      <c r="J3" s="2008"/>
      <c r="K3" s="2008"/>
      <c r="L3" s="2008"/>
      <c r="M3" s="2008"/>
      <c r="N3" s="2008"/>
      <c r="O3" s="2008"/>
      <c r="P3" s="2008"/>
      <c r="Q3" s="2008"/>
      <c r="R3" s="2008"/>
    </row>
    <row r="4" spans="1:18" ht="41.25">
      <c r="A4" s="1229"/>
      <c r="B4" s="1231" t="s">
        <v>1668</v>
      </c>
      <c r="C4" s="3057" t="s">
        <v>2924</v>
      </c>
      <c r="D4" s="2009"/>
      <c r="E4" s="1232"/>
      <c r="F4" s="1233" t="s">
        <v>1669</v>
      </c>
      <c r="G4" s="3058" t="s">
        <v>2919</v>
      </c>
      <c r="H4" s="2008"/>
      <c r="I4" s="2008"/>
      <c r="J4" s="2008"/>
      <c r="K4" s="2008"/>
      <c r="L4" s="2008"/>
      <c r="M4" s="2008"/>
      <c r="N4" s="2008"/>
      <c r="O4" s="2008"/>
      <c r="P4" s="2008"/>
      <c r="Q4" s="2008"/>
      <c r="R4" s="2008"/>
    </row>
    <row r="5" spans="1:18" ht="41.25">
      <c r="A5" s="1229"/>
      <c r="B5" s="1231" t="s">
        <v>1670</v>
      </c>
      <c r="C5" s="3057" t="s">
        <v>2925</v>
      </c>
      <c r="D5" s="2009"/>
      <c r="E5" s="1232"/>
      <c r="F5" s="1231" t="s">
        <v>2547</v>
      </c>
      <c r="G5" s="3058" t="s">
        <v>2920</v>
      </c>
      <c r="H5" s="2008"/>
      <c r="I5" s="2008"/>
      <c r="J5" s="2008"/>
      <c r="K5" s="2008"/>
      <c r="L5" s="2008"/>
      <c r="M5" s="2008"/>
      <c r="N5" s="2008"/>
      <c r="O5" s="2008"/>
      <c r="P5" s="2008"/>
      <c r="Q5" s="2008"/>
      <c r="R5" s="2008"/>
    </row>
    <row r="6" spans="1:18" ht="54">
      <c r="A6" s="1229"/>
      <c r="B6" s="1231" t="s">
        <v>1656</v>
      </c>
      <c r="C6" s="3058" t="s">
        <v>2919</v>
      </c>
      <c r="D6" s="2009"/>
      <c r="E6" s="1232"/>
      <c r="F6" s="1231" t="s">
        <v>2548</v>
      </c>
      <c r="G6" s="3058" t="s">
        <v>2917</v>
      </c>
      <c r="H6" s="2008"/>
      <c r="I6" s="2008"/>
      <c r="J6" s="2008"/>
      <c r="K6" s="2008"/>
      <c r="L6" s="2008"/>
      <c r="M6" s="2008"/>
      <c r="N6" s="2008"/>
      <c r="O6" s="2008"/>
      <c r="P6" s="2008"/>
      <c r="Q6" s="2008"/>
      <c r="R6" s="2008"/>
    </row>
    <row r="7" spans="1:18" ht="41.25" thickBot="1">
      <c r="A7" s="1229"/>
      <c r="B7" s="1231" t="s">
        <v>2547</v>
      </c>
      <c r="C7" s="3058" t="s">
        <v>2920</v>
      </c>
      <c r="D7" s="2010"/>
      <c r="E7" s="1234"/>
      <c r="F7" s="1235" t="s">
        <v>1671</v>
      </c>
      <c r="G7" s="3061" t="s">
        <v>2921</v>
      </c>
      <c r="H7" s="2008"/>
      <c r="I7" s="2008"/>
      <c r="J7" s="2008"/>
      <c r="K7" s="2008"/>
      <c r="L7" s="2008"/>
      <c r="M7" s="2008"/>
      <c r="N7" s="2008"/>
      <c r="O7" s="2008"/>
      <c r="P7" s="2008"/>
      <c r="Q7" s="2008"/>
      <c r="R7" s="2008"/>
    </row>
    <row r="8" spans="1:18" ht="27">
      <c r="A8" s="1229"/>
      <c r="B8" s="1231" t="s">
        <v>2548</v>
      </c>
      <c r="C8" s="3058" t="s">
        <v>2917</v>
      </c>
      <c r="D8" s="2010"/>
      <c r="E8" s="2010"/>
      <c r="F8" s="1554"/>
      <c r="G8" s="1554"/>
      <c r="H8" s="2008"/>
      <c r="I8" s="2008"/>
      <c r="J8" s="2008"/>
      <c r="K8" s="2008"/>
      <c r="L8" s="2008"/>
      <c r="M8" s="2008"/>
      <c r="N8" s="2008"/>
      <c r="O8" s="2008"/>
      <c r="P8" s="2008"/>
      <c r="Q8" s="2008"/>
      <c r="R8" s="2008"/>
    </row>
    <row r="9" spans="1:18" ht="40.5">
      <c r="A9" s="1229"/>
      <c r="B9" s="1231" t="s">
        <v>1657</v>
      </c>
      <c r="C9" s="3057"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2"/>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2"/>
      <c r="E23" s="2566"/>
      <c r="F23" s="1248" t="s">
        <v>1676</v>
      </c>
      <c r="G23" s="3063"/>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3020" t="s">
        <v>2845</v>
      </c>
      <c r="B1" s="3020">
        <f>SUM(B14:B23)</f>
        <v>310569.59999999998</v>
      </c>
      <c r="C1" s="3021"/>
      <c r="D1" s="3021"/>
      <c r="E1" s="3021"/>
      <c r="F1" s="3021"/>
    </row>
    <row r="2" spans="1:9" ht="16.5">
      <c r="A2" s="3020" t="s">
        <v>2846</v>
      </c>
      <c r="B2" s="3020">
        <f>SUM(C14:C23)</f>
        <v>103456.5</v>
      </c>
      <c r="C2" s="3021"/>
      <c r="D2" s="3021"/>
      <c r="E2" s="3021"/>
      <c r="F2" s="3021"/>
    </row>
    <row r="3" spans="1:9" ht="16.5">
      <c r="A3" s="3020" t="s">
        <v>2847</v>
      </c>
      <c r="B3" s="3022">
        <f>项目基本情况!D3</f>
        <v>43487</v>
      </c>
      <c r="C3" s="3021"/>
      <c r="D3" s="3021"/>
      <c r="E3" s="3021"/>
      <c r="F3" s="3021"/>
    </row>
    <row r="4" spans="1:9" ht="33">
      <c r="A4" s="3020" t="s">
        <v>2848</v>
      </c>
      <c r="B4" s="3020" t="s">
        <v>2849</v>
      </c>
      <c r="C4" s="3020" t="s">
        <v>2850</v>
      </c>
      <c r="D4" s="3020" t="s">
        <v>2851</v>
      </c>
      <c r="E4" s="3021"/>
      <c r="F4" s="3021"/>
    </row>
    <row r="5" spans="1:9" ht="16.5">
      <c r="A5" s="3020" t="s">
        <v>2852</v>
      </c>
      <c r="B5" s="3020">
        <f ca="1">SUM(D14:D23)</f>
        <v>26229</v>
      </c>
      <c r="C5" s="3020">
        <f ca="1">ROUND(B5*10000/$B$1,0)</f>
        <v>845</v>
      </c>
      <c r="D5" s="3020">
        <f ca="1">ROUND(B5*10000/$B$2,0)</f>
        <v>2535</v>
      </c>
      <c r="E5" s="3021"/>
      <c r="F5" s="3021"/>
    </row>
    <row r="6" spans="1:9" ht="16.5">
      <c r="A6" s="3020" t="s">
        <v>2853</v>
      </c>
      <c r="B6" s="3020">
        <f ca="1">SUM(G14:G23)</f>
        <v>26229</v>
      </c>
      <c r="C6" s="3020">
        <f t="shared" ref="C6:C8" ca="1" si="0">ROUND(B6*10000/$B$1,0)</f>
        <v>845</v>
      </c>
      <c r="D6" s="3020">
        <f t="shared" ref="D6:D8" ca="1" si="1">ROUND(B6*10000/$B$2,0)</f>
        <v>2535</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310569.59999999998</v>
      </c>
      <c r="C14" s="3024">
        <f>结果表!K38</f>
        <v>103456.5</v>
      </c>
      <c r="D14" s="3024">
        <f ca="1">结果表!C42</f>
        <v>26229</v>
      </c>
      <c r="E14" s="3024">
        <f ca="1">ROUND(D14*10000/B14,0)</f>
        <v>845</v>
      </c>
      <c r="F14" s="3024">
        <f ca="1">ROUND(D14*10000/C14,0)</f>
        <v>2535</v>
      </c>
      <c r="G14" s="3024">
        <f ca="1">结果表!C44</f>
        <v>26229</v>
      </c>
      <c r="H14" s="3024" t="str">
        <f>结果表!C45</f>
        <v>——</v>
      </c>
      <c r="I14" s="3024" t="str">
        <f>结果表!C46</f>
        <v>——</v>
      </c>
    </row>
    <row r="15" spans="1:9" ht="16.5">
      <c r="A15" s="3027" t="s">
        <v>2862</v>
      </c>
      <c r="B15" s="3028"/>
      <c r="C15" s="3028"/>
      <c r="D15" s="3028"/>
      <c r="E15" s="3024" t="e">
        <f t="shared" ref="E15:E23" si="2">ROUND(D15*10000/B15,0)</f>
        <v>#DIV/0!</v>
      </c>
      <c r="F15" s="3024" t="e">
        <f t="shared" ref="F15:F23" si="3">ROUND(D15*10000/C15,0)</f>
        <v>#DIV/0!</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 zoomScaleNormal="100" zoomScaleSheetLayoutView="100" zoomScalePageLayoutView="80" workbookViewId="0">
      <selection activeCell="K13" sqref="K1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08" t="str">
        <f>项目基本情况!K2</f>
        <v>出让国有建设用地使用权</v>
      </c>
      <c r="B2" s="3309"/>
      <c r="C2" s="3310"/>
      <c r="D2" s="3310"/>
      <c r="E2" s="3310"/>
      <c r="F2" s="3310"/>
      <c r="G2" s="3309"/>
      <c r="H2" s="3309"/>
      <c r="I2" s="3311"/>
      <c r="J2" s="2030"/>
      <c r="K2" s="2029"/>
      <c r="L2" s="2029"/>
      <c r="M2" s="2029"/>
      <c r="N2" s="2029"/>
      <c r="O2" s="2029"/>
      <c r="P2" s="2029"/>
      <c r="Q2" s="2029"/>
      <c r="R2" s="2029"/>
      <c r="S2" s="2029"/>
      <c r="T2" s="2029"/>
      <c r="U2" s="2029"/>
      <c r="V2" s="2029"/>
    </row>
    <row r="3" spans="1:22" ht="14.25">
      <c r="A3" s="3319" t="s">
        <v>298</v>
      </c>
      <c r="B3" s="3320"/>
      <c r="C3" s="3320"/>
      <c r="D3" s="3320"/>
      <c r="E3" s="3320"/>
      <c r="F3" s="3320"/>
      <c r="G3" s="3320"/>
      <c r="H3" s="3320"/>
      <c r="I3" s="3320"/>
      <c r="J3" s="2030"/>
      <c r="K3" s="2029"/>
      <c r="L3" s="2029"/>
      <c r="M3" s="2029"/>
      <c r="N3" s="2029"/>
      <c r="O3" s="2029"/>
      <c r="P3" s="2029"/>
      <c r="Q3" s="2029"/>
      <c r="R3" s="2029"/>
      <c r="S3" s="2029"/>
      <c r="T3" s="2029"/>
      <c r="U3" s="2029"/>
      <c r="V3" s="2029"/>
    </row>
    <row r="4" spans="1:22" ht="14.25">
      <c r="A4" s="258" t="s">
        <v>299</v>
      </c>
      <c r="B4" s="259" t="s">
        <v>300</v>
      </c>
      <c r="C4" s="260" t="s">
        <v>3184</v>
      </c>
      <c r="D4" s="260" t="s">
        <v>3185</v>
      </c>
      <c r="E4" s="3283" t="s">
        <v>301</v>
      </c>
      <c r="F4" s="3325"/>
      <c r="G4" s="3325"/>
      <c r="H4" s="3325"/>
      <c r="I4" s="328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2" t="s">
        <v>302</v>
      </c>
      <c r="B5" s="3313">
        <v>25</v>
      </c>
      <c r="C5" s="3321"/>
      <c r="D5" s="3324"/>
      <c r="E5" s="261" t="s">
        <v>303</v>
      </c>
      <c r="F5" s="262"/>
      <c r="G5" s="262"/>
      <c r="H5" s="262"/>
      <c r="I5" s="263"/>
      <c r="J5" s="2030"/>
      <c r="K5" s="2029"/>
      <c r="L5" s="2029"/>
      <c r="M5" s="2029"/>
      <c r="N5" s="2029"/>
      <c r="O5" s="2029"/>
      <c r="P5" s="2029"/>
      <c r="Q5" s="2029"/>
      <c r="R5" s="2029"/>
      <c r="S5" s="2029"/>
      <c r="T5" s="2029"/>
      <c r="U5" s="2029"/>
      <c r="V5" s="2029"/>
    </row>
    <row r="6" spans="1:22" ht="14.25">
      <c r="A6" s="3312"/>
      <c r="B6" s="3313"/>
      <c r="C6" s="3322"/>
      <c r="D6" s="3324"/>
      <c r="E6" s="261" t="s">
        <v>304</v>
      </c>
      <c r="F6" s="262"/>
      <c r="G6" s="262"/>
      <c r="H6" s="262"/>
      <c r="I6" s="263"/>
      <c r="J6" s="2030"/>
      <c r="K6" s="2029"/>
      <c r="L6" s="2029"/>
      <c r="M6" s="2029"/>
      <c r="N6" s="2029"/>
      <c r="O6" s="2029"/>
      <c r="P6" s="2029"/>
      <c r="Q6" s="2029"/>
      <c r="R6" s="2029"/>
      <c r="S6" s="2029"/>
      <c r="T6" s="2029"/>
      <c r="U6" s="2029"/>
      <c r="V6" s="2029"/>
    </row>
    <row r="7" spans="1:22" ht="14.25">
      <c r="A7" s="3312"/>
      <c r="B7" s="3313"/>
      <c r="C7" s="3323"/>
      <c r="D7" s="3324"/>
      <c r="E7" s="261" t="s">
        <v>305</v>
      </c>
      <c r="F7" s="262"/>
      <c r="G7" s="262"/>
      <c r="H7" s="262"/>
      <c r="I7" s="263"/>
      <c r="J7" s="2030"/>
      <c r="K7" s="2029"/>
      <c r="L7" s="2029"/>
      <c r="M7" s="2029"/>
      <c r="N7" s="2029"/>
      <c r="O7" s="2029"/>
      <c r="P7" s="2029"/>
      <c r="Q7" s="2029"/>
      <c r="R7" s="2029"/>
      <c r="S7" s="2029"/>
      <c r="T7" s="2029"/>
      <c r="U7" s="2029"/>
      <c r="V7" s="2029"/>
    </row>
    <row r="8" spans="1:22" ht="14.25">
      <c r="A8" s="3312" t="s">
        <v>306</v>
      </c>
      <c r="B8" s="3313">
        <v>15</v>
      </c>
      <c r="C8" s="3321"/>
      <c r="D8" s="3324"/>
      <c r="E8" s="261" t="s">
        <v>307</v>
      </c>
      <c r="F8" s="262"/>
      <c r="G8" s="262"/>
      <c r="H8" s="262"/>
      <c r="I8" s="263"/>
      <c r="J8" s="2030"/>
      <c r="K8" s="2029"/>
      <c r="L8" s="2029"/>
      <c r="M8" s="2029"/>
      <c r="N8" s="2029"/>
      <c r="O8" s="2029"/>
      <c r="P8" s="2029"/>
      <c r="Q8" s="2029"/>
      <c r="R8" s="2029"/>
      <c r="S8" s="2029"/>
      <c r="T8" s="2029"/>
      <c r="U8" s="2029"/>
      <c r="V8" s="2029"/>
    </row>
    <row r="9" spans="1:22" ht="14.25">
      <c r="A9" s="3312"/>
      <c r="B9" s="3313"/>
      <c r="C9" s="3323"/>
      <c r="D9" s="3324"/>
      <c r="E9" s="261" t="s">
        <v>308</v>
      </c>
      <c r="F9" s="262"/>
      <c r="G9" s="262"/>
      <c r="H9" s="262"/>
      <c r="I9" s="263"/>
      <c r="J9" s="2030"/>
      <c r="K9" s="2029"/>
      <c r="L9" s="2029"/>
      <c r="M9" s="2029"/>
      <c r="N9" s="2029"/>
      <c r="O9" s="2029"/>
      <c r="P9" s="2029"/>
      <c r="Q9" s="2029"/>
      <c r="R9" s="2029"/>
      <c r="S9" s="2029"/>
      <c r="T9" s="2029"/>
      <c r="U9" s="2029"/>
      <c r="V9" s="2029"/>
    </row>
    <row r="10" spans="1:22" ht="14.25">
      <c r="A10" s="3312" t="s">
        <v>309</v>
      </c>
      <c r="B10" s="3313">
        <v>15</v>
      </c>
      <c r="C10" s="3321"/>
      <c r="D10" s="332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2"/>
      <c r="B11" s="3313"/>
      <c r="C11" s="3323"/>
      <c r="D11" s="332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2" t="s">
        <v>312</v>
      </c>
      <c r="B12" s="3313">
        <v>15</v>
      </c>
      <c r="C12" s="3321"/>
      <c r="D12" s="332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2"/>
      <c r="B13" s="3313"/>
      <c r="C13" s="3323"/>
      <c r="D13" s="332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2" t="s">
        <v>315</v>
      </c>
      <c r="B14" s="3313">
        <v>30</v>
      </c>
      <c r="C14" s="3321">
        <v>5</v>
      </c>
      <c r="D14" s="332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2"/>
      <c r="B15" s="3313"/>
      <c r="C15" s="3322"/>
      <c r="D15" s="332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2"/>
      <c r="B16" s="3313"/>
      <c r="C16" s="3323"/>
      <c r="D16" s="332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25187</v>
      </c>
      <c r="D19" s="271">
        <f ca="1">SUMIF(INDIRECT("'"&amp;D4&amp;"'"&amp;"!A:A"),结果表!B19,INDIRECT("'"&amp;D4&amp;"'"&amp;"!B:B"))</f>
        <v>27271</v>
      </c>
      <c r="E19" s="268" t="s">
        <v>323</v>
      </c>
      <c r="F19" s="269" t="s">
        <v>322</v>
      </c>
      <c r="G19" s="272">
        <f ca="1">ROUND(C19*$C$18+D19*$D$18,0)</f>
        <v>26229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811</v>
      </c>
      <c r="D20" s="277">
        <f ca="1">SUMIF(INDIRECT("'"&amp;D4&amp;"'"&amp;"!A:A"),结果表!B20,INDIRECT("'"&amp;D4&amp;"'"&amp;"!B:B"))</f>
        <v>878</v>
      </c>
      <c r="E20" s="274"/>
      <c r="F20" s="275" t="s">
        <v>325</v>
      </c>
      <c r="G20" s="278">
        <f ca="1">ROUND(C20*$C$18+D20*$D$18,0)</f>
        <v>845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2435</v>
      </c>
      <c r="D21" s="151">
        <f ca="1">SUMIF(INDIRECT("'"&amp;D4&amp;"'"&amp;"!A:A"),结果表!B21,INDIRECT("'"&amp;D4&amp;"'"&amp;"!B:B"))</f>
        <v>2636</v>
      </c>
      <c r="E21" s="274"/>
      <c r="F21" s="280" t="s">
        <v>327</v>
      </c>
      <c r="G21" s="282">
        <f ca="1">ROUND(C21*$C$18+D21*$D$18,0)</f>
        <v>2536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8.2741096597451103E-2</v>
      </c>
      <c r="E22" s="284"/>
      <c r="F22" s="285"/>
      <c r="G22" s="286">
        <f ca="1">ROUND(G19/('数据-汇总表'!D3/666.67),0)</f>
        <v>169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7"/>
      <c r="B25" s="1321" t="s">
        <v>331</v>
      </c>
      <c r="C25" s="290">
        <f>IF(B30=0,0,C30)</f>
        <v>0</v>
      </c>
      <c r="D25" s="291"/>
      <c r="E25" s="311"/>
      <c r="F25" s="311"/>
      <c r="G25" s="311"/>
      <c r="H25" s="311"/>
      <c r="I25" s="311"/>
      <c r="J25" s="2029"/>
      <c r="K25" s="1255" t="str">
        <f ca="1">项目基本情况!B16&amp;"国有建设用地使用权价格："&amp;O38&amp;"万元"</f>
        <v>出让国有建设用地使用权价格：26229万元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大写金额：人民币贰亿陆仟贰佰贰拾玖万元整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单位面积地价：2535元/平方米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楼面地价：845元/平方米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抵押价格：26229万元</v>
      </c>
      <c r="L29" s="1252"/>
      <c r="M29" s="1252"/>
      <c r="N29" s="1252"/>
      <c r="O29" s="1251"/>
      <c r="P29" s="2029"/>
      <c r="V29" s="2029"/>
    </row>
    <row r="30" spans="1:26" ht="18.75" thickBot="1">
      <c r="A30" s="3105" t="s">
        <v>336</v>
      </c>
      <c r="B30" s="309"/>
      <c r="C30" s="309"/>
      <c r="D30" s="310"/>
      <c r="E30" s="3106" t="s">
        <v>2972</v>
      </c>
      <c r="F30" s="311"/>
      <c r="G30" s="311"/>
      <c r="H30" s="311"/>
      <c r="I30" s="311"/>
      <c r="J30" s="2029"/>
      <c r="K30" s="1258" t="str">
        <f ca="1">IF(K29="——","——","大写金额：人民币"&amp;NUMBERSTRING(INT(O39*10000),2)&amp;"元整")</f>
        <v>大写金额：人民币贰亿陆仟贰佰贰拾玖万元整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26229</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845</v>
      </c>
      <c r="D33" s="1386" t="s">
        <v>1692</v>
      </c>
      <c r="E33" s="328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2535</v>
      </c>
      <c r="D34" s="1388" t="s">
        <v>1692</v>
      </c>
      <c r="E34" s="328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169</v>
      </c>
      <c r="D35" s="1391" t="s">
        <v>1694</v>
      </c>
      <c r="E35" s="3287"/>
      <c r="F35" s="301" t="s">
        <v>342</v>
      </c>
      <c r="G35" s="982"/>
      <c r="H35" s="981" t="s">
        <v>343</v>
      </c>
      <c r="I35" s="311"/>
      <c r="J35" s="2029"/>
      <c r="K35" s="3291" t="s">
        <v>350</v>
      </c>
      <c r="L35" s="3291" t="s">
        <v>351</v>
      </c>
      <c r="M35" s="1264" t="s">
        <v>352</v>
      </c>
      <c r="N35" s="3291" t="s">
        <v>353</v>
      </c>
      <c r="O35" s="3291" t="s">
        <v>354</v>
      </c>
      <c r="P35" s="2029"/>
      <c r="V35" s="2029"/>
    </row>
    <row r="36" spans="1:26" ht="16.5" customHeight="1">
      <c r="A36" s="303" t="s">
        <v>344</v>
      </c>
      <c r="B36" s="304" t="s">
        <v>333</v>
      </c>
      <c r="C36" s="305" t="s">
        <v>345</v>
      </c>
      <c r="D36" s="305" t="s">
        <v>346</v>
      </c>
      <c r="E36" s="306" t="s">
        <v>347</v>
      </c>
      <c r="F36" s="311"/>
      <c r="G36" s="311"/>
      <c r="H36" s="311"/>
      <c r="I36" s="311"/>
      <c r="J36" s="2031"/>
      <c r="K36" s="3292"/>
      <c r="L36" s="3292"/>
      <c r="M36" s="1266" t="s">
        <v>355</v>
      </c>
      <c r="N36" s="3292"/>
      <c r="O36" s="3292"/>
      <c r="P36" s="2029"/>
      <c r="V36" s="2029"/>
    </row>
    <row r="37" spans="1:26" ht="16.5" customHeight="1" thickBot="1">
      <c r="A37" s="1260" t="s">
        <v>348</v>
      </c>
      <c r="B37" s="307"/>
      <c r="C37" s="294"/>
      <c r="D37" s="294"/>
      <c r="E37" s="295"/>
      <c r="F37" s="311"/>
      <c r="G37" s="311"/>
      <c r="H37" s="311"/>
      <c r="I37" s="311"/>
      <c r="J37" s="2031"/>
      <c r="K37" s="3293"/>
      <c r="L37" s="3293"/>
      <c r="M37" s="1267"/>
      <c r="N37" s="3293"/>
      <c r="O37" s="3293"/>
      <c r="P37" s="2029"/>
      <c r="V37" s="2029"/>
    </row>
    <row r="38" spans="1:26" ht="16.5" customHeight="1" thickBot="1">
      <c r="A38" s="1260" t="s">
        <v>349</v>
      </c>
      <c r="B38" s="307"/>
      <c r="C38" s="294"/>
      <c r="D38" s="294"/>
      <c r="E38" s="295"/>
      <c r="F38" s="311"/>
      <c r="G38" s="311"/>
      <c r="H38" s="311"/>
      <c r="I38" s="311"/>
      <c r="J38" s="2031"/>
      <c r="K38" s="1268">
        <f>'数据-汇总表'!D3</f>
        <v>103456.5</v>
      </c>
      <c r="L38" s="1269">
        <f>'数据-汇总表'!E3</f>
        <v>310569.59999999998</v>
      </c>
      <c r="M38" s="1269">
        <f ca="1">C34</f>
        <v>2535</v>
      </c>
      <c r="N38" s="1269">
        <f ca="1">C33</f>
        <v>845</v>
      </c>
      <c r="O38" s="1270">
        <f ca="1">C32</f>
        <v>26229</v>
      </c>
      <c r="P38" s="2029"/>
      <c r="V38" s="2029"/>
    </row>
    <row r="39" spans="1:26" ht="16.5" customHeight="1" thickBot="1">
      <c r="A39" s="1265"/>
      <c r="B39" s="308"/>
      <c r="C39" s="309"/>
      <c r="D39" s="309"/>
      <c r="E39" s="310"/>
      <c r="F39" s="311"/>
      <c r="G39" s="311"/>
      <c r="H39" s="311"/>
      <c r="I39" s="311"/>
      <c r="J39" s="2031"/>
      <c r="K39" s="3268" t="str">
        <f>MID(A44,3,LEN(A44)-2)</f>
        <v>抵押价格</v>
      </c>
      <c r="L39" s="3269"/>
      <c r="M39" s="3269"/>
      <c r="N39" s="3270"/>
      <c r="O39" s="1393">
        <f ca="1">C44</f>
        <v>26229</v>
      </c>
      <c r="P39" s="2029"/>
      <c r="V39" s="2029"/>
    </row>
    <row r="40" spans="1:26" ht="19.5" thickBot="1">
      <c r="A40" s="104" t="s">
        <v>873</v>
      </c>
      <c r="B40" s="311"/>
      <c r="C40" s="311"/>
      <c r="D40" s="311"/>
      <c r="E40" s="311"/>
      <c r="F40" s="311"/>
      <c r="G40" s="311"/>
      <c r="H40" s="311"/>
      <c r="I40" s="311"/>
      <c r="J40" s="2031"/>
      <c r="K40" s="3268" t="str">
        <f t="shared" ref="K40:K41" si="0">MID(A45,3,LEN(A45)-2)</f>
        <v/>
      </c>
      <c r="L40" s="3269"/>
      <c r="M40" s="3269"/>
      <c r="N40" s="3270"/>
      <c r="O40" s="1393" t="str">
        <f>C45</f>
        <v>——</v>
      </c>
      <c r="P40" s="2029"/>
      <c r="V40" s="2029"/>
    </row>
    <row r="41" spans="1:26" ht="16.5" thickBot="1">
      <c r="A41" s="312" t="s">
        <v>356</v>
      </c>
      <c r="B41" s="313"/>
      <c r="C41" s="314" t="s">
        <v>357</v>
      </c>
      <c r="D41" s="315" t="s">
        <v>358</v>
      </c>
      <c r="E41" s="315" t="s">
        <v>359</v>
      </c>
      <c r="F41" s="316" t="s">
        <v>360</v>
      </c>
      <c r="G41" s="311"/>
      <c r="H41" s="311"/>
      <c r="I41" s="311"/>
      <c r="J41" s="2031"/>
      <c r="K41" s="3268" t="str">
        <f t="shared" si="0"/>
        <v/>
      </c>
      <c r="L41" s="3269"/>
      <c r="M41" s="3269"/>
      <c r="N41" s="3270"/>
      <c r="O41" s="1393" t="str">
        <f>C46</f>
        <v>——</v>
      </c>
      <c r="P41" s="2029"/>
      <c r="V41" s="2029"/>
    </row>
    <row r="42" spans="1:26" ht="29.25">
      <c r="A42" s="3328" t="s">
        <v>2068</v>
      </c>
      <c r="B42" s="3329"/>
      <c r="C42" s="264">
        <f ca="1">C32</f>
        <v>26229</v>
      </c>
      <c r="D42" s="317">
        <f ca="1">C33</f>
        <v>845</v>
      </c>
      <c r="E42" s="317">
        <f ca="1">C34</f>
        <v>2535</v>
      </c>
      <c r="F42" s="318">
        <f ca="1">C35</f>
        <v>169</v>
      </c>
      <c r="G42" s="311"/>
      <c r="H42" s="311"/>
      <c r="I42" s="319"/>
      <c r="J42" s="2031"/>
      <c r="K42" s="1271" t="s">
        <v>361</v>
      </c>
      <c r="L42" s="2048" t="s">
        <v>362</v>
      </c>
      <c r="M42" s="1272" t="s">
        <v>363</v>
      </c>
      <c r="N42" s="2049" t="s">
        <v>364</v>
      </c>
      <c r="O42" s="2050" t="s">
        <v>365</v>
      </c>
      <c r="P42" s="2029"/>
      <c r="V42" s="2029"/>
    </row>
    <row r="43" spans="1:26" ht="18">
      <c r="A43" s="3338" t="s">
        <v>2731</v>
      </c>
      <c r="B43" s="3339"/>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25187</v>
      </c>
      <c r="M43" s="1275">
        <f>C18</f>
        <v>0.5</v>
      </c>
      <c r="N43" s="1276">
        <f ca="1">IF(N42="测算结果/万元",G19,G20)</f>
        <v>26229</v>
      </c>
      <c r="O43" s="1277">
        <f ca="1">IF(O42="最终结果/万元",C32,C33)</f>
        <v>26229</v>
      </c>
      <c r="P43" s="2029"/>
      <c r="V43" s="2029"/>
    </row>
    <row r="44" spans="1:26" ht="18.75" thickBot="1">
      <c r="A44" s="3328" t="str">
        <f>IF(OR(项目基本情况!E8="抵押价格",项目基本情况!E8="已注销及未注销"),"3.抵押价格","——")</f>
        <v>3.抵押价格</v>
      </c>
      <c r="B44" s="3329"/>
      <c r="C44" s="264">
        <f ca="1">IF(A44="——","——",C42-C43)</f>
        <v>26229</v>
      </c>
      <c r="D44" s="317">
        <f ca="1">ROUND(C44*10000/'数据-汇总表'!E3,0)</f>
        <v>845</v>
      </c>
      <c r="E44" s="317">
        <f ca="1">ROUND(C44*10000/'数据-汇总表'!D3,0)</f>
        <v>2535</v>
      </c>
      <c r="F44" s="318">
        <f ca="1">ROUND(C44/('数据-汇总表'!D3/666.67),0)</f>
        <v>169</v>
      </c>
      <c r="G44" s="311"/>
      <c r="H44" s="311"/>
      <c r="I44" s="319"/>
      <c r="J44" s="2031"/>
      <c r="K44" s="1278" t="str">
        <f>D4</f>
        <v>剩余法-待开发</v>
      </c>
      <c r="L44" s="1279">
        <f ca="1">IF(L42="估价结果/万元",D19,D20)</f>
        <v>27271</v>
      </c>
      <c r="M44" s="1280">
        <f>D18</f>
        <v>0.5</v>
      </c>
      <c r="N44" s="1281"/>
      <c r="O44" s="1282"/>
      <c r="P44" s="2029"/>
      <c r="V44" s="2029"/>
    </row>
    <row r="45" spans="1:26" ht="15">
      <c r="A45" s="3333" t="str">
        <f>IF(项目基本情况!E8="已注销及未注销","4.抵押担保权已注销时的抵押价格",IF(项目基本情况!E8="已注销","3.抵押担保权已注销时的抵押价格","——"))</f>
        <v>——</v>
      </c>
      <c r="B45" s="333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0" t="str">
        <f>IF(项目基本情况!E9="抵押净值",IF(A45="——","4.抵押净值","5.抵押净值"),"——")</f>
        <v>——</v>
      </c>
      <c r="B46" s="333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296" t="s">
        <v>374</v>
      </c>
      <c r="B63" s="3297"/>
      <c r="C63" s="3298"/>
      <c r="D63" s="341">
        <f ca="1">ROUND(C42*F63,0)</f>
        <v>15737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5" t="s">
        <v>378</v>
      </c>
      <c r="B64" s="3336"/>
      <c r="C64" s="3336"/>
      <c r="D64" s="3336"/>
      <c r="E64" s="3336"/>
      <c r="F64" s="3336"/>
      <c r="G64" s="333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2" t="s">
        <v>386</v>
      </c>
      <c r="B66" s="3303"/>
      <c r="C66" s="3303"/>
      <c r="D66" s="261">
        <f ca="1">IF(H66="情况1",0,IF(H66="情况2",D70,IF(H66="情况3",D71,IF(H66="情况4",D72))))</f>
        <v>839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72" t="s">
        <v>385</v>
      </c>
      <c r="M66" s="3273"/>
      <c r="N66" s="2438"/>
      <c r="O66" s="2439"/>
      <c r="P66" s="2440"/>
      <c r="Q66" s="2029"/>
      <c r="R66" s="2029"/>
      <c r="S66" s="2029"/>
      <c r="T66" s="2029"/>
      <c r="U66" s="2029"/>
      <c r="V66" s="2029"/>
    </row>
    <row r="67" spans="1:22" ht="25.5" customHeight="1">
      <c r="A67" s="352" t="s">
        <v>390</v>
      </c>
      <c r="B67" s="3315" t="s">
        <v>391</v>
      </c>
      <c r="C67" s="3315"/>
      <c r="D67" s="353">
        <v>0</v>
      </c>
      <c r="E67" s="41" t="s">
        <v>392</v>
      </c>
      <c r="F67" s="62" t="s">
        <v>21</v>
      </c>
      <c r="G67" s="3299"/>
      <c r="H67" s="311"/>
      <c r="I67" s="1292"/>
      <c r="J67" s="2036"/>
      <c r="K67" s="1977">
        <v>2</v>
      </c>
      <c r="L67" s="3271" t="s">
        <v>389</v>
      </c>
      <c r="M67" s="3271"/>
      <c r="N67" s="1325">
        <f>'数据-取费表'!B2</f>
        <v>43487</v>
      </c>
      <c r="O67" s="1325"/>
      <c r="P67" s="1325"/>
      <c r="Q67" s="2029"/>
      <c r="R67" s="2029"/>
      <c r="S67" s="2029"/>
      <c r="T67" s="2029"/>
      <c r="U67" s="2029"/>
      <c r="V67" s="2029"/>
    </row>
    <row r="68" spans="1:22" ht="25.5" customHeight="1">
      <c r="A68" s="354"/>
      <c r="B68" s="3315" t="s">
        <v>394</v>
      </c>
      <c r="C68" s="3315"/>
      <c r="D68" s="355"/>
      <c r="E68" s="77"/>
      <c r="F68" s="356"/>
      <c r="G68" s="3300"/>
      <c r="H68" s="311"/>
      <c r="I68" s="1292"/>
      <c r="J68" s="2036"/>
      <c r="K68" s="1977">
        <v>3</v>
      </c>
      <c r="L68" s="3271" t="s">
        <v>393</v>
      </c>
      <c r="M68" s="3271"/>
      <c r="N68" s="1293">
        <f ca="1">C42</f>
        <v>26229</v>
      </c>
      <c r="O68" s="1293"/>
      <c r="P68" s="1293"/>
      <c r="Q68" s="2029"/>
      <c r="R68" s="2029"/>
      <c r="S68" s="2029"/>
      <c r="T68" s="2029"/>
      <c r="U68" s="2029"/>
      <c r="V68" s="2029"/>
    </row>
    <row r="69" spans="1:22" ht="12" customHeight="1">
      <c r="A69" s="357"/>
      <c r="B69" s="3315" t="s">
        <v>395</v>
      </c>
      <c r="C69" s="3315"/>
      <c r="D69" s="358"/>
      <c r="E69" s="73"/>
      <c r="F69" s="356"/>
      <c r="G69" s="3301"/>
      <c r="H69" s="311"/>
      <c r="I69" s="1292"/>
      <c r="J69" s="2036"/>
      <c r="K69" s="1294">
        <v>4</v>
      </c>
      <c r="L69" s="3277" t="s">
        <v>2884</v>
      </c>
      <c r="M69" s="3278"/>
      <c r="N69" s="1295">
        <f ca="1">C44</f>
        <v>26229</v>
      </c>
      <c r="O69" s="1295"/>
      <c r="P69" s="1295"/>
      <c r="Q69" s="2029"/>
      <c r="R69" s="2029"/>
      <c r="S69" s="2029"/>
      <c r="T69" s="2029"/>
      <c r="U69" s="2029"/>
      <c r="V69" s="2029"/>
    </row>
    <row r="70" spans="1:22" ht="24" customHeight="1">
      <c r="A70" s="359" t="s">
        <v>396</v>
      </c>
      <c r="B70" s="3315" t="s">
        <v>397</v>
      </c>
      <c r="C70" s="3315"/>
      <c r="D70" s="358">
        <f ca="1">ROUND(D63*'数据-取费表'!B41/(1+'数据-取费表'!C42),0)</f>
        <v>839</v>
      </c>
      <c r="E70" s="17" t="s">
        <v>398</v>
      </c>
      <c r="F70" s="360">
        <f>'数据-取费表'!B41</f>
        <v>5.6000000000000001E-2</v>
      </c>
      <c r="G70" s="361"/>
      <c r="H70" s="311"/>
      <c r="I70" s="1292"/>
      <c r="J70" s="2036"/>
      <c r="K70" s="3037"/>
      <c r="L70" s="3038"/>
      <c r="M70" s="3038"/>
      <c r="N70" s="3039" t="s">
        <v>2889</v>
      </c>
      <c r="O70" s="3038"/>
      <c r="P70" s="3040"/>
      <c r="Q70" s="2029"/>
      <c r="R70" s="2029"/>
      <c r="S70" s="2029"/>
      <c r="T70" s="2029"/>
      <c r="U70" s="2029"/>
      <c r="V70" s="2029"/>
    </row>
    <row r="71" spans="1:22" ht="12" customHeight="1">
      <c r="A71" s="359" t="s">
        <v>404</v>
      </c>
      <c r="B71" s="3314" t="s">
        <v>405</v>
      </c>
      <c r="C71" s="3326"/>
      <c r="D71" s="358">
        <f ca="1">ROUND(D63*'数据-取费表'!B41/(1+'数据-取费表'!C42),0)</f>
        <v>839</v>
      </c>
      <c r="E71" s="17" t="s">
        <v>398</v>
      </c>
      <c r="F71" s="360">
        <f>'数据-取费表'!B41</f>
        <v>5.6000000000000001E-2</v>
      </c>
      <c r="G71" s="361"/>
      <c r="H71" s="311"/>
      <c r="I71" s="1292"/>
      <c r="J71" s="2036"/>
      <c r="K71" s="3036" t="s">
        <v>399</v>
      </c>
      <c r="L71" s="3279" t="s">
        <v>400</v>
      </c>
      <c r="M71" s="3279"/>
      <c r="N71" s="3036" t="s">
        <v>401</v>
      </c>
      <c r="O71" s="3036" t="s">
        <v>402</v>
      </c>
      <c r="P71" s="3036" t="s">
        <v>403</v>
      </c>
      <c r="Q71" s="2029"/>
      <c r="R71" s="2029"/>
      <c r="S71" s="2029"/>
      <c r="T71" s="2029"/>
      <c r="U71" s="2029"/>
      <c r="V71" s="2029"/>
    </row>
    <row r="72" spans="1:22" ht="12" customHeight="1">
      <c r="A72" s="359" t="s">
        <v>407</v>
      </c>
      <c r="B72" s="3314" t="s">
        <v>408</v>
      </c>
      <c r="C72" s="3326"/>
      <c r="D72" s="358">
        <f ca="1">C86</f>
        <v>727</v>
      </c>
      <c r="E72" s="73" t="s">
        <v>409</v>
      </c>
      <c r="F72" s="360">
        <f>'数据-取费表'!B41</f>
        <v>5.6000000000000001E-2</v>
      </c>
      <c r="G72" s="361"/>
      <c r="H72" s="1298"/>
      <c r="I72" s="1292"/>
      <c r="J72" s="2036"/>
      <c r="K72" s="1977">
        <v>1</v>
      </c>
      <c r="L72" s="3276" t="s">
        <v>406</v>
      </c>
      <c r="M72" s="3276"/>
      <c r="N72" s="1296">
        <f ca="1">D66</f>
        <v>839</v>
      </c>
      <c r="O72" s="1860" t="str">
        <f>E66</f>
        <v>销售额×税（费）率</v>
      </c>
      <c r="P72" s="1297">
        <f>F66</f>
        <v>5.6000000000000001E-2</v>
      </c>
      <c r="Q72" s="2029"/>
      <c r="R72" s="2029"/>
      <c r="S72" s="2029"/>
      <c r="T72" s="2029"/>
      <c r="U72" s="2029"/>
      <c r="V72" s="2029"/>
    </row>
    <row r="73" spans="1:22" ht="24" customHeight="1">
      <c r="A73" s="3302" t="s">
        <v>411</v>
      </c>
      <c r="B73" s="3303"/>
      <c r="C73" s="3303"/>
      <c r="D73" s="362">
        <f>IF(H73="个人住宅",0,ROUND(D63*I73,0))</f>
        <v>0</v>
      </c>
      <c r="E73" s="17" t="s">
        <v>412</v>
      </c>
      <c r="F73" s="360" t="str">
        <f>IF(H73="正常",I73,"免征")</f>
        <v>免征</v>
      </c>
      <c r="G73" s="361"/>
      <c r="H73" s="191" t="s">
        <v>2456</v>
      </c>
      <c r="I73" s="360">
        <f>'数据-取费表'!B49</f>
        <v>5.0000000000000001E-4</v>
      </c>
      <c r="J73" s="2036"/>
      <c r="K73" s="1977">
        <v>2</v>
      </c>
      <c r="L73" s="3276" t="s">
        <v>410</v>
      </c>
      <c r="M73" s="3276"/>
      <c r="N73" s="1296">
        <f t="shared" ref="N73:P74" si="1">D73</f>
        <v>0</v>
      </c>
      <c r="O73" s="1860" t="str">
        <f t="shared" si="1"/>
        <v>销售额×税（费）率</v>
      </c>
      <c r="P73" s="1297" t="str">
        <f t="shared" si="1"/>
        <v>免征</v>
      </c>
      <c r="Q73" s="2029"/>
      <c r="R73" s="2029"/>
      <c r="S73" s="2029"/>
      <c r="T73" s="2029"/>
      <c r="U73" s="2029"/>
      <c r="V73" s="2029"/>
    </row>
    <row r="74" spans="1:22" ht="24.75">
      <c r="A74" s="3302" t="s">
        <v>415</v>
      </c>
      <c r="B74" s="3303"/>
      <c r="C74" s="3303"/>
      <c r="D74" s="362">
        <f ca="1">IF(H74="个人住宅",D75,D76)</f>
        <v>8252</v>
      </c>
      <c r="E74" s="17" t="s">
        <v>416</v>
      </c>
      <c r="F74" s="360" t="str">
        <f>IF(H74="正常",F76,"免征")</f>
        <v>——</v>
      </c>
      <c r="G74" s="983" t="s">
        <v>417</v>
      </c>
      <c r="H74" s="363" t="s">
        <v>413</v>
      </c>
      <c r="I74" s="42"/>
      <c r="J74" s="2036"/>
      <c r="K74" s="1977">
        <v>3</v>
      </c>
      <c r="L74" s="3276" t="s">
        <v>414</v>
      </c>
      <c r="M74" s="3276"/>
      <c r="N74" s="1296">
        <f t="shared" ca="1" si="1"/>
        <v>8252</v>
      </c>
      <c r="O74" s="1860" t="str">
        <f t="shared" si="1"/>
        <v>增值额×税（费）率</v>
      </c>
      <c r="P74" s="1299" t="str">
        <f t="shared" si="1"/>
        <v>——</v>
      </c>
      <c r="Q74" s="2029"/>
      <c r="R74" s="2029"/>
      <c r="S74" s="2029"/>
      <c r="T74" s="2029"/>
      <c r="U74" s="2029"/>
      <c r="V74" s="2029"/>
    </row>
    <row r="75" spans="1:22" ht="24">
      <c r="A75" s="359" t="s">
        <v>418</v>
      </c>
      <c r="B75" s="3283" t="s">
        <v>419</v>
      </c>
      <c r="C75" s="3284"/>
      <c r="D75" s="364">
        <v>0</v>
      </c>
      <c r="E75" s="41" t="s">
        <v>420</v>
      </c>
      <c r="F75" s="365"/>
      <c r="G75" s="361"/>
      <c r="H75" s="42"/>
      <c r="I75" s="42"/>
      <c r="J75" s="2036"/>
      <c r="K75" s="3029">
        <f>IF(H77="非个人房产","",4)</f>
        <v>4</v>
      </c>
      <c r="L75" s="3276" t="str">
        <f>IF(H77="非个人房产","——","个人所得税")</f>
        <v>个人所得税</v>
      </c>
      <c r="M75" s="3276"/>
      <c r="N75" s="1300">
        <f ca="1">D77</f>
        <v>157</v>
      </c>
      <c r="O75" s="1873" t="str">
        <f>E77</f>
        <v>销售额×税（费）率</v>
      </c>
      <c r="P75" s="1301">
        <f>F77</f>
        <v>0.01</v>
      </c>
      <c r="Q75" s="2029"/>
      <c r="R75" s="2029"/>
      <c r="S75" s="2029"/>
      <c r="T75" s="2029"/>
      <c r="U75" s="2029"/>
      <c r="V75" s="2029"/>
    </row>
    <row r="76" spans="1:22" ht="24.75">
      <c r="A76" s="359" t="s">
        <v>396</v>
      </c>
      <c r="B76" s="3283" t="s">
        <v>422</v>
      </c>
      <c r="C76" s="3325"/>
      <c r="D76" s="362">
        <f ca="1">IF(H76="转让取得",C99,C115)</f>
        <v>8252</v>
      </c>
      <c r="E76" s="17" t="s">
        <v>423</v>
      </c>
      <c r="F76" s="53" t="s">
        <v>21</v>
      </c>
      <c r="G76" s="361"/>
      <c r="H76" s="363" t="s">
        <v>424</v>
      </c>
      <c r="I76" s="42"/>
      <c r="J76" s="2036"/>
      <c r="K76" s="3029" t="str">
        <f>IF(项目基本情况!K6="上海银行",IF(K75="",4,K75+1),"")</f>
        <v/>
      </c>
      <c r="L76" s="3264" t="str">
        <f>IF(项目基本情况!K6="上海银行","其他处置费用","")</f>
        <v/>
      </c>
      <c r="M76" s="3265"/>
      <c r="N76" s="1296" t="str">
        <f>IF(项目基本情况!K6="上海银行",N89,"")</f>
        <v/>
      </c>
      <c r="O76" s="3266" t="str">
        <f>IF(项目基本情况!K6="上海银行","包含处置中涉及的律师、诉讼、拍卖、评估等费用","")</f>
        <v/>
      </c>
      <c r="P76" s="3267"/>
      <c r="Q76" s="2029"/>
      <c r="R76" s="2029"/>
      <c r="S76" s="2029"/>
      <c r="T76" s="2029"/>
      <c r="U76" s="2029"/>
      <c r="V76" s="2029"/>
    </row>
    <row r="77" spans="1:22" ht="26.25" thickBot="1">
      <c r="A77" s="3294" t="s">
        <v>426</v>
      </c>
      <c r="B77" s="3295"/>
      <c r="C77" s="3295"/>
      <c r="D77" s="366">
        <f ca="1">IF(H77="非个人房产","——",IF(H77="个人住宅",0,ROUND(D63*I77,0)))</f>
        <v>157</v>
      </c>
      <c r="E77" s="367" t="str">
        <f>IF(H77="非个人房产","——","销售额×税（费）率")</f>
        <v>销售额×税（费）率</v>
      </c>
      <c r="F77" s="368">
        <f>IF(H77="非个人房产","——",IF(H77="个人住宅","免征",I77))</f>
        <v>0.01</v>
      </c>
      <c r="G77" s="984" t="s">
        <v>417</v>
      </c>
      <c r="H77" s="363" t="s">
        <v>2885</v>
      </c>
      <c r="I77" s="369">
        <v>0.01</v>
      </c>
      <c r="J77" s="2036"/>
      <c r="K77" s="3290">
        <f>IF(AND(K75="",K76=""),4,IF(项目基本情况!K6="上海银行",K76+1,K75+1))</f>
        <v>5</v>
      </c>
      <c r="L77" s="3276" t="s">
        <v>2886</v>
      </c>
      <c r="M77" s="3035" t="s">
        <v>421</v>
      </c>
      <c r="N77" s="1302"/>
      <c r="O77" s="1303">
        <f ca="1">SUMIF(N72:N76,"&lt;9e307")</f>
        <v>9248</v>
      </c>
      <c r="P77" s="1304"/>
      <c r="Q77" s="3033">
        <f ca="1">O77/N69</f>
        <v>0.3525868313698578</v>
      </c>
      <c r="R77" s="2029"/>
      <c r="S77" s="2029"/>
      <c r="T77" s="2029"/>
      <c r="U77" s="2029"/>
      <c r="V77" s="2029"/>
    </row>
    <row r="78" spans="1:22" ht="12" customHeight="1">
      <c r="A78" s="1305"/>
      <c r="B78" s="311"/>
      <c r="C78" s="311"/>
      <c r="D78" s="311"/>
      <c r="E78" s="42"/>
      <c r="F78" s="42"/>
      <c r="G78" s="42"/>
      <c r="H78" s="1003"/>
      <c r="I78" s="311"/>
      <c r="J78" s="2036"/>
      <c r="K78" s="3290"/>
      <c r="L78" s="3276"/>
      <c r="M78" s="3035" t="s">
        <v>425</v>
      </c>
      <c r="N78" s="1302"/>
      <c r="O78" s="1303" t="str">
        <f ca="1">NUMBERSTRING(INT(O77*10000),2)&amp;"元整"</f>
        <v>玖仟贰佰肆拾捌万元整</v>
      </c>
      <c r="P78" s="1304"/>
      <c r="Q78" s="2029"/>
      <c r="R78" s="2029"/>
      <c r="S78" s="2029"/>
      <c r="T78" s="2029"/>
      <c r="U78" s="2029"/>
      <c r="V78" s="2029"/>
    </row>
    <row r="79" spans="1:22" ht="13.5" thickBot="1">
      <c r="A79" s="3280" t="s">
        <v>427</v>
      </c>
      <c r="B79" s="3280"/>
      <c r="C79" s="3280"/>
      <c r="D79" s="3280"/>
      <c r="E79" s="3280"/>
      <c r="F79" s="42"/>
      <c r="G79" s="42"/>
      <c r="H79" s="1003"/>
      <c r="I79" s="311"/>
      <c r="J79" s="2036"/>
      <c r="K79" s="3274">
        <f>K77+1</f>
        <v>6</v>
      </c>
      <c r="L79" s="3276" t="s">
        <v>2887</v>
      </c>
      <c r="M79" s="3035" t="s">
        <v>421</v>
      </c>
      <c r="N79" s="1302"/>
      <c r="O79" s="1303">
        <f ca="1">N69-O77</f>
        <v>16981</v>
      </c>
      <c r="P79" s="1304"/>
      <c r="Q79" s="2029"/>
      <c r="R79" s="2029"/>
      <c r="S79" s="2029"/>
      <c r="T79" s="2029"/>
      <c r="U79" s="2029"/>
      <c r="V79" s="2029"/>
    </row>
    <row r="80" spans="1:22" ht="12.75">
      <c r="A80" s="3281" t="s">
        <v>428</v>
      </c>
      <c r="B80" s="3282"/>
      <c r="C80" s="994"/>
      <c r="D80" s="994" t="s">
        <v>429</v>
      </c>
      <c r="E80" s="370" t="s">
        <v>430</v>
      </c>
      <c r="F80" s="42"/>
      <c r="G80" s="42"/>
      <c r="H80" s="1003"/>
      <c r="I80" s="311"/>
      <c r="J80" s="2029"/>
      <c r="K80" s="3275"/>
      <c r="L80" s="3276"/>
      <c r="M80" s="3035" t="s">
        <v>425</v>
      </c>
      <c r="N80" s="1302"/>
      <c r="O80" s="1303" t="str">
        <f ca="1">NUMBERSTRING(INT(O79*10000),2)&amp;"元整"</f>
        <v>壹亿陆仟玖佰捌拾壹万元整</v>
      </c>
      <c r="P80" s="1304"/>
      <c r="Q80" s="2029"/>
      <c r="R80" s="2029"/>
      <c r="S80" s="2029"/>
      <c r="T80" s="2029"/>
      <c r="U80" s="2029"/>
      <c r="V80" s="2029"/>
    </row>
    <row r="81" spans="1:26" ht="13.5" thickBot="1">
      <c r="A81" s="381" t="s">
        <v>1824</v>
      </c>
      <c r="B81" s="371" t="s">
        <v>431</v>
      </c>
      <c r="C81" s="372">
        <f ca="1">ROUND((C82+C83)/(1+'数据-取费表'!C42),0)</f>
        <v>14988</v>
      </c>
      <c r="D81" s="373"/>
      <c r="E81" s="374"/>
      <c r="F81" s="42"/>
      <c r="G81" s="42"/>
      <c r="H81" s="1003"/>
      <c r="I81" s="311"/>
      <c r="J81" s="2029"/>
      <c r="K81" s="3029">
        <f>K79+1</f>
        <v>7</v>
      </c>
      <c r="L81" s="3288" t="s">
        <v>2888</v>
      </c>
      <c r="M81" s="3289"/>
      <c r="N81" s="1306"/>
      <c r="O81" s="1307">
        <f ca="1">ROUND(O79*10000/'数据-汇总表'!E3,0)</f>
        <v>547</v>
      </c>
      <c r="P81" s="1308"/>
      <c r="Q81" s="2029"/>
      <c r="R81" s="2029"/>
      <c r="S81" s="2029"/>
      <c r="T81" s="2029"/>
      <c r="U81" s="2029"/>
      <c r="V81" s="2029"/>
    </row>
    <row r="82" spans="1:26" ht="13.5" thickTop="1">
      <c r="A82" s="375" t="s">
        <v>1825</v>
      </c>
      <c r="B82" s="376" t="s">
        <v>432</v>
      </c>
      <c r="C82" s="377">
        <f ca="1">D63</f>
        <v>15737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3" t="s">
        <v>2875</v>
      </c>
      <c r="L83" s="3041" t="s">
        <v>2876</v>
      </c>
      <c r="M83" s="3031">
        <f ca="1">IF(N69&gt;10000,N69*0.5%,IF(AND(N69&gt;1000,N69&lt;=10000),N69*1%,IF(AND(N69&gt;100,N69&lt;=1000),N69*3%,IF(AND(N69&gt;10,N69&lt;=100),N69*5%,N69*8%))))</f>
        <v>131.14500000000001</v>
      </c>
      <c r="N83" s="53">
        <f ca="1">ROUND(M83,1)</f>
        <v>131.1</v>
      </c>
      <c r="O83" s="3034"/>
      <c r="P83" s="2029"/>
      <c r="Q83" s="2029"/>
      <c r="R83" s="2029"/>
      <c r="S83" s="2029"/>
      <c r="T83" s="2029"/>
      <c r="U83" s="2029"/>
      <c r="V83" s="2029"/>
    </row>
    <row r="84" spans="1:26" ht="12.75">
      <c r="A84" s="381" t="s">
        <v>1827</v>
      </c>
      <c r="B84" s="382" t="s">
        <v>434</v>
      </c>
      <c r="C84" s="383">
        <v>2000</v>
      </c>
      <c r="D84" s="384" t="s">
        <v>19</v>
      </c>
      <c r="E84" s="3076" t="s">
        <v>2944</v>
      </c>
      <c r="F84" s="42"/>
      <c r="G84" s="42"/>
      <c r="H84" s="1003"/>
      <c r="I84" s="311"/>
      <c r="J84" s="2029"/>
      <c r="K84" s="3263"/>
      <c r="L84" s="3041" t="s">
        <v>2877</v>
      </c>
      <c r="M84" s="3031">
        <f ca="1">IF(N69&gt;2000,N69*0.5%,IF(AND(N69&gt;1000,N69&lt;=2000),N69*0.6%,IF(AND(N69&gt;500,N69&lt;=1000),N69*0.7%,IF(AND(N69&gt;200,N69&lt;=500),N69*0.8%,IF(AND(N69&gt;100,N69&lt;=200),N69*0.9%,IF(AND(N69&gt;50,N69&lt;=100),N69*1%,IF(AND(N69&gt;20,N69&lt;=50),N69*1.5%,IF(AND(N69&gt;10,N69&lt;=20),N69*2%,IF(AND(N69&gt;1,N69&lt;=10),N69*2.5%)))))))))</f>
        <v>131.14500000000001</v>
      </c>
      <c r="N84" s="53">
        <f t="shared" ref="N84:N85" ca="1" si="2">ROUND(M84,1)</f>
        <v>131.1</v>
      </c>
      <c r="O84" s="2029" t="s">
        <v>2878</v>
      </c>
      <c r="P84" s="2029"/>
      <c r="Q84" s="2029"/>
      <c r="R84" s="2029"/>
      <c r="S84" s="2029"/>
      <c r="T84" s="2029"/>
      <c r="U84" s="2029"/>
      <c r="V84" s="2029"/>
    </row>
    <row r="85" spans="1:26" ht="12.75">
      <c r="A85" s="381" t="s">
        <v>1828</v>
      </c>
      <c r="B85" s="382" t="s">
        <v>435</v>
      </c>
      <c r="C85" s="385">
        <f ca="1">C81-C84</f>
        <v>12988</v>
      </c>
      <c r="D85" s="378" t="s">
        <v>19</v>
      </c>
      <c r="E85" s="379"/>
      <c r="F85" s="42"/>
      <c r="G85" s="42"/>
      <c r="H85" s="1003"/>
      <c r="I85" s="311"/>
      <c r="J85" s="2029"/>
      <c r="K85" s="3263"/>
      <c r="L85" s="3041" t="s">
        <v>2879</v>
      </c>
      <c r="M85" s="3031">
        <f ca="1">IF(N69&gt;1000,N69*0.1%,IF(AND(N69&gt;500,N69&lt;=1000),N69*0.5%,IF(AND(N69&gt;50,N69&lt;=500),N69*1%,IF(AND(N69&gt;1,N69&lt;=50),N69*1.5%))))</f>
        <v>26.228999999999999</v>
      </c>
      <c r="N85" s="53">
        <f t="shared" ca="1" si="2"/>
        <v>26.2</v>
      </c>
      <c r="O85" s="2029" t="s">
        <v>2878</v>
      </c>
      <c r="P85" s="2029"/>
      <c r="Q85" s="2029"/>
      <c r="R85" s="2029"/>
      <c r="S85" s="2029"/>
      <c r="T85" s="2029"/>
      <c r="U85" s="2029"/>
      <c r="V85" s="2029"/>
    </row>
    <row r="86" spans="1:26" ht="13.5" thickBot="1">
      <c r="A86" s="386" t="s">
        <v>1829</v>
      </c>
      <c r="B86" s="387" t="s">
        <v>436</v>
      </c>
      <c r="C86" s="388">
        <f ca="1">IF(C85&lt;=0,0,ROUND(C85*D86,0))</f>
        <v>727</v>
      </c>
      <c r="D86" s="389">
        <f>'数据-取费表'!B41</f>
        <v>5.6000000000000001E-2</v>
      </c>
      <c r="E86" s="390"/>
      <c r="F86" s="42"/>
      <c r="G86" s="42"/>
      <c r="H86" s="1003"/>
      <c r="I86" s="311"/>
      <c r="J86" s="2029"/>
      <c r="K86" s="3263"/>
      <c r="L86" s="3041" t="s">
        <v>2880</v>
      </c>
      <c r="M86" s="3031">
        <f ca="1">N69*0.5%</f>
        <v>131.14500000000001</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3"/>
      <c r="L87" s="3041" t="s">
        <v>2882</v>
      </c>
      <c r="M87" s="3031">
        <f ca="1">IF(N69&gt;=10000,(8.25+(N69-10000)*0.01%),IF(AND(N69&gt;=8000,N69&lt;10000),(7.85+(N69-8000)*0.02%),IF(AND(N69&gt;=5000,N69&lt;8000),(6.65+(N69-5000)*0.04%),IF(AND(N69&gt;=2000,N69&lt;5000),(4.25+(PN69-2000)*0.08%),IF(AND(N69&gt;=1000,N69&lt;2000),(2.75+(N69-1000)*0.15%),IF(AND(N69&gt;=100,N69&lt;1000),(0.5+(N69-100)*0.25%),IF(AND(N69&gt;0,N69&lt;100),N69*0.5%)))))))</f>
        <v>9.8728999999999996</v>
      </c>
      <c r="N87" s="53">
        <f ca="1">ROUND(M87*0.9,1)</f>
        <v>8.9</v>
      </c>
      <c r="O87" s="3034"/>
      <c r="P87" s="311"/>
      <c r="Q87" s="2029"/>
      <c r="R87" s="2029"/>
      <c r="S87" s="2029"/>
      <c r="T87" s="2029"/>
      <c r="U87" s="2029"/>
      <c r="V87" s="2029"/>
      <c r="W87" s="292"/>
      <c r="X87" s="292"/>
      <c r="Y87" s="292"/>
      <c r="Z87" s="292"/>
    </row>
    <row r="88" spans="1:26" s="1314" customFormat="1" ht="15" thickBot="1">
      <c r="A88" s="3317" t="s">
        <v>437</v>
      </c>
      <c r="B88" s="3318"/>
      <c r="C88" s="3318"/>
      <c r="D88" s="3318"/>
      <c r="E88" s="3318"/>
      <c r="F88" s="3318"/>
      <c r="G88" s="3318"/>
      <c r="H88" s="3318"/>
      <c r="I88" s="1315"/>
      <c r="J88" s="2037"/>
      <c r="K88" s="3263"/>
      <c r="L88" s="3041" t="s">
        <v>2883</v>
      </c>
      <c r="M88" s="3031">
        <f ca="1">IF(N69&gt;10000,N69*0.5%,IF(AND(N69&gt;5000,N69&lt;=10000),N69*1%,IF(AND(N69&gt;1000,N69&lt;=5000),N69*2%,IF(AND(N69&gt;200,N69&lt;=1000),N69*3%,N69*5%))))</f>
        <v>131.14500000000001</v>
      </c>
      <c r="N88" s="53">
        <f ca="1">ROUND(M88,1)</f>
        <v>131.1</v>
      </c>
      <c r="O88" s="3034"/>
      <c r="P88" s="11"/>
      <c r="Q88" s="2034"/>
      <c r="R88" s="2034"/>
      <c r="S88" s="2034"/>
      <c r="T88" s="2034"/>
      <c r="U88" s="2034"/>
      <c r="V88" s="2034"/>
      <c r="W88" s="2038"/>
      <c r="X88" s="2038"/>
      <c r="Y88" s="2038"/>
      <c r="Z88" s="2038"/>
    </row>
    <row r="89" spans="1:26" s="1314" customFormat="1" ht="14.25">
      <c r="A89" s="3281" t="s">
        <v>428</v>
      </c>
      <c r="B89" s="3282"/>
      <c r="C89" s="994"/>
      <c r="D89" s="994" t="s">
        <v>429</v>
      </c>
      <c r="E89" s="391" t="s">
        <v>438</v>
      </c>
      <c r="F89" s="392"/>
      <c r="G89" s="392"/>
      <c r="H89" s="393"/>
      <c r="I89" s="1316"/>
      <c r="J89" s="2039"/>
      <c r="K89" s="3263"/>
      <c r="L89" s="3041" t="s">
        <v>27</v>
      </c>
      <c r="M89" s="3032"/>
      <c r="N89" s="53">
        <f ca="1">ROUND(SUM(N83:N88),0)</f>
        <v>429</v>
      </c>
      <c r="O89" s="3042">
        <f ca="1">N89/N69</f>
        <v>1.6355941896374241E-2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14988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2651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4" t="s">
        <v>447</v>
      </c>
      <c r="F94" s="3315"/>
      <c r="G94" s="3315"/>
      <c r="H94" s="331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90</v>
      </c>
      <c r="D96" s="406">
        <f>'数据-取费表'!B43</f>
        <v>6.000000000000001E-3</v>
      </c>
      <c r="E96" s="3304" t="s">
        <v>2429</v>
      </c>
      <c r="F96" s="3305"/>
      <c r="G96" s="3305"/>
      <c r="H96" s="330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12337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4.6537155790267821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6474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7" t="s">
        <v>454</v>
      </c>
      <c r="B101" s="3318"/>
      <c r="C101" s="3318"/>
      <c r="D101" s="3318"/>
      <c r="E101" s="3318"/>
      <c r="F101" s="3318"/>
      <c r="G101" s="3318"/>
      <c r="H101" s="331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1" t="s">
        <v>428</v>
      </c>
      <c r="B102" s="328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14988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780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7" t="s">
        <v>462</v>
      </c>
      <c r="F109" s="3305"/>
      <c r="G109" s="3305"/>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7" t="s">
        <v>464</v>
      </c>
      <c r="F110" s="3305"/>
      <c r="G110" s="3305"/>
      <c r="H110" s="330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90</v>
      </c>
      <c r="D111" s="406">
        <f>'数据-取费表'!B43</f>
        <v>6.000000000000001E-3</v>
      </c>
      <c r="E111" s="3304" t="s">
        <v>2429</v>
      </c>
      <c r="F111" s="3305"/>
      <c r="G111" s="3305"/>
      <c r="H111" s="330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7" t="s">
        <v>2454</v>
      </c>
      <c r="F112" s="3305"/>
      <c r="G112" s="3305"/>
      <c r="H112" s="330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14208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18.215384615384615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8252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1" sqref="L2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27271</v>
      </c>
      <c r="C2" s="2105"/>
      <c r="D2" s="2105"/>
      <c r="E2" s="2105"/>
      <c r="F2" s="2105"/>
      <c r="G2" s="2105"/>
      <c r="H2" s="2105"/>
      <c r="I2" s="2105"/>
      <c r="J2" s="2105"/>
      <c r="K2" s="2105"/>
    </row>
    <row r="3" spans="1:31" s="2042" customFormat="1" ht="18" customHeight="1">
      <c r="A3" s="2107" t="s">
        <v>1685</v>
      </c>
      <c r="B3" s="2108">
        <f ca="1">ROUND(B2*10000/IF(B1="",'数据-汇总表'!E3,INDIRECT("'数据-取费表'!K"&amp;$K$1)),0)</f>
        <v>878</v>
      </c>
      <c r="C3" s="2105"/>
      <c r="D3" s="2105"/>
      <c r="E3" s="2105"/>
      <c r="F3" s="2105"/>
      <c r="G3" s="2105"/>
      <c r="H3" s="2105"/>
      <c r="I3" s="2105"/>
      <c r="J3" s="2105"/>
      <c r="K3" s="2105"/>
    </row>
    <row r="4" spans="1:31" s="2042" customFormat="1" ht="18" customHeight="1">
      <c r="A4" s="426" t="s">
        <v>468</v>
      </c>
      <c r="B4" s="427">
        <f ca="1">ROUND(B2*10000/IF(B1="",'数据-汇总表'!D3,INDIRECT("'数据-取费表'!R"&amp;$K$1)),0)</f>
        <v>2636</v>
      </c>
      <c r="C4" s="428"/>
      <c r="D4" s="422"/>
      <c r="E4" s="422"/>
      <c r="F4" s="422"/>
      <c r="G4" s="422"/>
      <c r="H4" s="422"/>
      <c r="I4" s="422"/>
      <c r="J4" s="422"/>
      <c r="K4" s="422"/>
    </row>
    <row r="5" spans="1:31" s="2042" customFormat="1" ht="18" customHeight="1" thickBot="1">
      <c r="A5" s="429"/>
      <c r="B5" s="430">
        <f ca="1">ROUND(B2/(IF(B1="",'数据-汇总表'!D3,INDIRECT("'数据-取费表'!R"&amp;$K$1))/666.67),0)</f>
        <v>176</v>
      </c>
      <c r="C5" s="431" t="s">
        <v>469</v>
      </c>
      <c r="D5" s="422"/>
      <c r="E5" s="422"/>
      <c r="F5" s="422"/>
      <c r="G5" s="422"/>
      <c r="H5" s="422"/>
      <c r="I5" s="422"/>
      <c r="J5" s="422"/>
      <c r="K5" s="422"/>
    </row>
    <row r="6" spans="1:31" s="2112" customFormat="1" ht="16.5" customHeight="1">
      <c r="A6" s="2807" t="s">
        <v>1843</v>
      </c>
      <c r="B6" s="2808"/>
      <c r="C6" s="2809">
        <f>SUM(C10:K10)</f>
        <v>201870</v>
      </c>
      <c r="D6" s="2808"/>
      <c r="E6" s="2808"/>
      <c r="F6" s="2808"/>
      <c r="G6" s="2808"/>
      <c r="H6" s="2808"/>
      <c r="I6" s="2808"/>
      <c r="J6" s="2808"/>
      <c r="K6" s="2810"/>
    </row>
    <row r="7" spans="1:31" s="2114" customFormat="1" ht="15">
      <c r="A7" s="2811" t="s">
        <v>470</v>
      </c>
      <c r="B7" s="2812" t="s">
        <v>471</v>
      </c>
      <c r="C7" s="436" t="s">
        <v>3001</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6500</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310569.59999999998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4">
        <f>ROUND(C8*C9/10000,0)</f>
        <v>201870</v>
      </c>
      <c r="D10" s="3004"/>
      <c r="E10" s="3004"/>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86959</v>
      </c>
      <c r="D13" s="2823"/>
      <c r="E13" s="2824"/>
      <c r="F13" s="2825"/>
      <c r="G13" s="2791"/>
      <c r="H13" s="2792"/>
      <c r="I13" s="2792"/>
      <c r="J13" s="2792"/>
      <c r="K13" s="2793"/>
    </row>
    <row r="14" spans="1:31" s="2117" customFormat="1" ht="13.5" customHeight="1">
      <c r="A14" s="2821" t="s">
        <v>1850</v>
      </c>
      <c r="B14" s="2822" t="s">
        <v>480</v>
      </c>
      <c r="C14" s="53">
        <f ca="1">ROUND(C13*F14,0)</f>
        <v>2609</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6211</v>
      </c>
      <c r="D16" s="2823">
        <f ca="1">IF(B1="",'数据-汇总表'!E3,INDIRECT("'数据-取费表'!K"&amp;$K$1)+INDIRECT("'数据-取费表'!S"&amp;$K$1))</f>
        <v>310569.59999999998</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1304</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97083</v>
      </c>
      <c r="D18" s="2832"/>
      <c r="E18" s="468"/>
      <c r="F18" s="468"/>
      <c r="G18" s="2795" t="s">
        <v>2431</v>
      </c>
      <c r="H18" s="2796"/>
      <c r="I18" s="2796"/>
      <c r="J18" s="2796"/>
      <c r="K18" s="2797"/>
    </row>
    <row r="19" spans="1:14" s="2117" customFormat="1" ht="13.5" customHeight="1">
      <c r="A19" s="2829" t="s">
        <v>1855</v>
      </c>
      <c r="B19" s="2830" t="s">
        <v>488</v>
      </c>
      <c r="C19" s="2787">
        <f ca="1">ROUND(D19*E19/10000,0)</f>
        <v>6211</v>
      </c>
      <c r="D19" s="2833">
        <f ca="1">D16</f>
        <v>310569.59999999998</v>
      </c>
      <c r="E19" s="2787">
        <f>'数据-取费表'!B32</f>
        <v>200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3261</v>
      </c>
      <c r="D20" s="2833"/>
      <c r="E20" s="2787"/>
      <c r="F20" s="2834"/>
      <c r="G20" s="3064"/>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3261</v>
      </c>
      <c r="D22" s="2823">
        <f ca="1">IF(B1="",'数据-汇总表'!E6,IF(INDIRECT("'数据-取费表'!c"&amp;$K$1)="住宅",INDIRECT("'数据-取费表'!s"&amp;$K$1),INDIRECT("'数据-取费表'!k"&amp;$K$1)+INDIRECT("'数据-取费表'!s"&amp;$K$1)))</f>
        <v>310569.59999999998</v>
      </c>
      <c r="E22" s="53">
        <f>'数据-取费表'!B28</f>
        <v>105</v>
      </c>
      <c r="F22" s="2826"/>
      <c r="G22" s="26"/>
      <c r="H22" s="51"/>
      <c r="I22" s="51"/>
      <c r="J22" s="51"/>
      <c r="K22" s="2798"/>
    </row>
    <row r="23" spans="1:14" s="2117" customFormat="1" ht="13.5" customHeight="1">
      <c r="A23" s="2829" t="s">
        <v>1859</v>
      </c>
      <c r="B23" s="3010" t="s">
        <v>2835</v>
      </c>
      <c r="C23" s="2831">
        <f ca="1">ROUND((C18+C19+C20)*F23,0)</f>
        <v>2131</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0" t="s">
        <v>2838</v>
      </c>
      <c r="C24" s="2831">
        <f>ROUND(C6*F24,0)</f>
        <v>4037</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0"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1" t="s">
        <v>2837</v>
      </c>
      <c r="C26" s="2836">
        <f ca="1">C28</f>
        <v>5354</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5354</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10766</v>
      </c>
      <c r="D29" s="468"/>
      <c r="E29" s="468"/>
      <c r="F29" s="3012">
        <f>'数据-取费表'!B41</f>
        <v>5.6000000000000001E-2</v>
      </c>
      <c r="G29" s="2800" t="s">
        <v>498</v>
      </c>
      <c r="H29" s="2792"/>
      <c r="I29" s="2792"/>
      <c r="J29" s="2792"/>
      <c r="K29" s="2793"/>
    </row>
    <row r="30" spans="1:14" s="2122" customFormat="1" ht="13.5" customHeight="1">
      <c r="A30" s="1636" t="s">
        <v>1864</v>
      </c>
      <c r="B30" s="2841" t="s">
        <v>500</v>
      </c>
      <c r="C30" s="2836">
        <f ca="1">C31</f>
        <v>128843</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128843</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09" t="s">
        <v>2834</v>
      </c>
      <c r="B33" s="3007" t="s">
        <v>2832</v>
      </c>
      <c r="C33" s="478">
        <f ca="1">C35</f>
        <v>33817</v>
      </c>
      <c r="D33" s="467">
        <f ca="1">C34</f>
        <v>0.30869999999999997</v>
      </c>
      <c r="E33" s="469" t="s">
        <v>495</v>
      </c>
      <c r="F33" s="479">
        <f ca="1">IF(B1="",'数据-取费表'!Q16,INDIRECT("'数据-取费表'!q"&amp;$K$1))</f>
        <v>0.3</v>
      </c>
      <c r="G33" s="2795"/>
      <c r="H33" s="2796"/>
      <c r="I33" s="2796"/>
      <c r="J33" s="2796"/>
      <c r="K33" s="2797"/>
    </row>
    <row r="34" spans="1:11" s="2124" customFormat="1" ht="13.5" customHeight="1">
      <c r="A34" s="375" t="s">
        <v>1857</v>
      </c>
      <c r="B34" s="2842" t="s">
        <v>501</v>
      </c>
      <c r="C34" s="472">
        <f ca="1">ROUND((1+C25)*F33,4)</f>
        <v>0.30869999999999997</v>
      </c>
      <c r="D34" s="472"/>
      <c r="E34" s="473"/>
      <c r="F34" s="480"/>
      <c r="G34" s="261" t="s">
        <v>2291</v>
      </c>
      <c r="H34" s="2794"/>
      <c r="I34" s="2794"/>
      <c r="J34" s="2794"/>
      <c r="K34" s="279"/>
    </row>
    <row r="35" spans="1:11" s="2124" customFormat="1" ht="13.5" customHeight="1" thickBot="1">
      <c r="A35" s="1637" t="s">
        <v>1858</v>
      </c>
      <c r="B35" s="3008" t="s">
        <v>2840</v>
      </c>
      <c r="C35" s="1629">
        <f ca="1">ROUND((C18+C19+C20+C23+C24)*F33,0)</f>
        <v>33817</v>
      </c>
      <c r="D35" s="1630"/>
      <c r="E35" s="2843"/>
      <c r="F35" s="1631"/>
      <c r="G35" s="2801"/>
      <c r="H35" s="2802"/>
      <c r="I35" s="2802"/>
      <c r="J35" s="2802"/>
      <c r="K35" s="2803"/>
    </row>
    <row r="36" spans="1:11" s="2086" customFormat="1" ht="13.5" customHeight="1" thickBot="1">
      <c r="A36" s="284" t="s">
        <v>1845</v>
      </c>
      <c r="B36" s="2805"/>
      <c r="C36" s="2844">
        <f ca="1">ROUND((C6-C30-C33)/(1+D30+D33),0)</f>
        <v>27271</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86959</v>
      </c>
      <c r="D13" s="451"/>
      <c r="E13" s="365"/>
      <c r="F13" s="452"/>
      <c r="G13" s="444"/>
      <c r="H13" s="447"/>
      <c r="I13" s="447"/>
      <c r="J13" s="447"/>
      <c r="K13" s="448"/>
    </row>
    <row r="14" spans="1:41" s="2117" customFormat="1" ht="13.5" customHeight="1">
      <c r="A14" s="1634" t="s">
        <v>1850</v>
      </c>
      <c r="B14" s="449" t="s">
        <v>480</v>
      </c>
      <c r="C14" s="53">
        <f ca="1">ROUND(C13*F14,0)</f>
        <v>2609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6211</v>
      </c>
      <c r="D16" s="451">
        <f ca="1">IF(B1="",'数据-汇总表'!E3,INDIRECT("'数据-取费表'!K"&amp;$K$1)+INDIRECT("'数据-取费表'!S"&amp;$K$1))</f>
        <v>310569.59999999998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1304</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97083</v>
      </c>
      <c r="D18" s="461"/>
      <c r="E18" s="462"/>
      <c r="F18" s="462"/>
      <c r="G18" s="1327" t="s">
        <v>2433</v>
      </c>
      <c r="H18" s="447"/>
      <c r="I18" s="447"/>
      <c r="J18" s="447"/>
      <c r="K18" s="448"/>
    </row>
    <row r="19" spans="1:14" s="2120" customFormat="1" ht="13.5" customHeight="1">
      <c r="A19" s="1635" t="s">
        <v>1855</v>
      </c>
      <c r="B19" s="459" t="s">
        <v>493</v>
      </c>
      <c r="C19" s="460">
        <f ca="1">ROUND(C18*F19,0)</f>
        <v>1942</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4704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4704</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7" t="s">
        <v>2833</v>
      </c>
      <c r="C24" s="478">
        <f ca="1">C25</f>
        <v>29708</v>
      </c>
      <c r="D24" s="489">
        <f ca="1">C26</f>
        <v>6.0000000000000001E-3</v>
      </c>
      <c r="E24" s="469" t="s">
        <v>507</v>
      </c>
      <c r="F24" s="479">
        <f ca="1">IF(B1="",'数据-取费表'!Q16,INDIRECT("'数据-取费表'!q"&amp;$K$1))</f>
        <v>0.3</v>
      </c>
      <c r="G24" s="444"/>
      <c r="H24" s="447"/>
      <c r="I24" s="447"/>
      <c r="J24" s="447"/>
      <c r="K24" s="448"/>
    </row>
    <row r="25" spans="1:14" s="2121" customFormat="1" ht="13.5" customHeight="1">
      <c r="A25" s="1634" t="s">
        <v>1849</v>
      </c>
      <c r="B25" s="1328" t="s">
        <v>2437</v>
      </c>
      <c r="C25" s="490">
        <f ca="1">ROUND((C18+C19)*F24,0)</f>
        <v>29708</v>
      </c>
      <c r="D25" s="472"/>
      <c r="E25" s="473"/>
      <c r="F25" s="480"/>
      <c r="G25" s="1326" t="s">
        <v>2434</v>
      </c>
      <c r="H25" s="457"/>
      <c r="I25" s="457"/>
      <c r="J25" s="457"/>
      <c r="K25" s="458"/>
    </row>
    <row r="26" spans="1:14" s="2121" customFormat="1" ht="13.5" customHeight="1">
      <c r="A26" s="1634" t="s">
        <v>1850</v>
      </c>
      <c r="B26" s="1328" t="s">
        <v>509</v>
      </c>
      <c r="C26" s="491">
        <f ca="1">ROUND(F20*F24,4)</f>
        <v>6.0000000000000001E-3</v>
      </c>
      <c r="D26" s="472"/>
      <c r="E26" s="481"/>
      <c r="F26" s="480"/>
      <c r="G26" s="1326" t="s">
        <v>510</v>
      </c>
      <c r="H26" s="457"/>
      <c r="I26" s="457"/>
      <c r="J26" s="457"/>
      <c r="K26" s="458"/>
    </row>
    <row r="27" spans="1:14" s="2121" customFormat="1" ht="13.5" customHeight="1">
      <c r="A27" s="1638" t="s">
        <v>1868</v>
      </c>
      <c r="B27" s="459" t="s">
        <v>511</v>
      </c>
      <c r="C27" s="3006">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145088</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75" t="str">
        <f>项目基本情况!B1</f>
        <v>出让国有建设用地使用权抵押价格预评估</v>
      </c>
      <c r="C37" s="3175"/>
      <c r="D37" s="3175"/>
      <c r="E37" s="3175"/>
      <c r="F37" s="3175"/>
      <c r="G37" s="3175"/>
      <c r="H37" s="3175"/>
      <c r="I37" s="3175"/>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苏海、郑燚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3001</v>
      </c>
      <c r="D1" s="3101" t="s">
        <v>952</v>
      </c>
      <c r="E1" s="2367" t="s">
        <v>2375</v>
      </c>
      <c r="F1" s="2368">
        <f ca="1">J53</f>
        <v>33.770000000000003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4190</v>
      </c>
      <c r="C2" s="2058"/>
      <c r="D2" s="2056"/>
      <c r="E2" s="2057"/>
      <c r="F2" s="2057"/>
      <c r="G2" s="1591"/>
      <c r="H2" s="2058"/>
      <c r="I2" s="2058"/>
      <c r="J2" s="2058"/>
      <c r="K2" s="2059"/>
      <c r="L2" s="2058"/>
      <c r="M2" s="2058"/>
    </row>
    <row r="3" spans="1:33" ht="18" customHeight="1" thickBot="1">
      <c r="A3" s="833" t="s">
        <v>1728</v>
      </c>
      <c r="B3" s="834">
        <f ca="1">IF(ISERROR(B2*10000/F43),0,ROUND(B2*10000/F43,0))</f>
        <v>135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16" t="s">
        <v>2464</v>
      </c>
      <c r="C6" s="783">
        <f ca="1">ROUND(F6*F8*F7*(1-F9)/10000,0)</f>
        <v>0</v>
      </c>
      <c r="D6" s="2477" t="s">
        <v>2463</v>
      </c>
      <c r="E6" s="784" t="s">
        <v>1739</v>
      </c>
      <c r="F6" s="785">
        <f ca="1">INDIRECT("'数据-取费表'!u"&amp;$G$1)</f>
        <v>0</v>
      </c>
      <c r="G6" s="1593"/>
      <c r="H6" s="2484" t="s">
        <v>2469</v>
      </c>
      <c r="I6" s="3416" t="s">
        <v>2464</v>
      </c>
      <c r="J6" s="783">
        <f ca="1">ROUND(M6*M8*M7*(1-M9)/10000,0)</f>
        <v>0</v>
      </c>
      <c r="K6" s="341" t="s">
        <v>1738</v>
      </c>
      <c r="L6" s="784" t="s">
        <v>1739</v>
      </c>
      <c r="M6" s="785">
        <f ca="1">INDIRECT("'数据-取费表'!z"&amp;$G$1)</f>
        <v>0</v>
      </c>
    </row>
    <row r="7" spans="1:33" ht="18" customHeight="1">
      <c r="A7" s="2480"/>
      <c r="B7" s="3417"/>
      <c r="C7" s="788"/>
      <c r="D7" s="789"/>
      <c r="E7" s="784" t="s">
        <v>1740</v>
      </c>
      <c r="F7" s="785">
        <f ca="1">IF(INDIRECT("'数据-取费表'!ah"&amp;$G$1)="",INDIRECT("'数据-取费表'!k"&amp;$G$1),INDIRECT("'数据-取费表'!ah"&amp;$G$1))</f>
        <v>310569.59999999998</v>
      </c>
      <c r="G7" s="1593"/>
      <c r="H7" s="2469"/>
      <c r="I7" s="3417"/>
      <c r="J7" s="788"/>
      <c r="K7" s="789"/>
      <c r="L7" s="784" t="s">
        <v>1740</v>
      </c>
      <c r="M7" s="785">
        <f ca="1">F7</f>
        <v>310569.59999999998</v>
      </c>
    </row>
    <row r="8" spans="1:33" ht="18" customHeight="1">
      <c r="A8" s="2473"/>
      <c r="B8" s="3418"/>
      <c r="C8" s="788"/>
      <c r="D8" s="789"/>
      <c r="E8" s="784" t="s">
        <v>1741</v>
      </c>
      <c r="F8" s="785">
        <f ca="1">INDIRECT("'数据-取费表'!ai"&amp;$G$1)</f>
        <v>0</v>
      </c>
      <c r="G8" s="1593"/>
      <c r="H8" s="2469"/>
      <c r="I8" s="3418"/>
      <c r="J8" s="788"/>
      <c r="K8" s="789"/>
      <c r="L8" s="784" t="s">
        <v>1741</v>
      </c>
      <c r="M8" s="785">
        <f ca="1">INDIRECT("'数据-取费表'!ai"&amp;$G$1)</f>
        <v>0</v>
      </c>
    </row>
    <row r="9" spans="1:33" ht="18" customHeight="1">
      <c r="A9" s="786"/>
      <c r="B9" s="3419"/>
      <c r="C9" s="788"/>
      <c r="D9" s="789"/>
      <c r="E9" s="784" t="s">
        <v>1742</v>
      </c>
      <c r="F9" s="794">
        <f ca="1">INDIRECT("'数据-取费表'!w"&amp;$G$1)</f>
        <v>0</v>
      </c>
      <c r="G9" s="1593"/>
      <c r="H9" s="2485"/>
      <c r="I9" s="3418"/>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2978</v>
      </c>
      <c r="E10" s="2478" t="s">
        <v>2465</v>
      </c>
      <c r="F10" s="2601" t="s">
        <v>3165</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86959</v>
      </c>
      <c r="D14" s="1980" t="s">
        <v>1746</v>
      </c>
      <c r="E14" s="1981"/>
      <c r="F14" s="805"/>
      <c r="G14" s="1593"/>
      <c r="H14" s="1650" t="s">
        <v>1831</v>
      </c>
      <c r="I14" s="2232" t="s">
        <v>2827</v>
      </c>
      <c r="J14" s="53">
        <f ca="1">C29</f>
        <v>145088</v>
      </c>
      <c r="K14" s="26"/>
      <c r="L14" s="801"/>
      <c r="M14" s="802"/>
    </row>
    <row r="15" spans="1:33" s="2065" customFormat="1" ht="18" customHeight="1" thickBot="1">
      <c r="A15" s="1649" t="s">
        <v>1886</v>
      </c>
      <c r="B15" s="784" t="s">
        <v>647</v>
      </c>
      <c r="C15" s="53">
        <f ca="1">ROUND(C14*F15,0)</f>
        <v>2609</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12228</v>
      </c>
      <c r="K16" s="1822" t="s">
        <v>1751</v>
      </c>
      <c r="L16" s="2466"/>
      <c r="M16" s="2471"/>
    </row>
    <row r="17" spans="1:33" s="2065" customFormat="1" ht="18" customHeight="1">
      <c r="A17" s="1649" t="s">
        <v>1888</v>
      </c>
      <c r="B17" s="784" t="s">
        <v>653</v>
      </c>
      <c r="C17" s="53">
        <f ca="1">ROUND(F17*(F43+INDIRECT("'数据-取费表'!S"&amp;$G$1))/10000,0)</f>
        <v>6211</v>
      </c>
      <c r="D17" s="784" t="s">
        <v>1752</v>
      </c>
      <c r="E17" s="784" t="s">
        <v>1753</v>
      </c>
      <c r="F17" s="56">
        <f>'数据-取费表'!B35</f>
        <v>200</v>
      </c>
      <c r="G17" s="1594"/>
      <c r="H17" s="1650" t="s">
        <v>1831</v>
      </c>
      <c r="I17" s="784" t="s">
        <v>656</v>
      </c>
      <c r="J17" s="53">
        <f ca="1">ROUND(IF(项目基本情况!B11="自然人",J5*M17,J18+J19+J20),0)</f>
        <v>12228</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1304</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97083</v>
      </c>
      <c r="D19" s="261" t="s">
        <v>1758</v>
      </c>
      <c r="E19" s="1983"/>
      <c r="F19" s="56"/>
      <c r="G19" s="1593"/>
      <c r="H19" s="1649" t="s">
        <v>1886</v>
      </c>
      <c r="I19" s="784" t="s">
        <v>1759</v>
      </c>
      <c r="J19" s="53">
        <f ca="1">IF(K19="按租金收入计税",ROUND(J5*M19,1),ROUND(C29*F33*0.7,1))</f>
        <v>12187.4</v>
      </c>
      <c r="K19" s="811" t="s">
        <v>665</v>
      </c>
      <c r="L19" s="784" t="s">
        <v>1748</v>
      </c>
      <c r="M19" s="809">
        <f>IF(K19="按租金收入计税",'数据-取费表'!B51,'数据-取费表'!B50)</f>
        <v>1.2E-2</v>
      </c>
    </row>
    <row r="20" spans="1:33" s="2065" customFormat="1" ht="18" customHeight="1">
      <c r="A20" s="1650" t="s">
        <v>1890</v>
      </c>
      <c r="B20" s="784" t="s">
        <v>666</v>
      </c>
      <c r="C20" s="53">
        <f ca="1">ROUND(C19*F20,0)</f>
        <v>1942</v>
      </c>
      <c r="D20" s="812" t="s">
        <v>1760</v>
      </c>
      <c r="E20" s="784" t="s">
        <v>1748</v>
      </c>
      <c r="F20" s="809">
        <f>'数据-取费表'!B37</f>
        <v>0.02</v>
      </c>
      <c r="G20" s="1594"/>
      <c r="H20" s="1652" t="s">
        <v>1881</v>
      </c>
      <c r="I20" s="341" t="s">
        <v>1761</v>
      </c>
      <c r="J20" s="54">
        <f ca="1">ROUND(M20*M21/10000,0)</f>
        <v>41</v>
      </c>
      <c r="K20" s="814" t="s">
        <v>1762</v>
      </c>
      <c r="L20" s="784" t="s">
        <v>1763</v>
      </c>
      <c r="M20" s="640">
        <f>'数据-取费表'!B52</f>
        <v>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103456.5</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4704</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5" t="s">
        <v>2823</v>
      </c>
      <c r="J25" s="792">
        <f ca="1">J5-J16</f>
        <v>-12228</v>
      </c>
      <c r="K25" s="2528" t="s">
        <v>1778</v>
      </c>
      <c r="L25" s="2529"/>
      <c r="M25" s="2530"/>
    </row>
    <row r="26" spans="1:33" ht="18" customHeight="1">
      <c r="A26" s="1649" t="s">
        <v>1832</v>
      </c>
      <c r="B26" s="784" t="s">
        <v>2439</v>
      </c>
      <c r="C26" s="53">
        <f ca="1">ROUND((C19+C20)*F26,0)</f>
        <v>29708</v>
      </c>
      <c r="D26" s="812" t="s">
        <v>1779</v>
      </c>
      <c r="E26" s="795" t="s">
        <v>1780</v>
      </c>
      <c r="F26" s="794">
        <f ca="1">INDIRECT("'数据-取费表'!q"&amp;$G$1)</f>
        <v>0.3</v>
      </c>
      <c r="G26" s="1593"/>
      <c r="H26" s="2482" t="s">
        <v>1781</v>
      </c>
      <c r="I26" s="2233" t="s">
        <v>2828</v>
      </c>
      <c r="J26" s="783">
        <f ca="1">IF(J5&lt;&gt;0,ROUND(J25*(1-((1+M28)/(1+M26))^M27)/(M26-M28),0),0)</f>
        <v>0</v>
      </c>
      <c r="K26" s="814" t="s">
        <v>1782</v>
      </c>
      <c r="L26" s="784" t="s">
        <v>2420</v>
      </c>
      <c r="M26" s="794">
        <f ca="1">INDIRECT("'数据-取费表'!I"&amp;$G$1)</f>
        <v>0.06</v>
      </c>
    </row>
    <row r="27" spans="1:33" ht="18" customHeight="1">
      <c r="A27" s="1649" t="s">
        <v>1833</v>
      </c>
      <c r="B27" s="784" t="s">
        <v>686</v>
      </c>
      <c r="C27" s="53">
        <f ca="1">ROUND(F21*F26,4)</f>
        <v>6.0000000000000001E-3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145088</v>
      </c>
      <c r="D29" s="2525"/>
      <c r="E29" s="2526"/>
      <c r="F29" s="2527"/>
      <c r="G29" s="1594"/>
      <c r="H29" s="823" t="s">
        <v>1788</v>
      </c>
      <c r="I29" s="824" t="s">
        <v>1789</v>
      </c>
      <c r="J29" s="825">
        <f ca="1">ROUND(J26/(1+F40)^F41,0)</f>
        <v>0</v>
      </c>
      <c r="K29" s="826" t="s">
        <v>1790</v>
      </c>
      <c r="L29" s="827"/>
      <c r="M29" s="828">
        <f ca="1">INDIRECT("'数据-取费表'!k"&amp;$G$1)</f>
        <v>310569.59999999998</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41</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41.4</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3164</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41.4</v>
      </c>
      <c r="D34" s="814" t="s">
        <v>1800</v>
      </c>
      <c r="E34" s="784" t="s">
        <v>1801</v>
      </c>
      <c r="F34" s="640">
        <f>'数据-取费表'!B52</f>
        <v>4</v>
      </c>
      <c r="G34" s="2063"/>
      <c r="H34" s="2066"/>
      <c r="I34" s="835" t="s">
        <v>1814</v>
      </c>
      <c r="J34" s="836"/>
      <c r="K34" s="2081"/>
      <c r="L34" s="2080"/>
      <c r="M34" s="2080"/>
    </row>
    <row r="35" spans="1:18" ht="18" customHeight="1">
      <c r="A35" s="815"/>
      <c r="B35" s="793"/>
      <c r="C35" s="69"/>
      <c r="D35" s="816"/>
      <c r="E35" s="784" t="s">
        <v>1802</v>
      </c>
      <c r="F35" s="785">
        <f ca="1">INDIRECT("'数据-取费表'!r"&amp;$G$1)</f>
        <v>103456.5</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5" t="s">
        <v>2823</v>
      </c>
      <c r="C39" s="792">
        <f ca="1">C5-C30</f>
        <v>-41</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0</v>
      </c>
      <c r="D40" s="814" t="s">
        <v>1808</v>
      </c>
      <c r="E40" s="784" t="s">
        <v>2420</v>
      </c>
      <c r="F40" s="794">
        <f ca="1">INDIRECT("'数据-取费表'!I"&amp;$G$1)</f>
        <v>0.06</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f ca="1">ROUND(C40*10000/F43,0)</f>
        <v>0</v>
      </c>
      <c r="D43" s="826" t="s">
        <v>1812</v>
      </c>
      <c r="E43" s="827" t="s">
        <v>1813</v>
      </c>
      <c r="F43" s="828">
        <f ca="1">INDIRECT("'数据-取费表'!k"&amp;$G$1)</f>
        <v>310569.59999999998</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0</v>
      </c>
      <c r="D46" s="2086"/>
      <c r="E46" s="2086"/>
      <c r="F46" s="2086"/>
      <c r="I46" s="2358" t="s">
        <v>2344</v>
      </c>
      <c r="J46" s="2359"/>
      <c r="K46" s="2360"/>
      <c r="L46" s="3133">
        <f ca="1">IF(OR(M47="住宅",D1="土地（套用方法）"),0,IF(L48&gt;J51,L60,J60))</f>
        <v>4190</v>
      </c>
      <c r="O46" s="2374" t="s">
        <v>2411</v>
      </c>
      <c r="P46" s="1593"/>
      <c r="Q46" s="1605"/>
      <c r="R46" s="1593"/>
    </row>
    <row r="47" spans="1:18" s="2060" customFormat="1" ht="18" customHeight="1" thickBot="1">
      <c r="A47" s="2352">
        <v>1</v>
      </c>
      <c r="B47" s="2353" t="s">
        <v>635</v>
      </c>
      <c r="C47" s="2554">
        <f ca="1">C48+C52+C54</f>
        <v>0</v>
      </c>
      <c r="D47" s="2086"/>
      <c r="E47" s="2086"/>
      <c r="F47" s="2086"/>
      <c r="I47" s="3123" t="s">
        <v>2345</v>
      </c>
      <c r="J47" s="2361" t="s">
        <v>3162</v>
      </c>
      <c r="K47" s="3130" t="s">
        <v>2350</v>
      </c>
      <c r="L47" s="3134">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2" t="s">
        <v>2346</v>
      </c>
      <c r="J48" s="2362" t="s">
        <v>2351</v>
      </c>
      <c r="K48" s="3131" t="s">
        <v>2352</v>
      </c>
      <c r="L48" s="1909">
        <f ca="1">INDIRECT("'数据-取费表'!f"&amp;$G$1)</f>
        <v>33.770000000000003</v>
      </c>
      <c r="O48" s="2378" t="s">
        <v>2380</v>
      </c>
      <c r="P48" s="2379" t="s">
        <v>2406</v>
      </c>
      <c r="Q48" s="2380">
        <f ca="1">C40+J29</f>
        <v>0</v>
      </c>
      <c r="R48" s="2379" t="s">
        <v>2381</v>
      </c>
    </row>
    <row r="49" spans="1:18" s="2060" customFormat="1" ht="18" customHeight="1" thickBot="1">
      <c r="A49" s="786"/>
      <c r="B49" s="787"/>
      <c r="C49" s="788"/>
      <c r="D49" s="789"/>
      <c r="E49" s="784" t="s">
        <v>1740</v>
      </c>
      <c r="F49" s="785">
        <f ca="1">F7</f>
        <v>310569.59999999998</v>
      </c>
      <c r="G49" s="2091"/>
      <c r="H49" s="2094"/>
      <c r="I49" s="3102" t="s">
        <v>2347</v>
      </c>
      <c r="J49" s="2363">
        <v>2020</v>
      </c>
      <c r="K49" s="3132" t="s">
        <v>2353</v>
      </c>
      <c r="L49" s="2364"/>
      <c r="O49" s="2378" t="s">
        <v>2382</v>
      </c>
      <c r="P49" s="2379" t="s">
        <v>2407</v>
      </c>
      <c r="Q49" s="2380">
        <f ca="1">J60</f>
        <v>4190</v>
      </c>
      <c r="R49" s="2379" t="s">
        <v>2383</v>
      </c>
    </row>
    <row r="50" spans="1:18" s="2060" customFormat="1" ht="18" customHeight="1" thickBot="1">
      <c r="A50" s="786"/>
      <c r="B50" s="787"/>
      <c r="C50" s="788"/>
      <c r="D50" s="789"/>
      <c r="E50" s="784" t="s">
        <v>1741</v>
      </c>
      <c r="F50" s="785">
        <f ca="1">F8</f>
        <v>0</v>
      </c>
      <c r="G50" s="2096"/>
      <c r="H50" s="2094"/>
      <c r="I50" s="3102" t="s">
        <v>2348</v>
      </c>
      <c r="J50" s="3127">
        <f>SUMPRODUCT((I63:I65=J47)*(J62:L62=J48)*(J63:L65))</f>
        <v>60</v>
      </c>
      <c r="K50" s="3132" t="s">
        <v>2354</v>
      </c>
      <c r="L50" s="2364"/>
      <c r="O50" s="2381" t="s">
        <v>2384</v>
      </c>
      <c r="P50" s="2379" t="s">
        <v>2408</v>
      </c>
      <c r="Q50" s="2380">
        <f ca="1">C29</f>
        <v>145088</v>
      </c>
      <c r="R50" s="2379" t="s">
        <v>2381</v>
      </c>
    </row>
    <row r="51" spans="1:18" s="2060" customFormat="1" ht="18" customHeight="1" thickBot="1">
      <c r="A51" s="786"/>
      <c r="B51" s="787"/>
      <c r="C51" s="788"/>
      <c r="D51" s="789"/>
      <c r="E51" s="784" t="s">
        <v>640</v>
      </c>
      <c r="F51" s="2351"/>
      <c r="H51" s="2094"/>
      <c r="I51" s="3124" t="s">
        <v>2349</v>
      </c>
      <c r="J51" s="3128">
        <f>IF(J49="",J50,J49+J50-YEAR('数据-取费表'!B2))</f>
        <v>61</v>
      </c>
      <c r="K51" s="3102" t="s">
        <v>2355</v>
      </c>
      <c r="L51" s="3135">
        <f ca="1">ROUND(-PV(INDIRECT("'数据-取费表'!h"&amp;$G$1),L48,(C39-C13*J36),0),0)</f>
        <v>-623</v>
      </c>
      <c r="O51" s="2381" t="s">
        <v>2385</v>
      </c>
      <c r="P51" s="2379" t="s">
        <v>2386</v>
      </c>
      <c r="Q51" s="2382">
        <f ca="1">J58</f>
        <v>0.45400000000000001</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5" t="s">
        <v>2422</v>
      </c>
      <c r="J52" s="2365">
        <v>8.5000000000000006E-2</v>
      </c>
      <c r="K52" s="3125"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6" t="s">
        <v>2982</v>
      </c>
      <c r="J53" s="3129">
        <f ca="1">IF(M47="住宅",IF(D1="——",MAX(J51,L48),MAX(J51,L48-'数据-取费表'!B20)),IF(D1="——",MIN(J51,L48),MIN(J51,L48-'数据-取费表'!B20)))</f>
        <v>33.770000000000003</v>
      </c>
      <c r="K53" s="3433" t="s">
        <v>2970</v>
      </c>
      <c r="L53" s="3434"/>
      <c r="O53" s="2381" t="s">
        <v>2389</v>
      </c>
      <c r="P53" s="2379" t="s">
        <v>2390</v>
      </c>
      <c r="Q53" s="2380">
        <f ca="1">J53</f>
        <v>33.770000000000003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4190</v>
      </c>
      <c r="R54" s="2383" t="s">
        <v>2393</v>
      </c>
    </row>
    <row r="55" spans="1:18" s="2060" customFormat="1" ht="18" customHeight="1" thickTop="1" thickBot="1">
      <c r="A55" s="797">
        <v>2</v>
      </c>
      <c r="B55" s="798" t="s">
        <v>644</v>
      </c>
      <c r="C55" s="799">
        <f ca="1">C13</f>
        <v>0</v>
      </c>
      <c r="D55" s="795"/>
      <c r="E55" s="795"/>
      <c r="F55" s="800"/>
      <c r="I55" s="3138" t="s">
        <v>2356</v>
      </c>
      <c r="J55" s="3077">
        <f ca="1">ROUND(IF(J47="钢混",J57/J50,1-(1-2%)*(J50-J57)/J50),3)</f>
        <v>0.45400000000000001</v>
      </c>
      <c r="K55" s="3139" t="s">
        <v>2357</v>
      </c>
      <c r="L55" s="2366"/>
      <c r="O55" s="2384" t="s">
        <v>2412</v>
      </c>
      <c r="P55" s="1593"/>
      <c r="Q55" s="1605"/>
      <c r="R55" s="1593"/>
    </row>
    <row r="56" spans="1:18" s="2060" customFormat="1" ht="42.75" customHeight="1" thickBot="1">
      <c r="A56" s="1651"/>
      <c r="B56" s="2232" t="s">
        <v>2303</v>
      </c>
      <c r="C56" s="53">
        <f ca="1">C29</f>
        <v>145088</v>
      </c>
      <c r="D56" s="2619"/>
      <c r="E56" s="784"/>
      <c r="F56" s="809"/>
      <c r="I56" s="3140" t="s">
        <v>2358</v>
      </c>
      <c r="J56" s="3150" t="s">
        <v>3163</v>
      </c>
      <c r="K56" s="3102"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41</v>
      </c>
      <c r="D57" s="26" t="s">
        <v>1751</v>
      </c>
      <c r="E57" s="2620"/>
      <c r="F57" s="56"/>
      <c r="I57" s="3141" t="s">
        <v>2359</v>
      </c>
      <c r="J57" s="3142">
        <f ca="1">IF(OR(M47="住宅",J51&lt;L48,J56="是"),"——",J51-L48)</f>
        <v>27.229999999999997</v>
      </c>
      <c r="K57" s="3102" t="s">
        <v>2364</v>
      </c>
      <c r="L57" s="1909" t="str">
        <f ca="1">IF(L48&lt;J51,"——",IF(L55="比较法",L49,IF(L55="基准地价",L50,L51)))</f>
        <v>——</v>
      </c>
      <c r="O57" s="2378" t="s">
        <v>2380</v>
      </c>
      <c r="P57" s="2379" t="s">
        <v>2410</v>
      </c>
      <c r="Q57" s="2380">
        <f ca="1">C40+J29</f>
        <v>0</v>
      </c>
      <c r="R57" s="2379" t="s">
        <v>2381</v>
      </c>
    </row>
    <row r="58" spans="1:18" s="2060" customFormat="1" ht="28.5" customHeight="1" thickBot="1">
      <c r="A58" s="1650" t="s">
        <v>1825</v>
      </c>
      <c r="B58" s="784" t="s">
        <v>656</v>
      </c>
      <c r="C58" s="53">
        <f ca="1">ROUND(IF(项目基本情况!B11="自然人",C47*F58,C59+C60+C61),1)</f>
        <v>41.4</v>
      </c>
      <c r="D58" s="2618" t="s">
        <v>657</v>
      </c>
      <c r="E58" s="2619" t="s">
        <v>690</v>
      </c>
      <c r="F58" s="810" t="str">
        <f ca="1">IF(项目基本情况!B11="企业","",IF(INDIRECT("'数据-取费表'!c"&amp;$G$1)="住宅",5%,IF(F48*F49*F50/12/(1+'数据-取费表'!C42)&gt;20000,12%,7%)))</f>
        <v/>
      </c>
      <c r="I58" s="3141" t="s">
        <v>2360</v>
      </c>
      <c r="J58" s="3078">
        <f ca="1">IF(J55&lt;0.4,0.4,J55)</f>
        <v>0.45400000000000001</v>
      </c>
      <c r="K58" s="3102"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1" t="s">
        <v>2361</v>
      </c>
      <c r="J59" s="3142">
        <f ca="1">IF(OR(M47="住宅",J51&lt;L48,J56="是"),"——",ROUND(C29*J58,0))</f>
        <v>65870</v>
      </c>
      <c r="K59" s="3102"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3" t="s">
        <v>2362</v>
      </c>
      <c r="J60" s="3144">
        <f ca="1">IF(OR(M47="住宅",J51&lt;L48,J56="是"),"0",ROUND(J59/(1+J52)^J53,0))</f>
        <v>4190</v>
      </c>
      <c r="K60" s="3145" t="s">
        <v>2367</v>
      </c>
      <c r="L60" s="3144">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41.4</v>
      </c>
      <c r="D61" s="814" t="s">
        <v>669</v>
      </c>
      <c r="E61" s="784" t="s">
        <v>670</v>
      </c>
      <c r="F61" s="640">
        <f t="shared" si="0"/>
        <v>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103456.5</v>
      </c>
      <c r="I62" s="3146" t="s">
        <v>2368</v>
      </c>
      <c r="J62" s="3147" t="s">
        <v>2369</v>
      </c>
      <c r="K62" s="3147" t="s">
        <v>2370</v>
      </c>
      <c r="L62" s="3147" t="s">
        <v>2351</v>
      </c>
      <c r="M62" s="3148" t="s">
        <v>2946</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0</v>
      </c>
      <c r="D63" s="2619" t="s">
        <v>1804</v>
      </c>
      <c r="E63" s="784" t="s">
        <v>1748</v>
      </c>
      <c r="F63" s="817">
        <f t="shared" ca="1" si="0"/>
        <v>0</v>
      </c>
      <c r="I63" s="3146" t="s">
        <v>2371</v>
      </c>
      <c r="J63" s="3147">
        <v>70</v>
      </c>
      <c r="K63" s="3147">
        <v>50</v>
      </c>
      <c r="L63" s="3147">
        <v>80</v>
      </c>
      <c r="M63" s="3149">
        <v>0.02</v>
      </c>
      <c r="O63" s="2378" t="s">
        <v>2392</v>
      </c>
      <c r="P63" s="2379" t="s">
        <v>2409</v>
      </c>
      <c r="Q63" s="2380">
        <f ca="1">Q57+Q58</f>
        <v>0</v>
      </c>
      <c r="R63" s="2383" t="s">
        <v>2393</v>
      </c>
    </row>
    <row r="64" spans="1:18" s="2060" customFormat="1" ht="16.5" thickBot="1">
      <c r="A64" s="1650" t="s">
        <v>1891</v>
      </c>
      <c r="B64" s="784" t="s">
        <v>679</v>
      </c>
      <c r="C64" s="53">
        <f ca="1">ROUND(C55*F64,1)</f>
        <v>0</v>
      </c>
      <c r="D64" s="2619" t="s">
        <v>680</v>
      </c>
      <c r="E64" s="784" t="s">
        <v>1748</v>
      </c>
      <c r="F64" s="818">
        <f t="shared" ca="1" si="0"/>
        <v>0</v>
      </c>
      <c r="I64" s="3146" t="s">
        <v>2372</v>
      </c>
      <c r="J64" s="3147">
        <v>50</v>
      </c>
      <c r="K64" s="3147">
        <v>35</v>
      </c>
      <c r="L64" s="3147">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v>
      </c>
      <c r="I65" s="3146" t="s">
        <v>2373</v>
      </c>
      <c r="J65" s="3147">
        <v>40</v>
      </c>
      <c r="K65" s="3147">
        <v>30</v>
      </c>
      <c r="L65" s="3147">
        <v>50</v>
      </c>
      <c r="M65" s="3149">
        <v>0.02</v>
      </c>
      <c r="O65" s="2375" t="s">
        <v>2376</v>
      </c>
      <c r="P65" s="2376" t="s">
        <v>2377</v>
      </c>
      <c r="Q65" s="2377" t="s">
        <v>2378</v>
      </c>
      <c r="R65" s="2376" t="s">
        <v>2379</v>
      </c>
    </row>
    <row r="66" spans="1:18" s="2060" customFormat="1" ht="24.75" thickBot="1">
      <c r="A66" s="797" t="s">
        <v>1777</v>
      </c>
      <c r="B66" s="2986" t="s">
        <v>2823</v>
      </c>
      <c r="C66" s="799">
        <f ca="1">C47-C57</f>
        <v>-41</v>
      </c>
      <c r="D66" s="2618" t="s">
        <v>700</v>
      </c>
      <c r="E66" s="2617"/>
      <c r="F66" s="820"/>
      <c r="K66" s="2087"/>
      <c r="O66" s="2378" t="s">
        <v>2380</v>
      </c>
      <c r="P66" s="2379" t="s">
        <v>2410</v>
      </c>
      <c r="Q66" s="2380">
        <f ca="1">C40+J29</f>
        <v>0</v>
      </c>
      <c r="R66" s="2379" t="s">
        <v>2381</v>
      </c>
    </row>
    <row r="67" spans="1:18" s="2060" customFormat="1" ht="20.25" thickBot="1">
      <c r="A67" s="781" t="s">
        <v>1781</v>
      </c>
      <c r="B67" s="2233" t="s">
        <v>2302</v>
      </c>
      <c r="C67" s="783">
        <f ca="1">ROUND(C66*(1-((1+F69)/(1+F67))^F68)/(F67-F69),0)</f>
        <v>0</v>
      </c>
      <c r="D67" s="814" t="s">
        <v>704</v>
      </c>
      <c r="E67" s="784" t="s">
        <v>705</v>
      </c>
      <c r="F67" s="794">
        <f ca="1">F40</f>
        <v>0.06</v>
      </c>
      <c r="K67" s="2087"/>
      <c r="O67" s="2378" t="s">
        <v>2382</v>
      </c>
      <c r="P67" s="2379" t="s">
        <v>2413</v>
      </c>
      <c r="Q67" s="2380">
        <f ca="1">L60</f>
        <v>0</v>
      </c>
      <c r="R67" s="2383" t="s">
        <v>2415</v>
      </c>
    </row>
    <row r="68" spans="1:18" ht="21.75" thickBot="1">
      <c r="A68" s="786"/>
      <c r="B68" s="787"/>
      <c r="C68" s="788"/>
      <c r="D68" s="821" t="s">
        <v>1809</v>
      </c>
      <c r="E68" s="784" t="s">
        <v>1785</v>
      </c>
      <c r="F68" s="822">
        <f ca="1">F41</f>
        <v>0</v>
      </c>
      <c r="O68" s="2381" t="s">
        <v>2384</v>
      </c>
      <c r="P68" s="2379" t="s">
        <v>2414</v>
      </c>
      <c r="Q68" s="2385">
        <f ca="1">L51</f>
        <v>-623</v>
      </c>
      <c r="R68" s="2386" t="s">
        <v>2417</v>
      </c>
    </row>
    <row r="69" spans="1:18" ht="20.25" thickBot="1">
      <c r="A69" s="790"/>
      <c r="B69" s="791"/>
      <c r="C69" s="792"/>
      <c r="D69" s="816"/>
      <c r="E69" s="784" t="s">
        <v>710</v>
      </c>
      <c r="F69" s="2351"/>
      <c r="O69" s="2381" t="s">
        <v>2385</v>
      </c>
      <c r="P69" s="2387" t="s">
        <v>2399</v>
      </c>
      <c r="Q69" s="2380">
        <f ca="1">ROUND(Q70-Q71*Q72,0)</f>
        <v>-41</v>
      </c>
      <c r="R69" s="2383"/>
    </row>
    <row r="70" spans="1:18" ht="15.75" thickBot="1">
      <c r="A70" s="823" t="s">
        <v>1788</v>
      </c>
      <c r="B70" s="824" t="s">
        <v>1811</v>
      </c>
      <c r="C70" s="825">
        <f ca="1">ROUND(C67*10000/F70,0)</f>
        <v>0</v>
      </c>
      <c r="D70" s="826" t="s">
        <v>1812</v>
      </c>
      <c r="E70" s="827" t="s">
        <v>1813</v>
      </c>
      <c r="F70" s="828">
        <f ca="1">F43</f>
        <v>310569.59999999998</v>
      </c>
      <c r="O70" s="2381" t="s">
        <v>2400</v>
      </c>
      <c r="P70" s="2387" t="s">
        <v>2401</v>
      </c>
      <c r="Q70" s="2380">
        <f ca="1">C39</f>
        <v>-41</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0</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80" zoomScaleNormal="95" zoomScaleSheetLayoutView="80" workbookViewId="0">
      <selection activeCell="L51" sqref="L51"/>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25187</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811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2435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162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2" t="s">
        <v>522</v>
      </c>
      <c r="D6" s="3363"/>
      <c r="E6" s="3362" t="s">
        <v>523</v>
      </c>
      <c r="F6" s="3363"/>
      <c r="G6" s="3362" t="s">
        <v>524</v>
      </c>
      <c r="H6" s="3363"/>
      <c r="I6" s="3362" t="s">
        <v>525</v>
      </c>
      <c r="J6" s="3363"/>
      <c r="K6" s="514" t="s">
        <v>526</v>
      </c>
      <c r="L6" s="2134"/>
      <c r="M6" s="2133"/>
      <c r="N6" s="2133"/>
      <c r="O6" s="2135"/>
      <c r="P6" s="3364" t="s">
        <v>527</v>
      </c>
      <c r="Q6" s="3365"/>
      <c r="R6" s="3350" t="s">
        <v>523</v>
      </c>
      <c r="S6" s="3351"/>
      <c r="T6" s="3350" t="s">
        <v>524</v>
      </c>
      <c r="U6" s="3351"/>
      <c r="V6" s="3370" t="s">
        <v>525</v>
      </c>
      <c r="W6" s="3370"/>
      <c r="X6" s="1568"/>
      <c r="Y6" s="3350" t="s">
        <v>527</v>
      </c>
      <c r="Z6" s="3351"/>
      <c r="AA6" s="3345" t="s">
        <v>523</v>
      </c>
      <c r="AB6" s="3346" t="s">
        <v>524</v>
      </c>
      <c r="AC6" s="3345" t="s">
        <v>525</v>
      </c>
    </row>
    <row r="7" spans="1:30" ht="20.25">
      <c r="A7" s="515"/>
      <c r="B7" s="516"/>
      <c r="C7" s="3373" t="s">
        <v>2931</v>
      </c>
      <c r="D7" s="3374"/>
      <c r="E7" s="3373" t="str">
        <f>土地案例!A3</f>
        <v>明远路北侧、古黄河路东侧</v>
      </c>
      <c r="F7" s="3374"/>
      <c r="G7" s="3373" t="str">
        <f>土地案例!A4</f>
        <v>明远路北侧、古黄河路东侧</v>
      </c>
      <c r="H7" s="3374"/>
      <c r="I7" s="3373" t="str">
        <f>土地案例!A5</f>
        <v>香港路西侧、钱江路北侧</v>
      </c>
      <c r="J7" s="3374"/>
      <c r="K7" s="514"/>
      <c r="L7" s="2134"/>
      <c r="M7" s="2133"/>
      <c r="N7" s="2133"/>
      <c r="O7" s="2135"/>
      <c r="P7" s="3366"/>
      <c r="Q7" s="3367"/>
      <c r="R7" s="3352"/>
      <c r="S7" s="3353"/>
      <c r="T7" s="3352"/>
      <c r="U7" s="3353"/>
      <c r="V7" s="3370"/>
      <c r="W7" s="3370"/>
      <c r="X7" s="1568"/>
      <c r="Y7" s="3352"/>
      <c r="Z7" s="3353"/>
      <c r="AA7" s="3346"/>
      <c r="AB7" s="3346"/>
      <c r="AC7" s="3346"/>
    </row>
    <row r="8" spans="1:30" ht="21" thickBot="1">
      <c r="A8" s="515"/>
      <c r="B8" s="516"/>
      <c r="C8" s="3375" t="s">
        <v>2935</v>
      </c>
      <c r="D8" s="3376"/>
      <c r="E8" s="3375" t="s">
        <v>2935</v>
      </c>
      <c r="F8" s="3376"/>
      <c r="G8" s="3371" t="s">
        <v>2935</v>
      </c>
      <c r="H8" s="3372"/>
      <c r="I8" s="3371" t="s">
        <v>2935</v>
      </c>
      <c r="J8" s="3372"/>
      <c r="K8" s="514" t="s">
        <v>528</v>
      </c>
      <c r="L8" s="2134"/>
      <c r="M8" s="2133"/>
      <c r="N8" s="2133"/>
      <c r="O8" s="2135"/>
      <c r="P8" s="3368"/>
      <c r="Q8" s="3369"/>
      <c r="R8" s="3352"/>
      <c r="S8" s="3353"/>
      <c r="T8" s="3354"/>
      <c r="U8" s="3355"/>
      <c r="V8" s="3370"/>
      <c r="W8" s="3370"/>
      <c r="X8" s="1568"/>
      <c r="Y8" s="3354"/>
      <c r="Z8" s="3355"/>
      <c r="AA8" s="3347"/>
      <c r="AB8" s="3347"/>
      <c r="AC8" s="3347"/>
    </row>
    <row r="9" spans="1:30" s="1220" customFormat="1" ht="21" thickBot="1">
      <c r="A9" s="2890"/>
      <c r="B9" s="2897" t="s">
        <v>529</v>
      </c>
      <c r="C9" s="2889">
        <f>'数据-取费表'!B2</f>
        <v>43487</v>
      </c>
      <c r="D9" s="520">
        <v>100</v>
      </c>
      <c r="E9" s="521" t="str">
        <f>土地案例!H3</f>
        <v>2018-06-19</v>
      </c>
      <c r="F9" s="522">
        <f>SUMIF(72:72,YEAR(E9)&amp;"-"&amp;INT((MONTH(E9)+2)/3),73:73)</f>
        <v>97</v>
      </c>
      <c r="G9" s="523" t="str">
        <f>土地案例!H4</f>
        <v>2018-06-19</v>
      </c>
      <c r="H9" s="520">
        <f>SUMIF(72:72,YEAR(G9)&amp;"-"&amp;INT((MONTH(G9)+2)/3),73:73)</f>
        <v>97</v>
      </c>
      <c r="I9" s="523" t="str">
        <f>土地案例!H5</f>
        <v>2018-06-19</v>
      </c>
      <c r="J9" s="520">
        <f>SUMIF(72:72,YEAR(I9)&amp;"-"&amp;INT((MONTH(I9)+2)/3),73:73)</f>
        <v>97</v>
      </c>
      <c r="K9" s="524"/>
      <c r="L9" s="2136"/>
      <c r="M9" s="2133"/>
      <c r="N9" s="2133"/>
      <c r="O9" s="2137"/>
      <c r="P9" s="3348" t="s">
        <v>530</v>
      </c>
      <c r="Q9" s="3357"/>
      <c r="R9" s="1569" t="s">
        <v>8</v>
      </c>
      <c r="S9" s="1570">
        <f t="shared" ref="S9:S17" si="0">F9</f>
        <v>97</v>
      </c>
      <c r="T9" s="1569" t="s">
        <v>8</v>
      </c>
      <c r="U9" s="1570">
        <f t="shared" ref="U9:U17" si="1">H9</f>
        <v>97</v>
      </c>
      <c r="V9" s="1569" t="s">
        <v>8</v>
      </c>
      <c r="W9" s="1570">
        <f t="shared" ref="W9:W17" si="2">J9</f>
        <v>97</v>
      </c>
      <c r="X9" s="1571"/>
      <c r="Y9" s="3348" t="s">
        <v>530</v>
      </c>
      <c r="Z9" s="3349"/>
      <c r="AA9" s="1572">
        <f>D9/F9</f>
        <v>1.0309278350515463</v>
      </c>
      <c r="AB9" s="1572">
        <f>D9/H9</f>
        <v>1.0309278350515463</v>
      </c>
      <c r="AC9" s="1572">
        <f>D9/J9</f>
        <v>1.0309278350515463</v>
      </c>
    </row>
    <row r="10" spans="1:30" s="1220" customFormat="1" ht="21" thickBot="1">
      <c r="A10" s="2891"/>
      <c r="B10" s="2898" t="s">
        <v>531</v>
      </c>
      <c r="C10" s="856" t="s">
        <v>532</v>
      </c>
      <c r="D10" s="520">
        <v>100</v>
      </c>
      <c r="E10" s="3472" t="s">
        <v>3166</v>
      </c>
      <c r="F10" s="522">
        <f>SUMIF(75:75,E10,76:76)-SUMIF(75:75,C10,76:76)+100</f>
        <v>100</v>
      </c>
      <c r="G10" s="3472" t="s">
        <v>3167</v>
      </c>
      <c r="H10" s="520">
        <f>SUMIF(75:75,G10,76:76)-SUMIF(75:75,C10,76:76)+100</f>
        <v>100</v>
      </c>
      <c r="I10" s="3472" t="s">
        <v>3168</v>
      </c>
      <c r="J10" s="520">
        <f>SUMIF(75:75,I10,76:76)-SUMIF(75:75,C10,76:76)+100</f>
        <v>100</v>
      </c>
      <c r="K10" s="524"/>
      <c r="L10" s="2136"/>
      <c r="M10" s="2133"/>
      <c r="N10" s="2133"/>
      <c r="O10" s="2137"/>
      <c r="P10" s="3348" t="s">
        <v>533</v>
      </c>
      <c r="Q10" s="3349"/>
      <c r="R10" s="1569" t="s">
        <v>8</v>
      </c>
      <c r="S10" s="1570">
        <f t="shared" si="0"/>
        <v>100</v>
      </c>
      <c r="T10" s="1569" t="s">
        <v>8</v>
      </c>
      <c r="U10" s="1570">
        <f t="shared" si="1"/>
        <v>100</v>
      </c>
      <c r="V10" s="1569" t="s">
        <v>8</v>
      </c>
      <c r="W10" s="1570">
        <f t="shared" si="2"/>
        <v>100</v>
      </c>
      <c r="X10" s="1571"/>
      <c r="Y10" s="3348" t="s">
        <v>533</v>
      </c>
      <c r="Z10" s="3349"/>
      <c r="AA10" s="1572">
        <f t="shared" ref="AA10:AA47" si="3">D10/F10</f>
        <v>1</v>
      </c>
      <c r="AB10" s="1572">
        <f t="shared" ref="AB10:AB47" si="4">D10/H10</f>
        <v>1</v>
      </c>
      <c r="AC10" s="1572">
        <f t="shared" ref="AC10:AC47" si="5">D10/J10</f>
        <v>1</v>
      </c>
    </row>
    <row r="11" spans="1:30" s="1220" customFormat="1" ht="20.25">
      <c r="A11" s="2892"/>
      <c r="B11" s="2899" t="s">
        <v>2757</v>
      </c>
      <c r="C11" s="3473" t="s">
        <v>3169</v>
      </c>
      <c r="D11" s="254">
        <v>100</v>
      </c>
      <c r="E11" s="3474" t="s">
        <v>3169</v>
      </c>
      <c r="F11" s="254">
        <f>SUMIF(77:77,E11,78:78)-SUMIF(77:77,C11,78:78)+100</f>
        <v>100</v>
      </c>
      <c r="G11" s="3474" t="s">
        <v>3169</v>
      </c>
      <c r="H11" s="254">
        <f>SUMIF(77:77,G11,78:78)-SUMIF(77:77,C11,78:78)+100</f>
        <v>100</v>
      </c>
      <c r="I11" s="3474" t="s">
        <v>3169</v>
      </c>
      <c r="J11" s="254">
        <f>SUMIF(77:77,I11,78:78)-SUMIF(77:77,C11,78:78)+100</f>
        <v>100</v>
      </c>
      <c r="K11" s="524"/>
      <c r="L11" s="2136"/>
      <c r="M11" s="2133"/>
      <c r="N11" s="2133"/>
      <c r="O11" s="2138"/>
      <c r="P11" s="3356" t="s">
        <v>535</v>
      </c>
      <c r="Q11" s="1151" t="str">
        <f t="shared" ref="Q11:Q17" si="6">B11</f>
        <v>用途</v>
      </c>
      <c r="R11" s="1569" t="s">
        <v>8</v>
      </c>
      <c r="S11" s="1570">
        <f t="shared" si="0"/>
        <v>100</v>
      </c>
      <c r="T11" s="1569" t="s">
        <v>8</v>
      </c>
      <c r="U11" s="1570">
        <f t="shared" si="1"/>
        <v>100</v>
      </c>
      <c r="V11" s="1569" t="s">
        <v>8</v>
      </c>
      <c r="W11" s="1570">
        <f t="shared" si="2"/>
        <v>100</v>
      </c>
      <c r="X11" s="1571"/>
      <c r="Y11" s="3313" t="s">
        <v>536</v>
      </c>
      <c r="Z11" s="1150" t="str">
        <f t="shared" ref="Z11:Z17" si="7">Q11</f>
        <v>用途</v>
      </c>
      <c r="AA11" s="1572">
        <f t="shared" si="3"/>
        <v>1</v>
      </c>
      <c r="AB11" s="1572">
        <f t="shared" si="4"/>
        <v>1</v>
      </c>
      <c r="AC11" s="1572">
        <f t="shared" si="5"/>
        <v>1</v>
      </c>
    </row>
    <row r="12" spans="1:30" s="1338" customFormat="1" ht="27">
      <c r="A12" s="2893"/>
      <c r="B12" s="2898" t="s">
        <v>2758</v>
      </c>
      <c r="C12" s="910">
        <f>项目基本情况!E19</f>
        <v>33.770000000000003</v>
      </c>
      <c r="D12" s="255">
        <v>100</v>
      </c>
      <c r="E12" s="529" t="s">
        <v>3170</v>
      </c>
      <c r="F12" s="255">
        <f>ROUND(100/'数据-取费表'!G16,0)</f>
        <v>106</v>
      </c>
      <c r="G12" s="530" t="s">
        <v>3171</v>
      </c>
      <c r="H12" s="255">
        <f>ROUND(100/'数据-取费表'!G16,0)</f>
        <v>106</v>
      </c>
      <c r="I12" s="530" t="s">
        <v>3171</v>
      </c>
      <c r="J12" s="255">
        <f>ROUND(100/'数据-取费表'!G16,0)</f>
        <v>106</v>
      </c>
      <c r="K12" s="531"/>
      <c r="L12" s="2139"/>
      <c r="M12" s="2133"/>
      <c r="N12" s="2133"/>
      <c r="O12" s="2140"/>
      <c r="P12" s="3356"/>
      <c r="Q12" s="1151" t="str">
        <f t="shared" si="6"/>
        <v>土地使用年限（年）</v>
      </c>
      <c r="R12" s="1569" t="s">
        <v>8</v>
      </c>
      <c r="S12" s="1570">
        <f t="shared" si="0"/>
        <v>106</v>
      </c>
      <c r="T12" s="1569" t="s">
        <v>8</v>
      </c>
      <c r="U12" s="1570">
        <f t="shared" si="1"/>
        <v>106</v>
      </c>
      <c r="V12" s="1569" t="s">
        <v>8</v>
      </c>
      <c r="W12" s="1570">
        <f t="shared" si="2"/>
        <v>106</v>
      </c>
      <c r="X12" s="1571"/>
      <c r="Y12" s="3313"/>
      <c r="Z12" s="1150" t="str">
        <f t="shared" si="7"/>
        <v>土地使用年限（年）</v>
      </c>
      <c r="AA12" s="1572">
        <f t="shared" si="3"/>
        <v>0.94339622641509435</v>
      </c>
      <c r="AB12" s="1572">
        <f t="shared" si="4"/>
        <v>0.94339622641509435</v>
      </c>
      <c r="AC12" s="1572">
        <f t="shared" si="5"/>
        <v>0.94339622641509435</v>
      </c>
    </row>
    <row r="13" spans="1:30" ht="20.25">
      <c r="A13" s="2894"/>
      <c r="B13" s="2898" t="s">
        <v>2759</v>
      </c>
      <c r="C13" s="534">
        <f>'数据-汇总表'!I6</f>
        <v>3</v>
      </c>
      <c r="D13" s="255">
        <v>100</v>
      </c>
      <c r="E13" s="533">
        <v>1.2</v>
      </c>
      <c r="F13" s="255">
        <f>LOOKUP(E13,82:82,83:83)-LOOKUP(C13,82:82,83:83)+100</f>
        <v>104</v>
      </c>
      <c r="G13" s="534">
        <v>1.2</v>
      </c>
      <c r="H13" s="255">
        <f>LOOKUP(G13,82:82,83:83)-LOOKUP(C13,82:82,83:83)+100</f>
        <v>104</v>
      </c>
      <c r="I13" s="533">
        <v>1.8</v>
      </c>
      <c r="J13" s="255">
        <f>LOOKUP(I13,82:82,83:83)-LOOKUP(C13,82:82,83:83)+100</f>
        <v>104</v>
      </c>
      <c r="K13" s="535">
        <v>2</v>
      </c>
      <c r="L13" s="2141"/>
      <c r="M13" s="2133"/>
      <c r="N13" s="2133"/>
      <c r="O13" s="2142"/>
      <c r="P13" s="3356"/>
      <c r="Q13" s="1151" t="str">
        <f t="shared" si="6"/>
        <v>容积率</v>
      </c>
      <c r="R13" s="1569" t="s">
        <v>8</v>
      </c>
      <c r="S13" s="1570">
        <f t="shared" si="0"/>
        <v>104</v>
      </c>
      <c r="T13" s="1569" t="s">
        <v>8</v>
      </c>
      <c r="U13" s="1570">
        <f t="shared" si="1"/>
        <v>104</v>
      </c>
      <c r="V13" s="1569" t="s">
        <v>8</v>
      </c>
      <c r="W13" s="1570">
        <f t="shared" si="2"/>
        <v>104</v>
      </c>
      <c r="X13" s="1571"/>
      <c r="Y13" s="3313"/>
      <c r="Z13" s="1150" t="str">
        <f t="shared" si="7"/>
        <v>容积率</v>
      </c>
      <c r="AA13" s="1572">
        <f t="shared" si="3"/>
        <v>0.96153846153846156</v>
      </c>
      <c r="AB13" s="1572">
        <f t="shared" si="4"/>
        <v>0.96153846153846156</v>
      </c>
      <c r="AC13" s="1572">
        <f t="shared" si="5"/>
        <v>0.96153846153846156</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6"/>
      <c r="Q14" s="1151" t="str">
        <f t="shared" si="6"/>
        <v>配建</v>
      </c>
      <c r="R14" s="1569" t="s">
        <v>8</v>
      </c>
      <c r="S14" s="1570">
        <f t="shared" si="0"/>
        <v>100</v>
      </c>
      <c r="T14" s="1569" t="s">
        <v>8</v>
      </c>
      <c r="U14" s="1570">
        <f t="shared" si="1"/>
        <v>100</v>
      </c>
      <c r="V14" s="1569" t="s">
        <v>8</v>
      </c>
      <c r="W14" s="1570">
        <f t="shared" si="2"/>
        <v>100</v>
      </c>
      <c r="X14" s="1571"/>
      <c r="Y14" s="3313"/>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6"/>
      <c r="Q15" s="1151">
        <f t="shared" si="6"/>
        <v>111</v>
      </c>
      <c r="R15" s="1569" t="s">
        <v>8</v>
      </c>
      <c r="S15" s="1570">
        <f t="shared" si="0"/>
        <v>100</v>
      </c>
      <c r="T15" s="1569" t="s">
        <v>8</v>
      </c>
      <c r="U15" s="1570">
        <f t="shared" si="1"/>
        <v>100</v>
      </c>
      <c r="V15" s="1569" t="s">
        <v>8</v>
      </c>
      <c r="W15" s="1570">
        <f t="shared" si="2"/>
        <v>100</v>
      </c>
      <c r="X15" s="1571"/>
      <c r="Y15" s="3313"/>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6"/>
      <c r="Q16" s="1151">
        <f t="shared" si="6"/>
        <v>111</v>
      </c>
      <c r="R16" s="1569" t="s">
        <v>8</v>
      </c>
      <c r="S16" s="1570">
        <f t="shared" si="0"/>
        <v>100</v>
      </c>
      <c r="T16" s="1569" t="s">
        <v>8</v>
      </c>
      <c r="U16" s="1570">
        <f t="shared" si="1"/>
        <v>100</v>
      </c>
      <c r="V16" s="1569" t="s">
        <v>8</v>
      </c>
      <c r="W16" s="1570">
        <f t="shared" si="2"/>
        <v>100</v>
      </c>
      <c r="X16" s="1571"/>
      <c r="Y16" s="3313"/>
      <c r="Z16" s="1150">
        <f t="shared" si="7"/>
        <v>111</v>
      </c>
      <c r="AA16" s="1572">
        <f>D16/F16</f>
        <v>1</v>
      </c>
      <c r="AB16" s="1572">
        <f>D16/H16</f>
        <v>1</v>
      </c>
      <c r="AC16" s="1572">
        <f>D16/J16</f>
        <v>1</v>
      </c>
    </row>
    <row r="17" spans="1:29" ht="99.75" hidden="1">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58" t="s">
        <v>540</v>
      </c>
      <c r="Q17" s="1573" t="str">
        <f t="shared" si="6"/>
        <v>居住社区成熟度</v>
      </c>
      <c r="R17" s="1574" t="s">
        <v>8</v>
      </c>
      <c r="S17" s="1575">
        <f t="shared" si="0"/>
        <v>100</v>
      </c>
      <c r="T17" s="1574" t="s">
        <v>8</v>
      </c>
      <c r="U17" s="1575">
        <f t="shared" si="1"/>
        <v>100</v>
      </c>
      <c r="V17" s="1574" t="s">
        <v>8</v>
      </c>
      <c r="W17" s="1575">
        <f t="shared" si="2"/>
        <v>100</v>
      </c>
      <c r="X17" s="1568"/>
      <c r="Y17" s="3358"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3"/>
      <c r="M18" s="2133"/>
      <c r="N18" s="2133"/>
      <c r="O18" s="2142"/>
      <c r="P18" s="3359"/>
      <c r="Q18" s="1573"/>
      <c r="R18" s="1574"/>
      <c r="S18" s="1575"/>
      <c r="T18" s="1574"/>
      <c r="U18" s="1575"/>
      <c r="V18" s="1574"/>
      <c r="W18" s="1575"/>
      <c r="X18" s="1568"/>
      <c r="Y18" s="3359"/>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59"/>
      <c r="Q19" s="1573" t="str">
        <f>B19</f>
        <v>商业繁华度</v>
      </c>
      <c r="R19" s="1574" t="s">
        <v>8</v>
      </c>
      <c r="S19" s="1575">
        <f>F19</f>
        <v>100</v>
      </c>
      <c r="T19" s="1574" t="s">
        <v>8</v>
      </c>
      <c r="U19" s="1575">
        <f>H19</f>
        <v>100</v>
      </c>
      <c r="V19" s="1574" t="s">
        <v>8</v>
      </c>
      <c r="W19" s="1575">
        <f>J19</f>
        <v>100</v>
      </c>
      <c r="X19" s="1568"/>
      <c r="Y19" s="3359"/>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359"/>
      <c r="Q20" s="1573"/>
      <c r="R20" s="1574"/>
      <c r="S20" s="1575"/>
      <c r="T20" s="1574"/>
      <c r="U20" s="1575"/>
      <c r="V20" s="1574"/>
      <c r="W20" s="1575"/>
      <c r="X20" s="1568"/>
      <c r="Y20" s="335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105</v>
      </c>
      <c r="K21" s="535">
        <v>5</v>
      </c>
      <c r="L21" s="2143"/>
      <c r="M21" s="2133"/>
      <c r="N21" s="2133"/>
      <c r="O21" s="2142"/>
      <c r="P21" s="3359"/>
      <c r="Q21" s="1573" t="str">
        <f>B21</f>
        <v>办公集聚程度</v>
      </c>
      <c r="R21" s="1574" t="s">
        <v>8</v>
      </c>
      <c r="S21" s="1575">
        <f>F21</f>
        <v>100</v>
      </c>
      <c r="T21" s="1574" t="s">
        <v>8</v>
      </c>
      <c r="U21" s="1575">
        <f>H21</f>
        <v>100</v>
      </c>
      <c r="V21" s="1574" t="s">
        <v>8</v>
      </c>
      <c r="W21" s="1575">
        <f>J21</f>
        <v>105</v>
      </c>
      <c r="X21" s="1568"/>
      <c r="Y21" s="3359"/>
      <c r="Z21" s="1576" t="str">
        <f>Q21</f>
        <v>办公集聚程度</v>
      </c>
      <c r="AA21" s="1577">
        <f t="shared" si="3"/>
        <v>1</v>
      </c>
      <c r="AB21" s="1577">
        <f t="shared" si="4"/>
        <v>1</v>
      </c>
      <c r="AC21" s="1577">
        <f t="shared" si="5"/>
        <v>0.95238095238095233</v>
      </c>
    </row>
    <row r="22" spans="1:29" ht="20.25">
      <c r="A22" s="532"/>
      <c r="B22" s="566"/>
      <c r="C22" s="3476" t="s">
        <v>3173</v>
      </c>
      <c r="D22" s="557"/>
      <c r="E22" s="3475" t="s">
        <v>3173</v>
      </c>
      <c r="F22" s="555"/>
      <c r="G22" s="3477" t="s">
        <v>3173</v>
      </c>
      <c r="H22" s="555"/>
      <c r="I22" s="3475" t="s">
        <v>3172</v>
      </c>
      <c r="J22" s="555"/>
      <c r="K22" s="531"/>
      <c r="L22" s="2143"/>
      <c r="M22" s="2133"/>
      <c r="N22" s="2133"/>
      <c r="O22" s="2142"/>
      <c r="P22" s="3359"/>
      <c r="Q22" s="1573"/>
      <c r="R22" s="1574"/>
      <c r="S22" s="1575"/>
      <c r="T22" s="1574"/>
      <c r="U22" s="1575"/>
      <c r="V22" s="1574"/>
      <c r="W22" s="1575"/>
      <c r="X22" s="1568"/>
      <c r="Y22" s="335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3"/>
      <c r="M23" s="2133"/>
      <c r="N23" s="2133"/>
      <c r="O23" s="2142"/>
      <c r="P23" s="3359"/>
      <c r="Q23" s="1573" t="str">
        <f>B23</f>
        <v>交通便捷度</v>
      </c>
      <c r="R23" s="1574" t="s">
        <v>8</v>
      </c>
      <c r="S23" s="1575">
        <f>F23</f>
        <v>100</v>
      </c>
      <c r="T23" s="1574" t="s">
        <v>8</v>
      </c>
      <c r="U23" s="1575">
        <f>H23</f>
        <v>100</v>
      </c>
      <c r="V23" s="1574" t="s">
        <v>8</v>
      </c>
      <c r="W23" s="1575">
        <f>J23</f>
        <v>103</v>
      </c>
      <c r="X23" s="1568"/>
      <c r="Y23" s="3359"/>
      <c r="Z23" s="1576" t="str">
        <f>Q23</f>
        <v>交通便捷度</v>
      </c>
      <c r="AA23" s="1577">
        <f t="shared" si="3"/>
        <v>1</v>
      </c>
      <c r="AB23" s="1577">
        <f t="shared" si="4"/>
        <v>1</v>
      </c>
      <c r="AC23" s="1577">
        <f t="shared" si="5"/>
        <v>0.970873786407767</v>
      </c>
    </row>
    <row r="24" spans="1:29" ht="20.25">
      <c r="A24" s="532"/>
      <c r="B24" s="578"/>
      <c r="C24" s="3476" t="s">
        <v>3188</v>
      </c>
      <c r="D24" s="557"/>
      <c r="E24" s="3475" t="s">
        <v>3173</v>
      </c>
      <c r="F24" s="555"/>
      <c r="G24" s="3477" t="s">
        <v>3173</v>
      </c>
      <c r="H24" s="555"/>
      <c r="I24" s="3475" t="s">
        <v>3172</v>
      </c>
      <c r="J24" s="555"/>
      <c r="K24" s="531"/>
      <c r="L24" s="2143"/>
      <c r="M24" s="2133"/>
      <c r="N24" s="2133"/>
      <c r="O24" s="2142"/>
      <c r="P24" s="3359"/>
      <c r="Q24" s="1573"/>
      <c r="R24" s="1574"/>
      <c r="S24" s="1575"/>
      <c r="T24" s="1574"/>
      <c r="U24" s="1575"/>
      <c r="V24" s="1574"/>
      <c r="W24" s="1575"/>
      <c r="X24" s="1568"/>
      <c r="Y24" s="335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59"/>
      <c r="Q25" s="1573" t="str">
        <f t="shared" ref="Q25:Q39" si="8">B25</f>
        <v>区域土地利用方向</v>
      </c>
      <c r="R25" s="1574" t="s">
        <v>8</v>
      </c>
      <c r="S25" s="1575">
        <f>F25</f>
        <v>100</v>
      </c>
      <c r="T25" s="1574" t="s">
        <v>8</v>
      </c>
      <c r="U25" s="1575">
        <f>H25</f>
        <v>100</v>
      </c>
      <c r="V25" s="1574" t="s">
        <v>8</v>
      </c>
      <c r="W25" s="1575">
        <f>J25</f>
        <v>100</v>
      </c>
      <c r="X25" s="1568"/>
      <c r="Y25" s="3359"/>
      <c r="Z25" s="1576" t="str">
        <f>Q25</f>
        <v>区域土地利用方向</v>
      </c>
      <c r="AA25" s="1577">
        <f t="shared" si="3"/>
        <v>1</v>
      </c>
      <c r="AB25" s="1577">
        <f t="shared" si="4"/>
        <v>1</v>
      </c>
      <c r="AC25" s="1577">
        <f t="shared" si="5"/>
        <v>1</v>
      </c>
    </row>
    <row r="26" spans="1:29" ht="20.25">
      <c r="A26" s="515"/>
      <c r="B26" s="1007"/>
      <c r="C26" s="3476" t="s">
        <v>3172</v>
      </c>
      <c r="D26" s="557"/>
      <c r="E26" s="3475" t="s">
        <v>3174</v>
      </c>
      <c r="F26" s="555"/>
      <c r="G26" s="3477" t="s">
        <v>3172</v>
      </c>
      <c r="H26" s="555"/>
      <c r="I26" s="3475" t="s">
        <v>3172</v>
      </c>
      <c r="J26" s="555"/>
      <c r="K26" s="531"/>
      <c r="L26" s="2143"/>
      <c r="M26" s="2133"/>
      <c r="N26" s="2133"/>
      <c r="O26" s="2142"/>
      <c r="P26" s="3359"/>
      <c r="Q26" s="1573"/>
      <c r="R26" s="1574"/>
      <c r="S26" s="1575"/>
      <c r="T26" s="1574"/>
      <c r="U26" s="1575"/>
      <c r="V26" s="1574"/>
      <c r="W26" s="1575"/>
      <c r="X26" s="1568"/>
      <c r="Y26" s="335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59"/>
      <c r="Q27" s="1573" t="str">
        <f t="shared" si="8"/>
        <v>自然及人文环境状况</v>
      </c>
      <c r="R27" s="1574" t="s">
        <v>8</v>
      </c>
      <c r="S27" s="1575">
        <f>F27</f>
        <v>100</v>
      </c>
      <c r="T27" s="1574" t="s">
        <v>8</v>
      </c>
      <c r="U27" s="1575">
        <f>H27</f>
        <v>100</v>
      </c>
      <c r="V27" s="1574" t="s">
        <v>8</v>
      </c>
      <c r="W27" s="1575">
        <f>J27</f>
        <v>100</v>
      </c>
      <c r="X27" s="1568"/>
      <c r="Y27" s="3359"/>
      <c r="Z27" s="1576" t="str">
        <f>Q27</f>
        <v>自然及人文环境状况</v>
      </c>
      <c r="AA27" s="1577">
        <f t="shared" si="3"/>
        <v>1</v>
      </c>
      <c r="AB27" s="1577">
        <f t="shared" si="4"/>
        <v>1</v>
      </c>
      <c r="AC27" s="1577">
        <f t="shared" si="5"/>
        <v>1</v>
      </c>
    </row>
    <row r="28" spans="1:29" ht="20.25">
      <c r="A28" s="515"/>
      <c r="B28" s="566"/>
      <c r="C28" s="3476" t="s">
        <v>3172</v>
      </c>
      <c r="D28" s="557"/>
      <c r="E28" s="3478" t="s">
        <v>3172</v>
      </c>
      <c r="F28" s="555"/>
      <c r="G28" s="3476" t="s">
        <v>3172</v>
      </c>
      <c r="H28" s="555"/>
      <c r="I28" s="3478" t="s">
        <v>3175</v>
      </c>
      <c r="J28" s="555"/>
      <c r="K28" s="531"/>
      <c r="L28" s="2143"/>
      <c r="M28" s="2133"/>
      <c r="N28" s="2133"/>
      <c r="O28" s="2142"/>
      <c r="P28" s="3359"/>
      <c r="Q28" s="1573"/>
      <c r="R28" s="1574"/>
      <c r="S28" s="1575"/>
      <c r="T28" s="1574"/>
      <c r="U28" s="1575"/>
      <c r="V28" s="1574"/>
      <c r="W28" s="1575"/>
      <c r="X28" s="1568"/>
      <c r="Y28" s="3359"/>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59"/>
      <c r="Q29" s="1151" t="str">
        <f t="shared" si="8"/>
        <v>公共配套设施</v>
      </c>
      <c r="R29" s="1569" t="s">
        <v>8</v>
      </c>
      <c r="S29" s="1570">
        <f>F29</f>
        <v>100</v>
      </c>
      <c r="T29" s="1569" t="s">
        <v>8</v>
      </c>
      <c r="U29" s="1570">
        <f>H29</f>
        <v>100</v>
      </c>
      <c r="V29" s="1569" t="s">
        <v>8</v>
      </c>
      <c r="W29" s="1570">
        <f>J29</f>
        <v>100</v>
      </c>
      <c r="X29" s="1571"/>
      <c r="Y29" s="3359"/>
      <c r="Z29" s="1150" t="str">
        <f>Q29</f>
        <v>公共配套设施</v>
      </c>
      <c r="AA29" s="1577">
        <f>D29/F29</f>
        <v>1</v>
      </c>
      <c r="AB29" s="1577">
        <f>D29/H29</f>
        <v>1</v>
      </c>
      <c r="AC29" s="1577">
        <f>D29/J29</f>
        <v>1</v>
      </c>
    </row>
    <row r="30" spans="1:29" s="1220" customFormat="1" ht="20.25">
      <c r="A30" s="577"/>
      <c r="B30" s="566"/>
      <c r="C30" s="3479" t="s">
        <v>3172</v>
      </c>
      <c r="D30" s="557"/>
      <c r="E30" s="3478" t="s">
        <v>3172</v>
      </c>
      <c r="F30" s="555"/>
      <c r="G30" s="3476" t="s">
        <v>3174</v>
      </c>
      <c r="H30" s="555"/>
      <c r="I30" s="3478" t="s">
        <v>3172</v>
      </c>
      <c r="J30" s="555"/>
      <c r="K30" s="531"/>
      <c r="L30" s="2136"/>
      <c r="M30" s="2133"/>
      <c r="N30" s="2133"/>
      <c r="O30" s="2138"/>
      <c r="P30" s="3359"/>
      <c r="Q30" s="1151"/>
      <c r="R30" s="1569"/>
      <c r="S30" s="1570"/>
      <c r="T30" s="1569"/>
      <c r="U30" s="1570"/>
      <c r="V30" s="1569"/>
      <c r="W30" s="1570"/>
      <c r="X30" s="1571"/>
      <c r="Y30" s="3359"/>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59"/>
      <c r="Q31" s="2558" t="str">
        <f t="shared" ref="Q31" si="9">B31</f>
        <v>基础设施水平</v>
      </c>
      <c r="R31" s="1569" t="s">
        <v>8</v>
      </c>
      <c r="S31" s="1570">
        <f>F31</f>
        <v>100</v>
      </c>
      <c r="T31" s="1569" t="s">
        <v>8</v>
      </c>
      <c r="U31" s="1570">
        <f>H31</f>
        <v>100</v>
      </c>
      <c r="V31" s="1569" t="s">
        <v>8</v>
      </c>
      <c r="W31" s="1570">
        <f>J31</f>
        <v>100</v>
      </c>
      <c r="X31" s="1571"/>
      <c r="Y31" s="3359"/>
      <c r="Z31" s="2555" t="str">
        <f>Q31</f>
        <v>基础设施水平</v>
      </c>
      <c r="AA31" s="1577">
        <f>D31/F31</f>
        <v>1</v>
      </c>
      <c r="AB31" s="1577">
        <f>D31/H31</f>
        <v>1</v>
      </c>
      <c r="AC31" s="1577">
        <f>D31/J31</f>
        <v>1</v>
      </c>
    </row>
    <row r="32" spans="1:29" s="1220" customFormat="1" ht="20.25">
      <c r="A32" s="577"/>
      <c r="B32" s="566"/>
      <c r="C32" s="3479" t="s">
        <v>3176</v>
      </c>
      <c r="D32" s="557"/>
      <c r="E32" s="3480" t="s">
        <v>3176</v>
      </c>
      <c r="F32" s="555"/>
      <c r="G32" s="3479" t="s">
        <v>3176</v>
      </c>
      <c r="H32" s="555"/>
      <c r="I32" s="3479" t="s">
        <v>3176</v>
      </c>
      <c r="J32" s="555"/>
      <c r="K32" s="531"/>
      <c r="L32" s="2136"/>
      <c r="M32" s="2133"/>
      <c r="N32" s="2133"/>
      <c r="O32" s="2138"/>
      <c r="P32" s="3359"/>
      <c r="Q32" s="2558"/>
      <c r="R32" s="1569"/>
      <c r="S32" s="1570"/>
      <c r="T32" s="1569"/>
      <c r="U32" s="1570"/>
      <c r="V32" s="1569"/>
      <c r="W32" s="1570"/>
      <c r="X32" s="1571"/>
      <c r="Y32" s="3359"/>
      <c r="Z32" s="2555"/>
      <c r="AA32" s="1577">
        <v>1</v>
      </c>
      <c r="AB32" s="1577">
        <v>1</v>
      </c>
      <c r="AC32" s="1577">
        <v>1</v>
      </c>
    </row>
    <row r="33" spans="1:29" ht="20.25">
      <c r="A33" s="532"/>
      <c r="B33" s="566" t="s">
        <v>547</v>
      </c>
      <c r="C33" s="3481" t="s">
        <v>3178</v>
      </c>
      <c r="D33" s="575">
        <v>100</v>
      </c>
      <c r="E33" s="3482" t="s">
        <v>3179</v>
      </c>
      <c r="F33" s="540">
        <f>SUMIF(106:106,E33,107:107)-SUMIF(106:106,C33,107:107)+100</f>
        <v>100</v>
      </c>
      <c r="G33" s="3481" t="s">
        <v>3179</v>
      </c>
      <c r="H33" s="540">
        <f>SUMIF(106:106,G33,107:107)-SUMIF(106:106,C33,107:107)+100</f>
        <v>100</v>
      </c>
      <c r="I33" s="3481" t="s">
        <v>3177</v>
      </c>
      <c r="J33" s="540">
        <f>SUMIF(106:106,I33,107:107)-SUMIF(106:106,C33,107:107)+100</f>
        <v>100</v>
      </c>
      <c r="K33" s="535">
        <v>2</v>
      </c>
      <c r="L33" s="2143"/>
      <c r="M33" s="2133"/>
      <c r="N33" s="2133"/>
      <c r="O33" s="2142"/>
      <c r="P33" s="335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5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59"/>
      <c r="Q34" s="1573" t="str">
        <f t="shared" si="8"/>
        <v>毗邻道路的类型与等级</v>
      </c>
      <c r="R34" s="1574" t="s">
        <v>8</v>
      </c>
      <c r="S34" s="1575">
        <f t="shared" si="10"/>
        <v>100</v>
      </c>
      <c r="T34" s="1574" t="s">
        <v>8</v>
      </c>
      <c r="U34" s="1575">
        <f t="shared" si="11"/>
        <v>100</v>
      </c>
      <c r="V34" s="1574" t="s">
        <v>8</v>
      </c>
      <c r="W34" s="1575">
        <f t="shared" si="12"/>
        <v>100</v>
      </c>
      <c r="X34" s="1568"/>
      <c r="Y34" s="335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59"/>
      <c r="Q35" s="1573"/>
      <c r="R35" s="1574"/>
      <c r="S35" s="1575"/>
      <c r="T35" s="1574"/>
      <c r="U35" s="1575"/>
      <c r="V35" s="1574"/>
      <c r="W35" s="1575"/>
      <c r="X35" s="1568"/>
      <c r="Y35" s="335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59"/>
      <c r="Q36" s="1573" t="str">
        <f t="shared" si="8"/>
        <v>土地级别</v>
      </c>
      <c r="R36" s="1574" t="s">
        <v>8</v>
      </c>
      <c r="S36" s="1575">
        <f t="shared" si="10"/>
        <v>100</v>
      </c>
      <c r="T36" s="1574" t="s">
        <v>8</v>
      </c>
      <c r="U36" s="1575">
        <f t="shared" si="11"/>
        <v>100</v>
      </c>
      <c r="V36" s="1574" t="s">
        <v>8</v>
      </c>
      <c r="W36" s="1575">
        <f t="shared" si="12"/>
        <v>100</v>
      </c>
      <c r="X36" s="1568"/>
      <c r="Y36" s="335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59"/>
      <c r="Q37" s="1573">
        <f t="shared" si="8"/>
        <v>111</v>
      </c>
      <c r="R37" s="1574" t="s">
        <v>8</v>
      </c>
      <c r="S37" s="1575">
        <f t="shared" si="10"/>
        <v>100</v>
      </c>
      <c r="T37" s="1574" t="s">
        <v>8</v>
      </c>
      <c r="U37" s="1575">
        <f t="shared" si="11"/>
        <v>100</v>
      </c>
      <c r="V37" s="1574" t="s">
        <v>8</v>
      </c>
      <c r="W37" s="1575">
        <f t="shared" si="12"/>
        <v>100</v>
      </c>
      <c r="X37" s="1568"/>
      <c r="Y37" s="335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0" t="s">
        <v>550</v>
      </c>
      <c r="Q38" s="1573">
        <f t="shared" si="8"/>
        <v>111</v>
      </c>
      <c r="R38" s="1574" t="s">
        <v>8</v>
      </c>
      <c r="S38" s="1575">
        <f t="shared" si="10"/>
        <v>100</v>
      </c>
      <c r="T38" s="1574" t="s">
        <v>8</v>
      </c>
      <c r="U38" s="1575">
        <f t="shared" si="11"/>
        <v>100</v>
      </c>
      <c r="V38" s="1574" t="s">
        <v>8</v>
      </c>
      <c r="W38" s="1575">
        <f t="shared" si="12"/>
        <v>100</v>
      </c>
      <c r="X38" s="1568"/>
      <c r="Y38" s="336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1"/>
      <c r="Q39" s="1573">
        <f t="shared" si="8"/>
        <v>111</v>
      </c>
      <c r="R39" s="1578" t="s">
        <v>8</v>
      </c>
      <c r="S39" s="1579">
        <f t="shared" si="10"/>
        <v>100</v>
      </c>
      <c r="T39" s="1578" t="s">
        <v>8</v>
      </c>
      <c r="U39" s="1579">
        <f t="shared" si="11"/>
        <v>100</v>
      </c>
      <c r="V39" s="1578" t="s">
        <v>8</v>
      </c>
      <c r="W39" s="1579">
        <f t="shared" si="12"/>
        <v>100</v>
      </c>
      <c r="X39" s="1580"/>
      <c r="Y39" s="3361"/>
      <c r="Z39" s="1581">
        <f t="shared" si="13"/>
        <v>111</v>
      </c>
      <c r="AA39" s="1577">
        <f t="shared" si="3"/>
        <v>1</v>
      </c>
      <c r="AB39" s="1577">
        <f t="shared" si="4"/>
        <v>1</v>
      </c>
      <c r="AC39" s="1577">
        <f t="shared" si="5"/>
        <v>1</v>
      </c>
    </row>
    <row r="40" spans="1:29" ht="20.25">
      <c r="A40" s="2886" t="s">
        <v>2756</v>
      </c>
      <c r="B40" s="595" t="s">
        <v>552</v>
      </c>
      <c r="C40" s="596">
        <f>'数据-基础表'!A3</f>
        <v>103456.5</v>
      </c>
      <c r="D40" s="597">
        <v>100</v>
      </c>
      <c r="E40" s="596">
        <f>土地案例!D3</f>
        <v>31896.2</v>
      </c>
      <c r="F40" s="597">
        <f>LOOKUP(E40,119:119,120:120)-LOOKUP(C40,119:119,120:120)+100</f>
        <v>96</v>
      </c>
      <c r="G40" s="596">
        <f>土地案例!D4</f>
        <v>11253.8</v>
      </c>
      <c r="H40" s="597">
        <f>LOOKUP(G40,119:119,120:120)-LOOKUP(C40,119:119,120:120)+100</f>
        <v>95</v>
      </c>
      <c r="I40" s="598">
        <f>土地案例!D5</f>
        <v>9659.5</v>
      </c>
      <c r="J40" s="597">
        <f>LOOKUP(I40,119:119,120:120)-LOOKUP(C40,119:119,120:120)+100</f>
        <v>95</v>
      </c>
      <c r="K40" s="581"/>
      <c r="L40" s="2143"/>
      <c r="M40" s="2133"/>
      <c r="N40" s="2133"/>
      <c r="O40" s="2142"/>
      <c r="P40" s="3361"/>
      <c r="Q40" s="1573" t="str">
        <f>B40</f>
        <v>宗地面积</v>
      </c>
      <c r="R40" s="1574" t="s">
        <v>8</v>
      </c>
      <c r="S40" s="1575">
        <f t="shared" si="10"/>
        <v>96</v>
      </c>
      <c r="T40" s="1574" t="s">
        <v>8</v>
      </c>
      <c r="U40" s="1575">
        <f t="shared" si="11"/>
        <v>95</v>
      </c>
      <c r="V40" s="1574" t="s">
        <v>8</v>
      </c>
      <c r="W40" s="1575">
        <f t="shared" si="12"/>
        <v>95</v>
      </c>
      <c r="X40" s="1568"/>
      <c r="Y40" s="3361"/>
      <c r="Z40" s="1576" t="str">
        <f t="shared" si="13"/>
        <v>宗地面积</v>
      </c>
      <c r="AA40" s="1577">
        <f t="shared" si="3"/>
        <v>1.0416666666666667</v>
      </c>
      <c r="AB40" s="1577">
        <f t="shared" si="4"/>
        <v>1.0526315789473684</v>
      </c>
      <c r="AC40" s="1577">
        <f t="shared" si="5"/>
        <v>1.0526315789473684</v>
      </c>
    </row>
    <row r="41" spans="1:29" ht="20.25">
      <c r="A41" s="594"/>
      <c r="B41" s="527" t="s">
        <v>553</v>
      </c>
      <c r="C41" s="3483" t="s">
        <v>3180</v>
      </c>
      <c r="D41" s="540">
        <v>100</v>
      </c>
      <c r="E41" s="3483" t="s">
        <v>3180</v>
      </c>
      <c r="F41" s="540">
        <f>SUMIF(121:121,E41,122:122)-SUMIF(121:121,C41,122:122)+100</f>
        <v>100</v>
      </c>
      <c r="G41" s="3483" t="s">
        <v>3180</v>
      </c>
      <c r="H41" s="540">
        <f>SUMIF(121:121,G41,122:122)-SUMIF(121:121,C41,122:122)+100</f>
        <v>100</v>
      </c>
      <c r="I41" s="3483" t="s">
        <v>3180</v>
      </c>
      <c r="J41" s="540">
        <f>SUMIF(121:121,I41,122:122)-SUMIF(121:121,C41,122:122)+100</f>
        <v>100</v>
      </c>
      <c r="K41" s="584"/>
      <c r="L41" s="2143"/>
      <c r="M41" s="2133"/>
      <c r="N41" s="2133"/>
      <c r="O41" s="2142"/>
      <c r="P41" s="3361"/>
      <c r="Q41" s="1573" t="str">
        <f t="shared" ref="Q41:Q47" si="14">B41</f>
        <v>宗地形状</v>
      </c>
      <c r="R41" s="1574" t="s">
        <v>8</v>
      </c>
      <c r="S41" s="1575">
        <f t="shared" si="10"/>
        <v>100</v>
      </c>
      <c r="T41" s="1574" t="s">
        <v>8</v>
      </c>
      <c r="U41" s="1575">
        <f t="shared" si="11"/>
        <v>100</v>
      </c>
      <c r="V41" s="1574" t="s">
        <v>8</v>
      </c>
      <c r="W41" s="1575">
        <f t="shared" si="12"/>
        <v>100</v>
      </c>
      <c r="X41" s="1568"/>
      <c r="Y41" s="3361"/>
      <c r="Z41" s="1576" t="str">
        <f t="shared" si="13"/>
        <v>宗地形状</v>
      </c>
      <c r="AA41" s="1577">
        <f t="shared" si="3"/>
        <v>1</v>
      </c>
      <c r="AB41" s="1577">
        <f t="shared" si="4"/>
        <v>1</v>
      </c>
      <c r="AC41" s="1577">
        <f t="shared" si="5"/>
        <v>1</v>
      </c>
    </row>
    <row r="42" spans="1:29" ht="20.25">
      <c r="A42" s="594"/>
      <c r="B42" s="527" t="s">
        <v>554</v>
      </c>
      <c r="C42" s="3483" t="s">
        <v>3172</v>
      </c>
      <c r="D42" s="540">
        <v>100</v>
      </c>
      <c r="E42" s="3483" t="s">
        <v>3172</v>
      </c>
      <c r="F42" s="540">
        <f>SUMIF(123:123,E42,124:124)-SUMIF(123:123,C42,124:124)+100</f>
        <v>100</v>
      </c>
      <c r="G42" s="3483" t="s">
        <v>3172</v>
      </c>
      <c r="H42" s="540">
        <f>SUMIF(123:123,G42,124:124)-SUMIF(123:123,C42,124:124)+100</f>
        <v>100</v>
      </c>
      <c r="I42" s="3483" t="s">
        <v>3172</v>
      </c>
      <c r="J42" s="540">
        <f>SUMIF(123:123,I42,124:124)-SUMIF(123:123,C42,124:124)+100</f>
        <v>100</v>
      </c>
      <c r="K42" s="584"/>
      <c r="L42" s="2143"/>
      <c r="M42" s="2133"/>
      <c r="N42" s="2133"/>
      <c r="O42" s="2142"/>
      <c r="P42" s="3361"/>
      <c r="Q42" s="1573" t="str">
        <f t="shared" si="14"/>
        <v>临街宽度及深度</v>
      </c>
      <c r="R42" s="1574" t="s">
        <v>8</v>
      </c>
      <c r="S42" s="1575">
        <f t="shared" si="10"/>
        <v>100</v>
      </c>
      <c r="T42" s="1574" t="s">
        <v>8</v>
      </c>
      <c r="U42" s="1575">
        <f t="shared" si="11"/>
        <v>100</v>
      </c>
      <c r="V42" s="1574" t="s">
        <v>8</v>
      </c>
      <c r="W42" s="1575">
        <f t="shared" si="12"/>
        <v>100</v>
      </c>
      <c r="X42" s="1568"/>
      <c r="Y42" s="3361"/>
      <c r="Z42" s="1576" t="str">
        <f t="shared" si="13"/>
        <v>临街宽度及深度</v>
      </c>
      <c r="AA42" s="1577">
        <f t="shared" si="3"/>
        <v>1</v>
      </c>
      <c r="AB42" s="1577">
        <f t="shared" si="4"/>
        <v>1</v>
      </c>
      <c r="AC42" s="1577">
        <f t="shared" si="5"/>
        <v>1</v>
      </c>
    </row>
    <row r="43" spans="1:29" s="1220" customFormat="1" ht="20.25">
      <c r="A43" s="600"/>
      <c r="B43" s="1896" t="s">
        <v>2425</v>
      </c>
      <c r="C43" s="3484" t="s">
        <v>3181</v>
      </c>
      <c r="D43" s="255">
        <v>100</v>
      </c>
      <c r="E43" s="3484" t="s">
        <v>3181</v>
      </c>
      <c r="F43" s="540">
        <f>SUMIF(125:125,E43,126:126)-SUMIF(125:125,C43,126:126)+100</f>
        <v>100</v>
      </c>
      <c r="G43" s="3484" t="s">
        <v>3181</v>
      </c>
      <c r="H43" s="540">
        <f>SUMIF(125:125,G43,126:126)-SUMIF(125:125,C43,126:126)+100</f>
        <v>100</v>
      </c>
      <c r="I43" s="3484" t="s">
        <v>3181</v>
      </c>
      <c r="J43" s="540">
        <f>SUMIF(125:125,I43,126:126)-SUMIF(125:125,C43,126:126)+100</f>
        <v>100</v>
      </c>
      <c r="K43" s="584"/>
      <c r="L43" s="2136"/>
      <c r="M43" s="2133"/>
      <c r="N43" s="2133"/>
      <c r="O43" s="2138"/>
      <c r="P43" s="3361"/>
      <c r="Q43" s="1573" t="str">
        <f t="shared" si="14"/>
        <v>宗地开发程度</v>
      </c>
      <c r="R43" s="1569" t="s">
        <v>8</v>
      </c>
      <c r="S43" s="1570">
        <f t="shared" si="10"/>
        <v>100</v>
      </c>
      <c r="T43" s="1569" t="s">
        <v>8</v>
      </c>
      <c r="U43" s="1570">
        <f t="shared" si="11"/>
        <v>100</v>
      </c>
      <c r="V43" s="1569" t="s">
        <v>8</v>
      </c>
      <c r="W43" s="1570">
        <f t="shared" si="12"/>
        <v>100</v>
      </c>
      <c r="X43" s="1571"/>
      <c r="Y43" s="3361"/>
      <c r="Z43" s="1150" t="str">
        <f t="shared" si="13"/>
        <v>宗地开发程度</v>
      </c>
      <c r="AA43" s="1572">
        <f t="shared" si="3"/>
        <v>1</v>
      </c>
      <c r="AB43" s="1572">
        <f t="shared" si="4"/>
        <v>1</v>
      </c>
      <c r="AC43" s="1572">
        <f t="shared" si="5"/>
        <v>1</v>
      </c>
    </row>
    <row r="44" spans="1:29" ht="20.25">
      <c r="A44" s="594"/>
      <c r="B44" s="527" t="s">
        <v>555</v>
      </c>
      <c r="C44" s="3483" t="s">
        <v>3172</v>
      </c>
      <c r="D44" s="540">
        <v>100</v>
      </c>
      <c r="E44" s="3483" t="s">
        <v>3172</v>
      </c>
      <c r="F44" s="540">
        <f>SUMIF(127:127,E44,128:128)-SUMIF(127:127,C44,128:128)+100</f>
        <v>100</v>
      </c>
      <c r="G44" s="3483" t="s">
        <v>3174</v>
      </c>
      <c r="H44" s="540">
        <f>SUMIF(127:127,G44,128:128)-SUMIF(127:127,C44,128:128)+100</f>
        <v>100</v>
      </c>
      <c r="I44" s="3483" t="s">
        <v>3182</v>
      </c>
      <c r="J44" s="540">
        <f>SUMIF(127:127,I44,128:128)-SUMIF(127:127,C44,128:128)+100</f>
        <v>100</v>
      </c>
      <c r="K44" s="584"/>
      <c r="L44" s="2143"/>
      <c r="M44" s="2133"/>
      <c r="N44" s="2133"/>
      <c r="O44" s="2142"/>
      <c r="P44" s="3361" t="s">
        <v>550</v>
      </c>
      <c r="Q44" s="1573" t="str">
        <f t="shared" si="14"/>
        <v>工程地质条件</v>
      </c>
      <c r="R44" s="1574" t="s">
        <v>8</v>
      </c>
      <c r="S44" s="1575">
        <f t="shared" si="10"/>
        <v>100</v>
      </c>
      <c r="T44" s="1574" t="s">
        <v>8</v>
      </c>
      <c r="U44" s="1575">
        <f t="shared" si="11"/>
        <v>100</v>
      </c>
      <c r="V44" s="1574" t="s">
        <v>8</v>
      </c>
      <c r="W44" s="1575">
        <f t="shared" si="12"/>
        <v>100</v>
      </c>
      <c r="X44" s="1568"/>
      <c r="Y44" s="336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1"/>
      <c r="Q45" s="1573">
        <f t="shared" si="14"/>
        <v>111</v>
      </c>
      <c r="R45" s="1574" t="s">
        <v>8</v>
      </c>
      <c r="S45" s="1575">
        <f t="shared" si="10"/>
        <v>100</v>
      </c>
      <c r="T45" s="1574" t="s">
        <v>8</v>
      </c>
      <c r="U45" s="1575">
        <f t="shared" si="11"/>
        <v>100</v>
      </c>
      <c r="V45" s="1574" t="s">
        <v>8</v>
      </c>
      <c r="W45" s="1575">
        <f t="shared" si="12"/>
        <v>100</v>
      </c>
      <c r="X45" s="1568"/>
      <c r="Y45" s="336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1"/>
      <c r="Q46" s="1573">
        <f t="shared" si="14"/>
        <v>111</v>
      </c>
      <c r="R46" s="1574" t="s">
        <v>8</v>
      </c>
      <c r="S46" s="1575">
        <f t="shared" si="10"/>
        <v>100</v>
      </c>
      <c r="T46" s="1574" t="s">
        <v>8</v>
      </c>
      <c r="U46" s="1575">
        <f t="shared" si="11"/>
        <v>100</v>
      </c>
      <c r="V46" s="1574" t="s">
        <v>8</v>
      </c>
      <c r="W46" s="1575">
        <f t="shared" si="12"/>
        <v>100</v>
      </c>
      <c r="X46" s="1568"/>
      <c r="Y46" s="336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1"/>
      <c r="Q47" s="1573">
        <f t="shared" si="14"/>
        <v>111</v>
      </c>
      <c r="R47" s="1578" t="s">
        <v>8</v>
      </c>
      <c r="S47" s="1579">
        <f t="shared" si="10"/>
        <v>100</v>
      </c>
      <c r="T47" s="1578" t="s">
        <v>8</v>
      </c>
      <c r="U47" s="1579">
        <f t="shared" si="11"/>
        <v>100</v>
      </c>
      <c r="V47" s="1578" t="s">
        <v>8</v>
      </c>
      <c r="W47" s="1579">
        <f t="shared" si="12"/>
        <v>100</v>
      </c>
      <c r="X47" s="1580"/>
      <c r="Y47" s="3361"/>
      <c r="Z47" s="1581">
        <f t="shared" si="13"/>
        <v>111</v>
      </c>
      <c r="AA47" s="1577">
        <f t="shared" si="3"/>
        <v>1</v>
      </c>
      <c r="AB47" s="1577">
        <f t="shared" si="4"/>
        <v>1</v>
      </c>
      <c r="AC47" s="1577">
        <f t="shared" si="5"/>
        <v>1</v>
      </c>
    </row>
    <row r="48" spans="1:29" ht="20.25">
      <c r="A48" s="607" t="s">
        <v>556</v>
      </c>
      <c r="B48" s="608" t="s">
        <v>3183</v>
      </c>
      <c r="C48" s="609" t="s">
        <v>1</v>
      </c>
      <c r="D48" s="610"/>
      <c r="E48" s="611">
        <v>763</v>
      </c>
      <c r="F48" s="612"/>
      <c r="G48" s="613">
        <v>770</v>
      </c>
      <c r="H48" s="614"/>
      <c r="I48" s="611">
        <v>1024</v>
      </c>
      <c r="J48" s="614"/>
      <c r="K48" s="1340"/>
      <c r="L48" s="2145"/>
      <c r="M48" s="2133"/>
      <c r="N48" s="2133"/>
      <c r="O48" s="2146"/>
      <c r="P48" s="3356" t="str">
        <f>A48</f>
        <v>成交单价</v>
      </c>
      <c r="Q48" s="3356"/>
      <c r="R48" s="3370">
        <f>E48</f>
        <v>763</v>
      </c>
      <c r="S48" s="3370"/>
      <c r="T48" s="3370">
        <f>G48</f>
        <v>770</v>
      </c>
      <c r="U48" s="3370"/>
      <c r="V48" s="3370">
        <f>I48</f>
        <v>1024</v>
      </c>
      <c r="W48" s="3370"/>
      <c r="X48" s="1560"/>
      <c r="Y48" s="1582"/>
      <c r="Z48" s="1560"/>
      <c r="AA48" s="1560"/>
      <c r="AB48" s="1560"/>
      <c r="AC48" s="1560"/>
    </row>
    <row r="49" spans="1:29" ht="21" thickBot="1">
      <c r="A49" s="615" t="s">
        <v>2694</v>
      </c>
      <c r="B49" s="616"/>
      <c r="C49" s="617">
        <f>R50</f>
        <v>811</v>
      </c>
      <c r="D49" s="618"/>
      <c r="E49" s="617">
        <f>R49</f>
        <v>743</v>
      </c>
      <c r="F49" s="619"/>
      <c r="G49" s="620">
        <f>T49</f>
        <v>758</v>
      </c>
      <c r="H49" s="618"/>
      <c r="I49" s="617">
        <f>V49</f>
        <v>932</v>
      </c>
      <c r="J49" s="618"/>
      <c r="K49" s="1341"/>
      <c r="L49" s="2145"/>
      <c r="M49" s="2133"/>
      <c r="N49" s="2133"/>
      <c r="O49" s="2146"/>
      <c r="P49" s="3356" t="str">
        <f>A49</f>
        <v>比较价格（元/平方米）</v>
      </c>
      <c r="Q49" s="3356"/>
      <c r="R49" s="3380">
        <f>ROUND(PRODUCT(R48,AA9:AA47),0)</f>
        <v>743</v>
      </c>
      <c r="S49" s="3380"/>
      <c r="T49" s="3380">
        <f>ROUND(PRODUCT(T48,AB9:AB47),0)</f>
        <v>758</v>
      </c>
      <c r="U49" s="3380"/>
      <c r="V49" s="3380">
        <f>ROUND(PRODUCT(V48,AC9:AC47),0)</f>
        <v>932</v>
      </c>
      <c r="W49" s="3380"/>
      <c r="X49" s="1560"/>
      <c r="Y49" s="1560"/>
      <c r="Z49" s="1560"/>
      <c r="AA49" s="1560"/>
      <c r="AB49" s="1560"/>
      <c r="AC49" s="1560"/>
    </row>
    <row r="50" spans="1:29" ht="21" thickBot="1">
      <c r="A50" s="621" t="s">
        <v>2937</v>
      </c>
      <c r="B50" s="622"/>
      <c r="C50" s="623">
        <f>R50</f>
        <v>811</v>
      </c>
      <c r="D50" s="623"/>
      <c r="E50" s="623"/>
      <c r="F50" s="623"/>
      <c r="G50" s="623"/>
      <c r="H50" s="623"/>
      <c r="I50" s="623"/>
      <c r="J50" s="623"/>
      <c r="K50" s="1342"/>
      <c r="L50" s="2145"/>
      <c r="M50" s="2133"/>
      <c r="N50" s="2133"/>
      <c r="O50" s="2146"/>
      <c r="P50" s="3377" t="str">
        <f>A50</f>
        <v>估价对象XX用房的比较价格（楼面单价，元/平方米）</v>
      </c>
      <c r="Q50" s="3378"/>
      <c r="R50" s="3379">
        <f>ROUND(AVERAGE(R49:V49),0)</f>
        <v>811</v>
      </c>
      <c r="S50" s="3379"/>
      <c r="T50" s="3379"/>
      <c r="U50" s="3379"/>
      <c r="V50" s="3379"/>
      <c r="W50" s="337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2.6917900403768513E-2</v>
      </c>
      <c r="F53" s="627" t="str">
        <f>IF(OR(E53&gt;=0.3,E53&lt;=-0.3),"超过30%","")</f>
        <v/>
      </c>
      <c r="G53" s="626">
        <f>IF(G48&lt;G49,G49/G48-1,G48/G49-1)</f>
        <v>1.5831134564643801E-2</v>
      </c>
      <c r="H53" s="627" t="str">
        <f>IF(OR(G53&gt;=0.3,G53&lt;=-0.3),"超过30%","")</f>
        <v/>
      </c>
      <c r="I53" s="626">
        <f>IF(I48&lt;I49,I49/I48-1,I48/I49-1)</f>
        <v>9.8712446351931327E-2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2.0188425302826385E-2</v>
      </c>
      <c r="F54" s="627" t="str">
        <f>IF(OR(E54&gt;=0.2,E54&lt;=-0.2),"超过20%","")</f>
        <v/>
      </c>
      <c r="G54" s="626">
        <f>IF(G49&lt;I49,I49/G49-1,G49/I49-1)</f>
        <v>0.22955145118733511</v>
      </c>
      <c r="H54" s="627" t="str">
        <f>IF(OR(G54&gt;=0.2,G54&lt;=-0.2),"超过20%","")</f>
        <v>超过20%</v>
      </c>
      <c r="I54" s="626">
        <f>IF(I49&lt;E49,E49/I49-1,I49/E49-1)</f>
        <v>0.25437415881561232</v>
      </c>
      <c r="J54" s="627" t="str">
        <f>IF(OR(I54&gt;=0.2,I54&lt;=-0.2),"超过20%","")</f>
        <v>超过20%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9.1743119266054496E-3</v>
      </c>
      <c r="F55" s="627" t="str">
        <f>IF(OR(E55&gt;=0.3,E55&lt;=-0.3),"超过30%","")</f>
        <v/>
      </c>
      <c r="G55" s="626">
        <f>IF(G48&lt;I48,I48/G48-1,G48/I48-1)</f>
        <v>0.32987012987012987</v>
      </c>
      <c r="H55" s="627" t="str">
        <f>IF(OR(G55&gt;=0.3,G55&lt;=-0.3),"超过30%","")</f>
        <v>超过30%</v>
      </c>
      <c r="I55" s="626">
        <f>IF(I48&lt;E48,E48/I48-1,I48/E48-1)</f>
        <v>0.34207077326343382</v>
      </c>
      <c r="J55" s="627" t="str">
        <f>IF(OR(I55&gt;=0.3,I55&lt;=-0.3),"超过30%","")</f>
        <v>超过30%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0" t="s">
        <v>2282</v>
      </c>
      <c r="H57" s="3341"/>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811</v>
      </c>
      <c r="C58" s="635">
        <v>1</v>
      </c>
      <c r="D58" s="2229">
        <v>1</v>
      </c>
      <c r="E58" s="635">
        <f>'数据-汇总表'!E8+'数据-汇总表'!E9</f>
        <v>310569.59999999998</v>
      </c>
      <c r="F58" s="636">
        <f t="shared" ref="F58:F67" si="15">ROUND(B58*E58/10000,0)</f>
        <v>25187</v>
      </c>
      <c r="G58" s="3342"/>
      <c r="H58" s="334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44"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4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4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4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310569.59999999998</v>
      </c>
      <c r="F68" s="644">
        <f>IF(B48="楼面地价",SUM(F58:F67),ROUND(C50*E68/10000,0))</f>
        <v>25187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2019-1-1</v>
      </c>
      <c r="D70" s="2778">
        <f>EDATE(C70,-3)</f>
        <v>43374</v>
      </c>
      <c r="E70" s="2778">
        <f t="shared" ref="E70:N70" si="18">EDATE(D70,-3)</f>
        <v>43282</v>
      </c>
      <c r="F70" s="2778">
        <f t="shared" si="18"/>
        <v>43191</v>
      </c>
      <c r="G70" s="2778">
        <f t="shared" si="18"/>
        <v>43101</v>
      </c>
      <c r="H70" s="2778">
        <f t="shared" si="18"/>
        <v>43009</v>
      </c>
      <c r="I70" s="2778">
        <f t="shared" si="18"/>
        <v>42917</v>
      </c>
      <c r="J70" s="2778">
        <f t="shared" si="18"/>
        <v>42826</v>
      </c>
      <c r="K70" s="2778">
        <f t="shared" si="18"/>
        <v>42736</v>
      </c>
      <c r="L70" s="2778">
        <f t="shared" si="18"/>
        <v>42644</v>
      </c>
      <c r="M70" s="2778">
        <f t="shared" si="18"/>
        <v>42552</v>
      </c>
      <c r="N70" s="2778">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95</v>
      </c>
      <c r="E95" s="679">
        <f>D95-$K21</f>
        <v>90</v>
      </c>
      <c r="F95" s="679">
        <f>E95-$K21</f>
        <v>85</v>
      </c>
      <c r="G95" s="679">
        <f>F95-$K21</f>
        <v>80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68" t="str">
        <f t="shared" si="25"/>
        <v>(含)-</v>
      </c>
      <c r="K118" s="3068" t="str">
        <f t="shared" si="25"/>
        <v>(含)-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D18" sqref="D18"/>
    </sheetView>
  </sheetViews>
  <sheetFormatPr defaultRowHeight="13.5"/>
  <cols>
    <col min="13" max="13" width="33.5" customWidth="1"/>
  </cols>
  <sheetData>
    <row r="1" spans="1:14">
      <c r="A1" s="3469" t="s">
        <v>3009</v>
      </c>
      <c r="B1" s="3469" t="s">
        <v>3010</v>
      </c>
      <c r="C1" s="3469" t="s">
        <v>3011</v>
      </c>
      <c r="D1" s="3469" t="s">
        <v>3012</v>
      </c>
      <c r="E1" s="3469" t="s">
        <v>3013</v>
      </c>
      <c r="F1" s="3469" t="s">
        <v>2033</v>
      </c>
      <c r="G1" s="3469" t="s">
        <v>3014</v>
      </c>
      <c r="H1" s="3469" t="s">
        <v>3015</v>
      </c>
      <c r="I1" s="3469" t="s">
        <v>3016</v>
      </c>
      <c r="J1" s="3469" t="s">
        <v>3017</v>
      </c>
      <c r="K1" s="3469" t="s">
        <v>3018</v>
      </c>
      <c r="L1" s="3469" t="s">
        <v>3019</v>
      </c>
      <c r="M1" s="3469" t="s">
        <v>3020</v>
      </c>
      <c r="N1" s="3469" t="s">
        <v>3021</v>
      </c>
    </row>
    <row r="2" spans="1:14">
      <c r="A2" s="3469" t="s">
        <v>3022</v>
      </c>
      <c r="B2" s="3469" t="s">
        <v>3023</v>
      </c>
      <c r="C2" s="3469" t="s">
        <v>3024</v>
      </c>
      <c r="D2" s="3469">
        <v>1899.2</v>
      </c>
      <c r="E2" s="3469">
        <v>664.72</v>
      </c>
      <c r="F2" s="3469" t="s">
        <v>3025</v>
      </c>
      <c r="G2" s="3469" t="s">
        <v>3026</v>
      </c>
      <c r="H2" s="3469" t="s">
        <v>3027</v>
      </c>
      <c r="I2" s="3469">
        <v>220</v>
      </c>
      <c r="J2" s="3469">
        <v>220</v>
      </c>
      <c r="K2" s="3469">
        <v>3309.65</v>
      </c>
      <c r="L2" s="3469">
        <v>0</v>
      </c>
      <c r="M2" s="3469" t="s">
        <v>3028</v>
      </c>
      <c r="N2" s="3469" t="s">
        <v>3029</v>
      </c>
    </row>
    <row r="3" spans="1:14" s="3471" customFormat="1">
      <c r="A3" s="3470" t="s">
        <v>3030</v>
      </c>
      <c r="B3" s="3470" t="s">
        <v>3023</v>
      </c>
      <c r="C3" s="3470" t="s">
        <v>3024</v>
      </c>
      <c r="D3" s="3470">
        <v>31896.2</v>
      </c>
      <c r="E3" s="3470">
        <v>38275.440000000002</v>
      </c>
      <c r="F3" s="3470" t="s">
        <v>3031</v>
      </c>
      <c r="G3" s="3470" t="s">
        <v>3026</v>
      </c>
      <c r="H3" s="3470" t="s">
        <v>3032</v>
      </c>
      <c r="I3" s="3470">
        <v>2020</v>
      </c>
      <c r="J3" s="3470">
        <v>2920</v>
      </c>
      <c r="K3" s="3470">
        <v>762.88</v>
      </c>
      <c r="L3" s="3470">
        <v>44.55</v>
      </c>
      <c r="M3" s="3470" t="s">
        <v>3033</v>
      </c>
      <c r="N3" s="3470" t="s">
        <v>3034</v>
      </c>
    </row>
    <row r="4" spans="1:14" s="3471" customFormat="1">
      <c r="A4" s="3470" t="s">
        <v>3030</v>
      </c>
      <c r="B4" s="3470" t="s">
        <v>3023</v>
      </c>
      <c r="C4" s="3470" t="s">
        <v>3024</v>
      </c>
      <c r="D4" s="3470">
        <v>11253.8</v>
      </c>
      <c r="E4" s="3470">
        <v>13504.56</v>
      </c>
      <c r="F4" s="3470" t="s">
        <v>3031</v>
      </c>
      <c r="G4" s="3470" t="s">
        <v>3026</v>
      </c>
      <c r="H4" s="3470" t="s">
        <v>3032</v>
      </c>
      <c r="I4" s="3470">
        <v>720</v>
      </c>
      <c r="J4" s="3470">
        <v>1040</v>
      </c>
      <c r="K4" s="3470">
        <v>770.11</v>
      </c>
      <c r="L4" s="3470">
        <v>44.44</v>
      </c>
      <c r="M4" s="3470" t="s">
        <v>3033</v>
      </c>
      <c r="N4" s="3470" t="s">
        <v>3034</v>
      </c>
    </row>
    <row r="5" spans="1:14" s="3471" customFormat="1">
      <c r="A5" s="3470" t="s">
        <v>3035</v>
      </c>
      <c r="B5" s="3470" t="s">
        <v>3023</v>
      </c>
      <c r="C5" s="3470" t="s">
        <v>3024</v>
      </c>
      <c r="D5" s="3470">
        <v>9659.5</v>
      </c>
      <c r="E5" s="3470">
        <v>17387.099999999999</v>
      </c>
      <c r="F5" s="3470" t="s">
        <v>3036</v>
      </c>
      <c r="G5" s="3470" t="s">
        <v>3026</v>
      </c>
      <c r="H5" s="3470" t="s">
        <v>3032</v>
      </c>
      <c r="I5" s="3470">
        <v>1780</v>
      </c>
      <c r="J5" s="3470">
        <v>1780</v>
      </c>
      <c r="K5" s="3470">
        <v>1023.75</v>
      </c>
      <c r="L5" s="3470">
        <v>0</v>
      </c>
      <c r="M5" s="3470" t="s">
        <v>3037</v>
      </c>
      <c r="N5" s="3470" t="s">
        <v>3034</v>
      </c>
    </row>
    <row r="6" spans="1:14">
      <c r="A6" s="3469" t="s">
        <v>3038</v>
      </c>
      <c r="B6" s="3469" t="s">
        <v>3023</v>
      </c>
      <c r="C6" s="3469" t="s">
        <v>3024</v>
      </c>
      <c r="D6" s="3469">
        <v>3431</v>
      </c>
      <c r="E6" s="3469">
        <v>1715.5</v>
      </c>
      <c r="F6" s="3469" t="s">
        <v>3039</v>
      </c>
      <c r="G6" s="3469" t="s">
        <v>3026</v>
      </c>
      <c r="H6" s="3469" t="s">
        <v>3040</v>
      </c>
      <c r="I6" s="3469">
        <v>1040</v>
      </c>
      <c r="J6" s="3469">
        <v>1860</v>
      </c>
      <c r="K6" s="3469">
        <v>10842.31</v>
      </c>
      <c r="L6" s="3469">
        <v>78.849999999999994</v>
      </c>
      <c r="M6" s="3469" t="s">
        <v>3041</v>
      </c>
      <c r="N6" s="3469" t="s">
        <v>3034</v>
      </c>
    </row>
    <row r="7" spans="1:14">
      <c r="A7" s="3469" t="s">
        <v>3042</v>
      </c>
      <c r="B7" s="3469" t="s">
        <v>3023</v>
      </c>
      <c r="C7" s="3469" t="s">
        <v>3024</v>
      </c>
      <c r="D7" s="3469">
        <v>28641.8</v>
      </c>
      <c r="E7" s="3469">
        <v>171850.8</v>
      </c>
      <c r="F7" s="3469" t="s">
        <v>3043</v>
      </c>
      <c r="G7" s="3469" t="s">
        <v>3026</v>
      </c>
      <c r="H7" s="3469" t="s">
        <v>3044</v>
      </c>
      <c r="I7" s="3469">
        <v>97600</v>
      </c>
      <c r="J7" s="3469">
        <v>97700</v>
      </c>
      <c r="K7" s="3469">
        <v>5685.15</v>
      </c>
      <c r="L7" s="3469">
        <v>0.1</v>
      </c>
      <c r="M7" s="3469" t="s">
        <v>3045</v>
      </c>
      <c r="N7" s="3469" t="s">
        <v>3034</v>
      </c>
    </row>
    <row r="8" spans="1:14">
      <c r="A8" s="3469" t="s">
        <v>3046</v>
      </c>
      <c r="B8" s="3469" t="s">
        <v>3023</v>
      </c>
      <c r="C8" s="3469" t="s">
        <v>3024</v>
      </c>
      <c r="D8" s="3469">
        <v>25614</v>
      </c>
      <c r="E8" s="3469">
        <v>38421</v>
      </c>
      <c r="F8" s="3469" t="s">
        <v>3047</v>
      </c>
      <c r="G8" s="3469" t="s">
        <v>3026</v>
      </c>
      <c r="H8" s="3469" t="s">
        <v>3048</v>
      </c>
      <c r="I8" s="3469">
        <v>1750</v>
      </c>
      <c r="J8" s="3469">
        <v>1810</v>
      </c>
      <c r="K8" s="3469">
        <v>471.1</v>
      </c>
      <c r="L8" s="3469">
        <v>3.43</v>
      </c>
      <c r="M8" s="3469" t="s">
        <v>3049</v>
      </c>
      <c r="N8" s="3469" t="s">
        <v>3029</v>
      </c>
    </row>
    <row r="9" spans="1:14">
      <c r="A9" s="3469" t="s">
        <v>3050</v>
      </c>
      <c r="B9" s="3469" t="s">
        <v>3023</v>
      </c>
      <c r="C9" s="3469" t="s">
        <v>3024</v>
      </c>
      <c r="D9" s="3469">
        <v>89437</v>
      </c>
      <c r="E9" s="3469">
        <v>178874</v>
      </c>
      <c r="F9" s="3469" t="s">
        <v>3051</v>
      </c>
      <c r="G9" s="3469" t="s">
        <v>3026</v>
      </c>
      <c r="H9" s="3469" t="s">
        <v>3048</v>
      </c>
      <c r="I9" s="3469">
        <v>5800</v>
      </c>
      <c r="J9" s="3469">
        <v>5880</v>
      </c>
      <c r="K9" s="3469">
        <v>328.72</v>
      </c>
      <c r="L9" s="3469">
        <v>1.38</v>
      </c>
      <c r="M9" s="3469" t="s">
        <v>3052</v>
      </c>
      <c r="N9" s="3469" t="s">
        <v>3034</v>
      </c>
    </row>
    <row r="10" spans="1:14" s="3487" customFormat="1">
      <c r="A10" s="3486" t="s">
        <v>3053</v>
      </c>
      <c r="B10" s="3486" t="s">
        <v>3023</v>
      </c>
      <c r="C10" s="3486" t="s">
        <v>3024</v>
      </c>
      <c r="D10" s="3486">
        <v>49173.4</v>
      </c>
      <c r="E10" s="3486">
        <v>122933.5</v>
      </c>
      <c r="F10" s="3486" t="s">
        <v>3054</v>
      </c>
      <c r="G10" s="3486" t="s">
        <v>3026</v>
      </c>
      <c r="H10" s="3486" t="s">
        <v>3055</v>
      </c>
      <c r="I10" s="3486">
        <v>5700</v>
      </c>
      <c r="J10" s="3486">
        <v>6200</v>
      </c>
      <c r="K10" s="3486">
        <v>504.33</v>
      </c>
      <c r="L10" s="3486">
        <v>8.77</v>
      </c>
      <c r="M10" s="3486" t="s">
        <v>3056</v>
      </c>
      <c r="N10" s="3486" t="s">
        <v>3034</v>
      </c>
    </row>
    <row r="11" spans="1:14">
      <c r="A11" s="3469" t="s">
        <v>3057</v>
      </c>
      <c r="B11" s="3469" t="s">
        <v>3023</v>
      </c>
      <c r="C11" s="3469" t="s">
        <v>3024</v>
      </c>
      <c r="D11" s="3469">
        <v>2504.1</v>
      </c>
      <c r="E11" s="3469">
        <v>876.43</v>
      </c>
      <c r="F11" s="3469" t="s">
        <v>3025</v>
      </c>
      <c r="G11" s="3469" t="s">
        <v>3026</v>
      </c>
      <c r="H11" s="3469" t="s">
        <v>3055</v>
      </c>
      <c r="I11" s="3469">
        <v>370</v>
      </c>
      <c r="J11" s="3469">
        <v>430</v>
      </c>
      <c r="K11" s="3469">
        <v>4906.2700000000004</v>
      </c>
      <c r="L11" s="3469">
        <v>16.22</v>
      </c>
      <c r="M11" s="3469" t="s">
        <v>3058</v>
      </c>
      <c r="N11" s="3469" t="s">
        <v>3034</v>
      </c>
    </row>
    <row r="12" spans="1:14">
      <c r="A12" s="3469" t="s">
        <v>3059</v>
      </c>
      <c r="B12" s="3469" t="s">
        <v>3023</v>
      </c>
      <c r="C12" s="3469" t="s">
        <v>3024</v>
      </c>
      <c r="D12" s="3469">
        <v>11650.9</v>
      </c>
      <c r="E12" s="3469">
        <v>11650.9</v>
      </c>
      <c r="F12" s="3469" t="s">
        <v>3060</v>
      </c>
      <c r="G12" s="3469" t="s">
        <v>3026</v>
      </c>
      <c r="H12" s="3469" t="s">
        <v>3061</v>
      </c>
      <c r="I12" s="3469">
        <v>2100</v>
      </c>
      <c r="J12" s="3469">
        <v>5500</v>
      </c>
      <c r="K12" s="3469">
        <v>4720.67</v>
      </c>
      <c r="L12" s="3469">
        <v>161.9</v>
      </c>
      <c r="M12" s="3469" t="s">
        <v>3062</v>
      </c>
      <c r="N12" s="3469" t="s">
        <v>3034</v>
      </c>
    </row>
    <row r="13" spans="1:14">
      <c r="A13" s="3469" t="s">
        <v>3063</v>
      </c>
      <c r="B13" s="3469" t="s">
        <v>3023</v>
      </c>
      <c r="C13" s="3469" t="s">
        <v>3024</v>
      </c>
      <c r="D13" s="3469">
        <v>1937.6</v>
      </c>
      <c r="E13" s="3469">
        <v>678.16</v>
      </c>
      <c r="F13" s="3469" t="s">
        <v>3025</v>
      </c>
      <c r="G13" s="3469" t="s">
        <v>3026</v>
      </c>
      <c r="H13" s="3469" t="s">
        <v>3064</v>
      </c>
      <c r="I13" s="3469">
        <v>120</v>
      </c>
      <c r="J13" s="3469">
        <v>480</v>
      </c>
      <c r="K13" s="3469">
        <v>7077.97</v>
      </c>
      <c r="L13" s="3469">
        <v>300</v>
      </c>
      <c r="M13" s="3469" t="s">
        <v>3065</v>
      </c>
      <c r="N13" s="3469" t="s">
        <v>3029</v>
      </c>
    </row>
    <row r="14" spans="1:14">
      <c r="A14" s="3469" t="s">
        <v>3066</v>
      </c>
      <c r="B14" s="3469" t="s">
        <v>3023</v>
      </c>
      <c r="C14" s="3469" t="s">
        <v>3024</v>
      </c>
      <c r="D14" s="3469">
        <v>2307</v>
      </c>
      <c r="E14" s="3469">
        <v>807.45</v>
      </c>
      <c r="F14" s="3469" t="s">
        <v>3025</v>
      </c>
      <c r="G14" s="3469" t="s">
        <v>3026</v>
      </c>
      <c r="H14" s="3469" t="s">
        <v>3067</v>
      </c>
      <c r="I14" s="3469">
        <v>180</v>
      </c>
      <c r="J14" s="3469">
        <v>220</v>
      </c>
      <c r="K14" s="3469">
        <v>2724.63</v>
      </c>
      <c r="L14" s="3469">
        <v>22.22</v>
      </c>
      <c r="M14" s="3469" t="s">
        <v>3068</v>
      </c>
      <c r="N14" s="3469" t="s">
        <v>3029</v>
      </c>
    </row>
    <row r="15" spans="1:14">
      <c r="A15" s="3469" t="s">
        <v>3069</v>
      </c>
      <c r="B15" s="3469" t="s">
        <v>3023</v>
      </c>
      <c r="C15" s="3469" t="s">
        <v>3024</v>
      </c>
      <c r="D15" s="3469">
        <v>4100</v>
      </c>
      <c r="E15" s="3469">
        <v>2050</v>
      </c>
      <c r="F15" s="3469" t="s">
        <v>3070</v>
      </c>
      <c r="G15" s="3469" t="s">
        <v>3026</v>
      </c>
      <c r="H15" s="3469" t="s">
        <v>3071</v>
      </c>
      <c r="I15" s="3469">
        <v>510</v>
      </c>
      <c r="J15" s="3469">
        <v>570</v>
      </c>
      <c r="K15" s="3469">
        <v>2780.48</v>
      </c>
      <c r="L15" s="3469">
        <v>11.76</v>
      </c>
      <c r="M15" s="3469" t="s">
        <v>3041</v>
      </c>
      <c r="N15" s="3469" t="s">
        <v>3034</v>
      </c>
    </row>
    <row r="16" spans="1:14">
      <c r="A16" s="3469" t="s">
        <v>3072</v>
      </c>
      <c r="B16" s="3469" t="s">
        <v>3023</v>
      </c>
      <c r="C16" s="3469" t="s">
        <v>3024</v>
      </c>
      <c r="D16" s="3469">
        <v>4356</v>
      </c>
      <c r="E16" s="3469">
        <v>1524.6</v>
      </c>
      <c r="F16" s="3469" t="s">
        <v>3073</v>
      </c>
      <c r="G16" s="3469" t="s">
        <v>3026</v>
      </c>
      <c r="H16" s="3469" t="s">
        <v>3074</v>
      </c>
      <c r="I16" s="3469">
        <v>210</v>
      </c>
      <c r="J16" s="3469">
        <v>250</v>
      </c>
      <c r="K16" s="3469">
        <v>1639.76</v>
      </c>
      <c r="L16" s="3469">
        <v>19.05</v>
      </c>
      <c r="M16" s="3469" t="s">
        <v>3075</v>
      </c>
      <c r="N16" s="3469" t="s">
        <v>3029</v>
      </c>
    </row>
    <row r="17" spans="1:14">
      <c r="A17" s="3469" t="s">
        <v>3076</v>
      </c>
      <c r="B17" s="3469" t="s">
        <v>3023</v>
      </c>
      <c r="C17" s="3469" t="s">
        <v>3024</v>
      </c>
      <c r="D17" s="3469">
        <v>88789.5</v>
      </c>
      <c r="E17" s="3469">
        <v>133184.29999999999</v>
      </c>
      <c r="F17" s="3469" t="s">
        <v>3077</v>
      </c>
      <c r="G17" s="3469" t="s">
        <v>3026</v>
      </c>
      <c r="H17" s="3469" t="s">
        <v>3078</v>
      </c>
      <c r="I17" s="3469">
        <v>10650</v>
      </c>
      <c r="J17" s="3469">
        <v>10850</v>
      </c>
      <c r="K17" s="3469">
        <v>814.65</v>
      </c>
      <c r="L17" s="3469">
        <v>1.88</v>
      </c>
      <c r="M17" s="3469" t="s">
        <v>3079</v>
      </c>
      <c r="N17" s="3469" t="s">
        <v>3034</v>
      </c>
    </row>
    <row r="18" spans="1:14">
      <c r="A18" s="3469" t="s">
        <v>3080</v>
      </c>
      <c r="B18" s="3469" t="s">
        <v>3023</v>
      </c>
      <c r="C18" s="3469" t="s">
        <v>3024</v>
      </c>
      <c r="D18" s="3469">
        <v>90819.4</v>
      </c>
      <c r="E18" s="3469">
        <v>227048.5</v>
      </c>
      <c r="F18" s="3469" t="s">
        <v>3081</v>
      </c>
      <c r="G18" s="3469" t="s">
        <v>3026</v>
      </c>
      <c r="H18" s="3469" t="s">
        <v>3082</v>
      </c>
      <c r="I18" s="3469">
        <v>8280</v>
      </c>
      <c r="J18" s="3469">
        <v>8400</v>
      </c>
      <c r="K18" s="3469">
        <v>369.97</v>
      </c>
      <c r="L18" s="3469">
        <v>1.45</v>
      </c>
      <c r="M18" s="3469" t="s">
        <v>3056</v>
      </c>
      <c r="N18" s="3469" t="s">
        <v>3034</v>
      </c>
    </row>
    <row r="19" spans="1:14">
      <c r="A19" s="3469" t="s">
        <v>3083</v>
      </c>
      <c r="B19" s="3469" t="s">
        <v>3023</v>
      </c>
      <c r="C19" s="3469" t="s">
        <v>3024</v>
      </c>
      <c r="D19" s="3469">
        <v>7183.5</v>
      </c>
      <c r="E19" s="3469">
        <v>14367</v>
      </c>
      <c r="F19" s="3469" t="s">
        <v>3084</v>
      </c>
      <c r="G19" s="3469" t="s">
        <v>3026</v>
      </c>
      <c r="H19" s="3469" t="s">
        <v>3082</v>
      </c>
      <c r="I19" s="3469">
        <v>520</v>
      </c>
      <c r="J19" s="3469">
        <v>560</v>
      </c>
      <c r="K19" s="3469">
        <v>389.77</v>
      </c>
      <c r="L19" s="3469">
        <v>7.69</v>
      </c>
      <c r="M19" s="3469" t="s">
        <v>3085</v>
      </c>
      <c r="N19" s="3469" t="s">
        <v>3034</v>
      </c>
    </row>
    <row r="20" spans="1:14">
      <c r="A20" s="3469" t="s">
        <v>3086</v>
      </c>
      <c r="B20" s="3469" t="s">
        <v>3023</v>
      </c>
      <c r="C20" s="3469" t="s">
        <v>3024</v>
      </c>
      <c r="D20" s="3469">
        <v>6666.6</v>
      </c>
      <c r="E20" s="3469">
        <v>7999.92</v>
      </c>
      <c r="F20" s="3469" t="s">
        <v>3087</v>
      </c>
      <c r="G20" s="3469" t="s">
        <v>3026</v>
      </c>
      <c r="H20" s="3469" t="s">
        <v>3082</v>
      </c>
      <c r="I20" s="3469">
        <v>720</v>
      </c>
      <c r="J20" s="3469">
        <v>740</v>
      </c>
      <c r="K20" s="3469">
        <v>925</v>
      </c>
      <c r="L20" s="3469">
        <v>2.78</v>
      </c>
      <c r="M20" s="3469" t="s">
        <v>3088</v>
      </c>
      <c r="N20" s="3469" t="s">
        <v>3034</v>
      </c>
    </row>
    <row r="21" spans="1:14">
      <c r="A21" s="3469" t="s">
        <v>3089</v>
      </c>
      <c r="B21" s="3469" t="s">
        <v>3023</v>
      </c>
      <c r="C21" s="3469" t="s">
        <v>3024</v>
      </c>
      <c r="D21" s="3469">
        <v>6032.6</v>
      </c>
      <c r="E21" s="3469">
        <v>7239.12</v>
      </c>
      <c r="F21" s="3469" t="s">
        <v>3087</v>
      </c>
      <c r="G21" s="3469" t="s">
        <v>3026</v>
      </c>
      <c r="H21" s="3469" t="s">
        <v>3082</v>
      </c>
      <c r="I21" s="3469">
        <v>650</v>
      </c>
      <c r="J21" s="3469">
        <v>670</v>
      </c>
      <c r="K21" s="3469">
        <v>925.52</v>
      </c>
      <c r="L21" s="3469">
        <v>3.08</v>
      </c>
      <c r="M21" s="3469" t="s">
        <v>3090</v>
      </c>
      <c r="N21" s="3469" t="s">
        <v>3034</v>
      </c>
    </row>
    <row r="22" spans="1:14">
      <c r="A22" s="3469" t="s">
        <v>3091</v>
      </c>
      <c r="B22" s="3469" t="s">
        <v>3023</v>
      </c>
      <c r="C22" s="3469" t="s">
        <v>3024</v>
      </c>
      <c r="D22" s="3469">
        <v>9714.2999999999993</v>
      </c>
      <c r="E22" s="3469">
        <v>11657.16</v>
      </c>
      <c r="F22" s="3469" t="s">
        <v>3087</v>
      </c>
      <c r="G22" s="3469" t="s">
        <v>3026</v>
      </c>
      <c r="H22" s="3469" t="s">
        <v>3082</v>
      </c>
      <c r="I22" s="3469">
        <v>1050</v>
      </c>
      <c r="J22" s="3469">
        <v>1050</v>
      </c>
      <c r="K22" s="3469">
        <v>900.73</v>
      </c>
      <c r="L22" s="3469">
        <v>0</v>
      </c>
      <c r="M22" s="3469" t="s">
        <v>3092</v>
      </c>
      <c r="N22" s="3469" t="s">
        <v>3034</v>
      </c>
    </row>
    <row r="23" spans="1:14">
      <c r="A23" s="3469" t="s">
        <v>3093</v>
      </c>
      <c r="B23" s="3469" t="s">
        <v>3023</v>
      </c>
      <c r="C23" s="3469" t="s">
        <v>3024</v>
      </c>
      <c r="D23" s="3469">
        <v>2579.6</v>
      </c>
      <c r="E23" s="3469">
        <v>1031.8399999999999</v>
      </c>
      <c r="F23" s="3469" t="s">
        <v>3094</v>
      </c>
      <c r="G23" s="3469" t="s">
        <v>3026</v>
      </c>
      <c r="H23" s="3469" t="s">
        <v>3082</v>
      </c>
      <c r="I23" s="3469">
        <v>500</v>
      </c>
      <c r="J23" s="3469">
        <v>540</v>
      </c>
      <c r="K23" s="3469">
        <v>5233.3599999999997</v>
      </c>
      <c r="L23" s="3469">
        <v>8</v>
      </c>
      <c r="M23" s="3469" t="s">
        <v>3095</v>
      </c>
      <c r="N23" s="3469" t="s">
        <v>3034</v>
      </c>
    </row>
    <row r="24" spans="1:14">
      <c r="A24" s="3469" t="s">
        <v>3089</v>
      </c>
      <c r="B24" s="3469" t="s">
        <v>3023</v>
      </c>
      <c r="C24" s="3469" t="s">
        <v>3024</v>
      </c>
      <c r="D24" s="3469">
        <v>11568.8</v>
      </c>
      <c r="E24" s="3469">
        <v>13882.56</v>
      </c>
      <c r="F24" s="3469" t="s">
        <v>3096</v>
      </c>
      <c r="G24" s="3469" t="s">
        <v>3026</v>
      </c>
      <c r="H24" s="3469" t="s">
        <v>3097</v>
      </c>
      <c r="I24" s="3469">
        <v>1170</v>
      </c>
      <c r="J24" s="3469">
        <v>1210</v>
      </c>
      <c r="K24" s="3469">
        <v>871.6</v>
      </c>
      <c r="L24" s="3469">
        <v>3.42</v>
      </c>
      <c r="M24" s="3469" t="s">
        <v>3098</v>
      </c>
      <c r="N24" s="3469" t="s">
        <v>3034</v>
      </c>
    </row>
    <row r="25" spans="1:14">
      <c r="A25" s="3469" t="s">
        <v>3089</v>
      </c>
      <c r="B25" s="3469" t="s">
        <v>3023</v>
      </c>
      <c r="C25" s="3469" t="s">
        <v>3024</v>
      </c>
      <c r="D25" s="3469">
        <v>3349.3</v>
      </c>
      <c r="E25" s="3469">
        <v>4019.16</v>
      </c>
      <c r="F25" s="3469" t="s">
        <v>3096</v>
      </c>
      <c r="G25" s="3469" t="s">
        <v>3026</v>
      </c>
      <c r="H25" s="3469" t="s">
        <v>3097</v>
      </c>
      <c r="I25" s="3469">
        <v>340</v>
      </c>
      <c r="J25" s="3469">
        <v>360</v>
      </c>
      <c r="K25" s="3469">
        <v>895.71</v>
      </c>
      <c r="L25" s="3469">
        <v>5.88</v>
      </c>
      <c r="M25" s="3469" t="s">
        <v>3099</v>
      </c>
      <c r="N25" s="3469" t="s">
        <v>3034</v>
      </c>
    </row>
    <row r="26" spans="1:14">
      <c r="A26" s="3469" t="s">
        <v>3089</v>
      </c>
      <c r="B26" s="3469" t="s">
        <v>3023</v>
      </c>
      <c r="C26" s="3469" t="s">
        <v>3024</v>
      </c>
      <c r="D26" s="3469">
        <v>7484.3</v>
      </c>
      <c r="E26" s="3469">
        <v>8981.16</v>
      </c>
      <c r="F26" s="3469" t="s">
        <v>3096</v>
      </c>
      <c r="G26" s="3469" t="s">
        <v>3026</v>
      </c>
      <c r="H26" s="3469" t="s">
        <v>3097</v>
      </c>
      <c r="I26" s="3469">
        <v>800</v>
      </c>
      <c r="J26" s="3469">
        <v>820</v>
      </c>
      <c r="K26" s="3469">
        <v>913.01</v>
      </c>
      <c r="L26" s="3469">
        <v>2.5</v>
      </c>
      <c r="M26" s="3469" t="s">
        <v>3100</v>
      </c>
      <c r="N26" s="3469" t="s">
        <v>3034</v>
      </c>
    </row>
    <row r="27" spans="1:14">
      <c r="A27" s="3469" t="s">
        <v>3101</v>
      </c>
      <c r="B27" s="3469" t="s">
        <v>3023</v>
      </c>
      <c r="C27" s="3469" t="s">
        <v>3024</v>
      </c>
      <c r="D27" s="3469">
        <v>11258.9</v>
      </c>
      <c r="E27" s="3469">
        <v>13510.68</v>
      </c>
      <c r="F27" s="3469" t="s">
        <v>3096</v>
      </c>
      <c r="G27" s="3469" t="s">
        <v>3026</v>
      </c>
      <c r="H27" s="3469" t="s">
        <v>3097</v>
      </c>
      <c r="I27" s="3469">
        <v>1140</v>
      </c>
      <c r="J27" s="3469">
        <v>1180</v>
      </c>
      <c r="K27" s="3469">
        <v>873.37</v>
      </c>
      <c r="L27" s="3469">
        <v>3.51</v>
      </c>
      <c r="M27" s="3469" t="s">
        <v>3102</v>
      </c>
      <c r="N27" s="3469" t="s">
        <v>3034</v>
      </c>
    </row>
    <row r="28" spans="1:14">
      <c r="A28" s="3469" t="s">
        <v>3101</v>
      </c>
      <c r="B28" s="3469" t="s">
        <v>3023</v>
      </c>
      <c r="C28" s="3469" t="s">
        <v>3024</v>
      </c>
      <c r="D28" s="3469">
        <v>6879.6</v>
      </c>
      <c r="E28" s="3469">
        <v>8255.52</v>
      </c>
      <c r="F28" s="3469" t="s">
        <v>3096</v>
      </c>
      <c r="G28" s="3469" t="s">
        <v>3026</v>
      </c>
      <c r="H28" s="3469" t="s">
        <v>3097</v>
      </c>
      <c r="I28" s="3469">
        <v>700</v>
      </c>
      <c r="J28" s="3469">
        <v>720</v>
      </c>
      <c r="K28" s="3469">
        <v>872.13</v>
      </c>
      <c r="L28" s="3469">
        <v>2.86</v>
      </c>
      <c r="M28" s="3469" t="s">
        <v>3103</v>
      </c>
      <c r="N28" s="3469" t="s">
        <v>3034</v>
      </c>
    </row>
    <row r="29" spans="1:14">
      <c r="A29" s="3469" t="s">
        <v>3101</v>
      </c>
      <c r="B29" s="3469" t="s">
        <v>3023</v>
      </c>
      <c r="C29" s="3469" t="s">
        <v>3024</v>
      </c>
      <c r="D29" s="3469">
        <v>7196.7</v>
      </c>
      <c r="E29" s="3469">
        <v>8636.0400000000009</v>
      </c>
      <c r="F29" s="3469" t="s">
        <v>3096</v>
      </c>
      <c r="G29" s="3469" t="s">
        <v>3026</v>
      </c>
      <c r="H29" s="3469" t="s">
        <v>3097</v>
      </c>
      <c r="I29" s="3469">
        <v>770</v>
      </c>
      <c r="J29" s="3469">
        <v>790</v>
      </c>
      <c r="K29" s="3469">
        <v>914.76</v>
      </c>
      <c r="L29" s="3469">
        <v>2.6</v>
      </c>
      <c r="M29" s="3469" t="s">
        <v>3104</v>
      </c>
      <c r="N29" s="3469" t="s">
        <v>3034</v>
      </c>
    </row>
    <row r="30" spans="1:14">
      <c r="A30" s="3469" t="s">
        <v>3105</v>
      </c>
      <c r="B30" s="3469" t="s">
        <v>3023</v>
      </c>
      <c r="C30" s="3469" t="s">
        <v>3024</v>
      </c>
      <c r="D30" s="3469">
        <v>27843.200000000001</v>
      </c>
      <c r="E30" s="3469">
        <v>83529.600000000006</v>
      </c>
      <c r="F30" s="3469" t="s">
        <v>3106</v>
      </c>
      <c r="G30" s="3469" t="s">
        <v>3026</v>
      </c>
      <c r="H30" s="3469" t="s">
        <v>3097</v>
      </c>
      <c r="I30" s="3469">
        <v>3790</v>
      </c>
      <c r="J30" s="3469">
        <v>3870</v>
      </c>
      <c r="K30" s="3469">
        <v>463.31</v>
      </c>
      <c r="L30" s="3469">
        <v>2.11</v>
      </c>
      <c r="M30" s="3469" t="s">
        <v>3107</v>
      </c>
      <c r="N30" s="3469" t="s">
        <v>3034</v>
      </c>
    </row>
    <row r="31" spans="1:14">
      <c r="A31" s="3469" t="s">
        <v>3108</v>
      </c>
      <c r="B31" s="3469" t="s">
        <v>3023</v>
      </c>
      <c r="C31" s="3469" t="s">
        <v>3024</v>
      </c>
      <c r="D31" s="3469">
        <v>28598.9</v>
      </c>
      <c r="E31" s="3469">
        <v>85796.7</v>
      </c>
      <c r="F31" s="3469" t="s">
        <v>3106</v>
      </c>
      <c r="G31" s="3469" t="s">
        <v>3026</v>
      </c>
      <c r="H31" s="3469" t="s">
        <v>3097</v>
      </c>
      <c r="I31" s="3469">
        <v>4340</v>
      </c>
      <c r="J31" s="3469">
        <v>4420</v>
      </c>
      <c r="K31" s="3469">
        <v>515.16</v>
      </c>
      <c r="L31" s="3469">
        <v>1.84</v>
      </c>
      <c r="M31" s="3469" t="s">
        <v>3107</v>
      </c>
      <c r="N31" s="3469" t="s">
        <v>3034</v>
      </c>
    </row>
    <row r="32" spans="1:14">
      <c r="A32" s="3469" t="s">
        <v>3109</v>
      </c>
      <c r="B32" s="3469" t="s">
        <v>3023</v>
      </c>
      <c r="C32" s="3469" t="s">
        <v>3024</v>
      </c>
      <c r="D32" s="3469">
        <v>41066.1</v>
      </c>
      <c r="E32" s="3469">
        <v>143731.29999999999</v>
      </c>
      <c r="F32" s="3469" t="s">
        <v>3110</v>
      </c>
      <c r="G32" s="3469" t="s">
        <v>3026</v>
      </c>
      <c r="H32" s="3469" t="s">
        <v>3097</v>
      </c>
      <c r="I32" s="3469">
        <v>6750</v>
      </c>
      <c r="J32" s="3469">
        <v>6870</v>
      </c>
      <c r="K32" s="3469">
        <v>477.98</v>
      </c>
      <c r="L32" s="3469">
        <v>1.78</v>
      </c>
      <c r="M32" s="3469" t="s">
        <v>3111</v>
      </c>
      <c r="N32" s="3469" t="s">
        <v>3034</v>
      </c>
    </row>
    <row r="33" spans="1:14">
      <c r="A33" s="3469" t="s">
        <v>3112</v>
      </c>
      <c r="B33" s="3469" t="s">
        <v>3023</v>
      </c>
      <c r="C33" s="3469" t="s">
        <v>3024</v>
      </c>
      <c r="D33" s="3469">
        <v>13545.5</v>
      </c>
      <c r="E33" s="3469">
        <v>24381.9</v>
      </c>
      <c r="F33" s="3469" t="s">
        <v>3113</v>
      </c>
      <c r="G33" s="3469" t="s">
        <v>3026</v>
      </c>
      <c r="H33" s="3469" t="s">
        <v>3097</v>
      </c>
      <c r="I33" s="3469">
        <v>1240</v>
      </c>
      <c r="J33" s="3469">
        <v>1340</v>
      </c>
      <c r="K33" s="3469">
        <v>549.59</v>
      </c>
      <c r="L33" s="3469">
        <v>8.06</v>
      </c>
      <c r="M33" s="3469" t="s">
        <v>3114</v>
      </c>
      <c r="N33" s="3469" t="s">
        <v>3034</v>
      </c>
    </row>
    <row r="34" spans="1:14">
      <c r="A34" s="3469" t="s">
        <v>3115</v>
      </c>
      <c r="B34" s="3469" t="s">
        <v>3023</v>
      </c>
      <c r="C34" s="3469" t="s">
        <v>3024</v>
      </c>
      <c r="D34" s="3469">
        <v>9410.4</v>
      </c>
      <c r="E34" s="3469">
        <v>18820.8</v>
      </c>
      <c r="F34" s="3469" t="s">
        <v>3116</v>
      </c>
      <c r="G34" s="3469" t="s">
        <v>3026</v>
      </c>
      <c r="H34" s="3469" t="s">
        <v>3117</v>
      </c>
      <c r="I34" s="3469">
        <v>720</v>
      </c>
      <c r="J34" s="3469">
        <v>780</v>
      </c>
      <c r="K34" s="3469">
        <v>414.43</v>
      </c>
      <c r="L34" s="3469">
        <v>8.33</v>
      </c>
      <c r="M34" s="3469" t="s">
        <v>3118</v>
      </c>
      <c r="N34" s="3469" t="s">
        <v>3034</v>
      </c>
    </row>
    <row r="35" spans="1:14">
      <c r="A35" s="3469" t="s">
        <v>3119</v>
      </c>
      <c r="B35" s="3469" t="s">
        <v>3023</v>
      </c>
      <c r="C35" s="3469" t="s">
        <v>3024</v>
      </c>
      <c r="D35" s="3469">
        <v>13660.5</v>
      </c>
      <c r="E35" s="3469">
        <v>27321</v>
      </c>
      <c r="F35" s="3469" t="s">
        <v>3116</v>
      </c>
      <c r="G35" s="3469" t="s">
        <v>3026</v>
      </c>
      <c r="H35" s="3469" t="s">
        <v>3117</v>
      </c>
      <c r="I35" s="3469">
        <v>1230</v>
      </c>
      <c r="J35" s="3469">
        <v>1400</v>
      </c>
      <c r="K35" s="3469">
        <v>512.41999999999996</v>
      </c>
      <c r="L35" s="3469">
        <v>13.82</v>
      </c>
      <c r="M35" s="3469" t="s">
        <v>3056</v>
      </c>
      <c r="N35" s="3469" t="s">
        <v>3034</v>
      </c>
    </row>
    <row r="36" spans="1:14">
      <c r="A36" s="3469" t="s">
        <v>3120</v>
      </c>
      <c r="B36" s="3469" t="s">
        <v>3023</v>
      </c>
      <c r="C36" s="3469" t="s">
        <v>3024</v>
      </c>
      <c r="D36" s="3469">
        <v>5226.2</v>
      </c>
      <c r="E36" s="3469">
        <v>6271.44</v>
      </c>
      <c r="F36" s="3469" t="s">
        <v>3121</v>
      </c>
      <c r="G36" s="3469" t="s">
        <v>3026</v>
      </c>
      <c r="H36" s="3469" t="s">
        <v>3117</v>
      </c>
      <c r="I36" s="3469">
        <v>800</v>
      </c>
      <c r="J36" s="3469">
        <v>920</v>
      </c>
      <c r="K36" s="3469">
        <v>1466.97</v>
      </c>
      <c r="L36" s="3469">
        <v>15</v>
      </c>
      <c r="M36" s="3469" t="s">
        <v>3122</v>
      </c>
      <c r="N36" s="3469" t="s">
        <v>3034</v>
      </c>
    </row>
    <row r="37" spans="1:14">
      <c r="A37" s="3469" t="s">
        <v>3123</v>
      </c>
      <c r="B37" s="3469" t="s">
        <v>3023</v>
      </c>
      <c r="C37" s="3469" t="s">
        <v>3024</v>
      </c>
      <c r="D37" s="3469">
        <v>2349.1999999999998</v>
      </c>
      <c r="E37" s="3469">
        <v>4698.3999999999996</v>
      </c>
      <c r="F37" s="3469" t="s">
        <v>3116</v>
      </c>
      <c r="G37" s="3469" t="s">
        <v>3026</v>
      </c>
      <c r="H37" s="3469" t="s">
        <v>3124</v>
      </c>
      <c r="I37" s="3469">
        <v>530</v>
      </c>
      <c r="J37" s="3469">
        <v>550</v>
      </c>
      <c r="K37" s="3469">
        <v>1170.5999999999999</v>
      </c>
      <c r="L37" s="3469">
        <v>3.77</v>
      </c>
      <c r="M37" s="3469" t="s">
        <v>3125</v>
      </c>
      <c r="N37" s="3469" t="s">
        <v>3034</v>
      </c>
    </row>
    <row r="38" spans="1:14">
      <c r="A38" s="3469" t="s">
        <v>3126</v>
      </c>
      <c r="B38" s="3469" t="s">
        <v>3023</v>
      </c>
      <c r="C38" s="3469" t="s">
        <v>3024</v>
      </c>
      <c r="D38" s="3469">
        <v>5345.2</v>
      </c>
      <c r="E38" s="3469">
        <v>6414.24</v>
      </c>
      <c r="F38" s="3469" t="s">
        <v>3096</v>
      </c>
      <c r="G38" s="3469" t="s">
        <v>3026</v>
      </c>
      <c r="H38" s="3469" t="s">
        <v>3124</v>
      </c>
      <c r="I38" s="3469">
        <v>540</v>
      </c>
      <c r="J38" s="3469">
        <v>600</v>
      </c>
      <c r="K38" s="3469">
        <v>935.41</v>
      </c>
      <c r="L38" s="3469">
        <v>11.11</v>
      </c>
      <c r="M38" s="3469" t="s">
        <v>3127</v>
      </c>
      <c r="N38" s="3469" t="s">
        <v>3034</v>
      </c>
    </row>
    <row r="39" spans="1:14">
      <c r="A39" s="3469" t="s">
        <v>3128</v>
      </c>
      <c r="B39" s="3469" t="s">
        <v>3023</v>
      </c>
      <c r="C39" s="3469" t="s">
        <v>3024</v>
      </c>
      <c r="D39" s="3469">
        <v>25922.2</v>
      </c>
      <c r="E39" s="3469">
        <v>31106.639999999999</v>
      </c>
      <c r="F39" s="3469" t="s">
        <v>3096</v>
      </c>
      <c r="G39" s="3469" t="s">
        <v>3026</v>
      </c>
      <c r="H39" s="3469" t="s">
        <v>3124</v>
      </c>
      <c r="I39" s="3469">
        <v>1170</v>
      </c>
      <c r="J39" s="3469">
        <v>1230</v>
      </c>
      <c r="K39" s="3469">
        <v>395.41</v>
      </c>
      <c r="L39" s="3469">
        <v>5.13</v>
      </c>
      <c r="M39" s="3469" t="s">
        <v>3129</v>
      </c>
      <c r="N39" s="3469" t="s">
        <v>3034</v>
      </c>
    </row>
    <row r="40" spans="1:14">
      <c r="A40" s="3469" t="s">
        <v>3130</v>
      </c>
      <c r="B40" s="3469" t="s">
        <v>3023</v>
      </c>
      <c r="C40" s="3469" t="s">
        <v>3024</v>
      </c>
      <c r="D40" s="3469">
        <v>10068.700000000001</v>
      </c>
      <c r="E40" s="3469">
        <v>12082.44</v>
      </c>
      <c r="F40" s="3469" t="s">
        <v>3096</v>
      </c>
      <c r="G40" s="3469" t="s">
        <v>3026</v>
      </c>
      <c r="H40" s="3469" t="s">
        <v>3124</v>
      </c>
      <c r="I40" s="3469">
        <v>1060</v>
      </c>
      <c r="J40" s="3469">
        <v>1140</v>
      </c>
      <c r="K40" s="3469">
        <v>943.51</v>
      </c>
      <c r="L40" s="3469">
        <v>7.55</v>
      </c>
      <c r="M40" s="3469" t="s">
        <v>3131</v>
      </c>
      <c r="N40" s="3469" t="s">
        <v>3034</v>
      </c>
    </row>
    <row r="41" spans="1:14">
      <c r="A41" s="3469" t="s">
        <v>3132</v>
      </c>
      <c r="B41" s="3469" t="s">
        <v>3023</v>
      </c>
      <c r="C41" s="3469" t="s">
        <v>3024</v>
      </c>
      <c r="D41" s="3469">
        <v>32483.9</v>
      </c>
      <c r="E41" s="3469">
        <v>81209.75</v>
      </c>
      <c r="F41" s="3469" t="s">
        <v>3133</v>
      </c>
      <c r="G41" s="3469" t="s">
        <v>3026</v>
      </c>
      <c r="H41" s="3469" t="s">
        <v>3124</v>
      </c>
      <c r="I41" s="3469">
        <v>4600</v>
      </c>
      <c r="J41" s="3469">
        <v>4900</v>
      </c>
      <c r="K41" s="3469">
        <v>603.37</v>
      </c>
      <c r="L41" s="3469">
        <v>6.52</v>
      </c>
      <c r="M41" s="3469" t="s">
        <v>3134</v>
      </c>
      <c r="N41" s="3469" t="s">
        <v>3034</v>
      </c>
    </row>
    <row r="42" spans="1:14">
      <c r="A42" s="3469" t="s">
        <v>3135</v>
      </c>
      <c r="B42" s="3469" t="s">
        <v>3023</v>
      </c>
      <c r="C42" s="3469" t="s">
        <v>3024</v>
      </c>
      <c r="D42" s="3469">
        <v>3287.4</v>
      </c>
      <c r="E42" s="3469">
        <v>4931.1000000000004</v>
      </c>
      <c r="F42" s="3469" t="s">
        <v>3077</v>
      </c>
      <c r="G42" s="3469" t="s">
        <v>3026</v>
      </c>
      <c r="H42" s="3469" t="s">
        <v>3124</v>
      </c>
      <c r="I42" s="3469">
        <v>220</v>
      </c>
      <c r="J42" s="3469">
        <v>240</v>
      </c>
      <c r="K42" s="3469">
        <v>486.7</v>
      </c>
      <c r="L42" s="3469">
        <v>9.09</v>
      </c>
      <c r="M42" s="3469" t="s">
        <v>3136</v>
      </c>
      <c r="N42" s="3469" t="s">
        <v>3029</v>
      </c>
    </row>
    <row r="43" spans="1:14">
      <c r="A43" s="3469" t="s">
        <v>3137</v>
      </c>
      <c r="B43" s="3469" t="s">
        <v>3023</v>
      </c>
      <c r="C43" s="3469" t="s">
        <v>3024</v>
      </c>
      <c r="D43" s="3469">
        <v>2129</v>
      </c>
      <c r="E43" s="3469">
        <v>6387</v>
      </c>
      <c r="F43" s="3469" t="s">
        <v>3106</v>
      </c>
      <c r="G43" s="3469" t="s">
        <v>3026</v>
      </c>
      <c r="H43" s="3469" t="s">
        <v>3138</v>
      </c>
      <c r="I43" s="3469">
        <v>390</v>
      </c>
      <c r="J43" s="3469">
        <v>450</v>
      </c>
      <c r="K43" s="3469">
        <v>704.55</v>
      </c>
      <c r="L43" s="3469">
        <v>15.38</v>
      </c>
      <c r="M43" s="3469" t="s">
        <v>3139</v>
      </c>
      <c r="N43" s="3469" t="s">
        <v>3029</v>
      </c>
    </row>
    <row r="44" spans="1:14">
      <c r="A44" s="3469" t="s">
        <v>3140</v>
      </c>
      <c r="B44" s="3469" t="s">
        <v>3023</v>
      </c>
      <c r="C44" s="3469" t="s">
        <v>3024</v>
      </c>
      <c r="D44" s="3469">
        <v>15831.4</v>
      </c>
      <c r="E44" s="3469">
        <v>63325.599999999999</v>
      </c>
      <c r="F44" s="3469" t="s">
        <v>3141</v>
      </c>
      <c r="G44" s="3469" t="s">
        <v>3026</v>
      </c>
      <c r="H44" s="3469" t="s">
        <v>3138</v>
      </c>
      <c r="I44" s="3469">
        <v>2560</v>
      </c>
      <c r="J44" s="3469">
        <v>2640</v>
      </c>
      <c r="K44" s="3469">
        <v>416.88</v>
      </c>
      <c r="L44" s="3469">
        <v>3.13</v>
      </c>
      <c r="M44" s="3469" t="s">
        <v>3142</v>
      </c>
      <c r="N44" s="3469" t="s">
        <v>3034</v>
      </c>
    </row>
    <row r="45" spans="1:14">
      <c r="A45" s="3469" t="s">
        <v>3143</v>
      </c>
      <c r="B45" s="3469" t="s">
        <v>3023</v>
      </c>
      <c r="C45" s="3469" t="s">
        <v>3024</v>
      </c>
      <c r="D45" s="3469">
        <v>55600.1</v>
      </c>
      <c r="E45" s="3469">
        <v>222400.4</v>
      </c>
      <c r="F45" s="3469" t="s">
        <v>3141</v>
      </c>
      <c r="G45" s="3469" t="s">
        <v>3026</v>
      </c>
      <c r="H45" s="3469" t="s">
        <v>3138</v>
      </c>
      <c r="I45" s="3469">
        <v>8900</v>
      </c>
      <c r="J45" s="3469">
        <v>9120</v>
      </c>
      <c r="K45" s="3469">
        <v>410.06</v>
      </c>
      <c r="L45" s="3469">
        <v>2.4700000000000002</v>
      </c>
      <c r="M45" s="3469" t="s">
        <v>3142</v>
      </c>
      <c r="N45" s="3469" t="s">
        <v>3034</v>
      </c>
    </row>
    <row r="46" spans="1:14">
      <c r="A46" s="3469" t="s">
        <v>3144</v>
      </c>
      <c r="B46" s="3469" t="s">
        <v>3023</v>
      </c>
      <c r="C46" s="3469" t="s">
        <v>3024</v>
      </c>
      <c r="D46" s="3469">
        <v>4987</v>
      </c>
      <c r="E46" s="3469">
        <v>14961</v>
      </c>
      <c r="F46" s="3469" t="s">
        <v>3145</v>
      </c>
      <c r="G46" s="3469" t="s">
        <v>3026</v>
      </c>
      <c r="H46" s="3469" t="s">
        <v>3146</v>
      </c>
      <c r="I46" s="3469">
        <v>920</v>
      </c>
      <c r="J46" s="3469">
        <v>980</v>
      </c>
      <c r="K46" s="3469">
        <v>655.03</v>
      </c>
      <c r="L46" s="3469">
        <v>6.52</v>
      </c>
      <c r="M46" s="3469" t="s">
        <v>3139</v>
      </c>
      <c r="N46" s="3469" t="s">
        <v>3029</v>
      </c>
    </row>
    <row r="47" spans="1:14">
      <c r="A47" s="3469" t="s">
        <v>3147</v>
      </c>
      <c r="B47" s="3469" t="s">
        <v>3023</v>
      </c>
      <c r="C47" s="3469" t="s">
        <v>3024</v>
      </c>
      <c r="D47" s="3469">
        <v>11943.2</v>
      </c>
      <c r="E47" s="3469">
        <v>41801.199999999997</v>
      </c>
      <c r="F47" s="3469" t="s">
        <v>3110</v>
      </c>
      <c r="G47" s="3469" t="s">
        <v>3026</v>
      </c>
      <c r="H47" s="3469" t="s">
        <v>3146</v>
      </c>
      <c r="I47" s="3469">
        <v>800</v>
      </c>
      <c r="J47" s="3469">
        <v>880</v>
      </c>
      <c r="K47" s="3469">
        <v>210.52</v>
      </c>
      <c r="L47" s="3469">
        <v>10</v>
      </c>
      <c r="M47" s="3469" t="s">
        <v>3148</v>
      </c>
      <c r="N47" s="3469" t="s">
        <v>3034</v>
      </c>
    </row>
    <row r="48" spans="1:14">
      <c r="A48" s="3469" t="s">
        <v>3149</v>
      </c>
      <c r="B48" s="3469" t="s">
        <v>3023</v>
      </c>
      <c r="C48" s="3469" t="s">
        <v>3024</v>
      </c>
      <c r="D48" s="3469">
        <v>4492.2</v>
      </c>
      <c r="E48" s="3469">
        <v>15722.7</v>
      </c>
      <c r="F48" s="3469" t="s">
        <v>3150</v>
      </c>
      <c r="G48" s="3469" t="s">
        <v>3026</v>
      </c>
      <c r="H48" s="3469" t="s">
        <v>3151</v>
      </c>
      <c r="I48" s="3469">
        <v>750</v>
      </c>
      <c r="J48" s="3469">
        <v>750</v>
      </c>
      <c r="K48" s="3469">
        <v>477.01</v>
      </c>
      <c r="L48" s="3469">
        <v>0</v>
      </c>
      <c r="M48" s="3469" t="s">
        <v>3152</v>
      </c>
      <c r="N48" s="3469" t="s">
        <v>3034</v>
      </c>
    </row>
    <row r="49" spans="1:14">
      <c r="A49" s="3469" t="s">
        <v>3153</v>
      </c>
      <c r="B49" s="3469" t="s">
        <v>3023</v>
      </c>
      <c r="C49" s="3469" t="s">
        <v>3024</v>
      </c>
      <c r="D49" s="3469">
        <v>11998.5</v>
      </c>
      <c r="E49" s="3469">
        <v>14398.2</v>
      </c>
      <c r="F49" s="3469" t="s">
        <v>3031</v>
      </c>
      <c r="G49" s="3469" t="s">
        <v>3026</v>
      </c>
      <c r="H49" s="3469" t="s">
        <v>3154</v>
      </c>
      <c r="I49" s="3469">
        <v>1500</v>
      </c>
      <c r="J49" s="3469">
        <v>1500</v>
      </c>
      <c r="K49" s="3469">
        <v>1041.79</v>
      </c>
      <c r="L49" s="3469">
        <v>0</v>
      </c>
      <c r="M49" s="3469" t="s">
        <v>3155</v>
      </c>
      <c r="N49" s="3469" t="s">
        <v>3034</v>
      </c>
    </row>
    <row r="50" spans="1:14">
      <c r="A50" s="3469" t="s">
        <v>3156</v>
      </c>
      <c r="B50" s="3469" t="s">
        <v>3023</v>
      </c>
      <c r="C50" s="3469" t="s">
        <v>3024</v>
      </c>
      <c r="D50" s="3469">
        <v>103456.5</v>
      </c>
      <c r="E50" s="3469">
        <v>310369.5</v>
      </c>
      <c r="F50" s="3469" t="s">
        <v>3157</v>
      </c>
      <c r="G50" s="3469" t="s">
        <v>3026</v>
      </c>
      <c r="H50" s="3469" t="s">
        <v>3154</v>
      </c>
      <c r="I50" s="3469">
        <v>7400</v>
      </c>
      <c r="J50" s="3469">
        <v>7400</v>
      </c>
      <c r="K50" s="3469">
        <v>238.43</v>
      </c>
      <c r="L50" s="3469">
        <v>0</v>
      </c>
      <c r="M50" s="3469" t="s">
        <v>3158</v>
      </c>
      <c r="N50" s="3469" t="s">
        <v>3034</v>
      </c>
    </row>
    <row r="51" spans="1:14">
      <c r="A51" s="3469" t="s">
        <v>3159</v>
      </c>
      <c r="B51" s="3469" t="s">
        <v>3023</v>
      </c>
      <c r="C51" s="3469" t="s">
        <v>3024</v>
      </c>
      <c r="D51" s="3469">
        <v>1333.4</v>
      </c>
      <c r="E51" s="3469">
        <v>1333.4</v>
      </c>
      <c r="F51" s="3469" t="s">
        <v>3160</v>
      </c>
      <c r="G51" s="3469" t="s">
        <v>3026</v>
      </c>
      <c r="H51" s="3469" t="s">
        <v>3154</v>
      </c>
      <c r="I51" s="3469">
        <v>110</v>
      </c>
      <c r="J51" s="3469">
        <v>110</v>
      </c>
      <c r="K51" s="3469">
        <v>824.96</v>
      </c>
      <c r="L51" s="3469">
        <v>0</v>
      </c>
      <c r="M51" s="3469" t="s">
        <v>3161</v>
      </c>
      <c r="N51" s="3469" t="s">
        <v>3029</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2" t="s">
        <v>522</v>
      </c>
      <c r="D6" s="3363"/>
      <c r="E6" s="3386" t="s">
        <v>523</v>
      </c>
      <c r="F6" s="3387"/>
      <c r="G6" s="3362" t="s">
        <v>524</v>
      </c>
      <c r="H6" s="3363"/>
      <c r="I6" s="3362" t="s">
        <v>525</v>
      </c>
      <c r="J6" s="3363"/>
      <c r="K6" s="514" t="s">
        <v>526</v>
      </c>
      <c r="L6" s="2134"/>
      <c r="M6" s="2135"/>
      <c r="N6" s="2135"/>
      <c r="O6" s="2135"/>
      <c r="P6" s="3364" t="s">
        <v>527</v>
      </c>
      <c r="Q6" s="3365"/>
      <c r="R6" s="3350" t="s">
        <v>523</v>
      </c>
      <c r="S6" s="3351"/>
      <c r="T6" s="3350" t="s">
        <v>524</v>
      </c>
      <c r="U6" s="3351"/>
      <c r="V6" s="3370" t="s">
        <v>525</v>
      </c>
      <c r="W6" s="3370"/>
      <c r="X6" s="1568"/>
      <c r="Y6" s="3350" t="s">
        <v>527</v>
      </c>
      <c r="Z6" s="3351"/>
      <c r="AA6" s="3345" t="s">
        <v>523</v>
      </c>
      <c r="AB6" s="3346" t="s">
        <v>524</v>
      </c>
      <c r="AC6" s="3345" t="s">
        <v>525</v>
      </c>
    </row>
    <row r="7" spans="1:29" ht="15">
      <c r="A7" s="515"/>
      <c r="B7" s="516"/>
      <c r="C7" s="3373" t="s">
        <v>2931</v>
      </c>
      <c r="D7" s="3374"/>
      <c r="E7" s="3388" t="s">
        <v>2932</v>
      </c>
      <c r="F7" s="3389"/>
      <c r="G7" s="3373" t="s">
        <v>2933</v>
      </c>
      <c r="H7" s="3374"/>
      <c r="I7" s="3373" t="s">
        <v>2934</v>
      </c>
      <c r="J7" s="3374"/>
      <c r="K7" s="514"/>
      <c r="L7" s="2134"/>
      <c r="M7" s="2135"/>
      <c r="N7" s="2135"/>
      <c r="O7" s="2135"/>
      <c r="P7" s="3366"/>
      <c r="Q7" s="3367"/>
      <c r="R7" s="3352"/>
      <c r="S7" s="3353"/>
      <c r="T7" s="3352"/>
      <c r="U7" s="3353"/>
      <c r="V7" s="3370"/>
      <c r="W7" s="3370"/>
      <c r="X7" s="1568"/>
      <c r="Y7" s="3352"/>
      <c r="Z7" s="3353"/>
      <c r="AA7" s="3346"/>
      <c r="AB7" s="3346"/>
      <c r="AC7" s="3346"/>
    </row>
    <row r="8" spans="1:29" ht="15.75" thickBot="1">
      <c r="A8" s="517"/>
      <c r="B8" s="518"/>
      <c r="C8" s="3371" t="s">
        <v>2935</v>
      </c>
      <c r="D8" s="3372"/>
      <c r="E8" s="3390" t="s">
        <v>2935</v>
      </c>
      <c r="F8" s="3391"/>
      <c r="G8" s="3371" t="s">
        <v>2935</v>
      </c>
      <c r="H8" s="3372"/>
      <c r="I8" s="3371" t="s">
        <v>2935</v>
      </c>
      <c r="J8" s="3372"/>
      <c r="K8" s="514" t="s">
        <v>528</v>
      </c>
      <c r="L8" s="2134"/>
      <c r="M8" s="2135"/>
      <c r="N8" s="2135"/>
      <c r="O8" s="2135"/>
      <c r="P8" s="3368"/>
      <c r="Q8" s="3369"/>
      <c r="R8" s="3352"/>
      <c r="S8" s="3353"/>
      <c r="T8" s="3354"/>
      <c r="U8" s="3355"/>
      <c r="V8" s="3370"/>
      <c r="W8" s="3370"/>
      <c r="X8" s="1568"/>
      <c r="Y8" s="3354"/>
      <c r="Z8" s="3355"/>
      <c r="AA8" s="3347"/>
      <c r="AB8" s="3347"/>
      <c r="AC8" s="3347"/>
    </row>
    <row r="9" spans="1:29" s="1220" customFormat="1" ht="15.75" thickBot="1">
      <c r="A9" s="2890"/>
      <c r="B9" s="2897" t="s">
        <v>529</v>
      </c>
      <c r="C9" s="519">
        <f>'数据-取费表'!B2</f>
        <v>43487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48" t="s">
        <v>530</v>
      </c>
      <c r="Q9" s="3357"/>
      <c r="R9" s="1569" t="s">
        <v>8</v>
      </c>
      <c r="S9" s="1570">
        <f t="shared" ref="S9:S17" si="0">F9</f>
        <v>0</v>
      </c>
      <c r="T9" s="1569" t="s">
        <v>8</v>
      </c>
      <c r="U9" s="1570">
        <f t="shared" ref="U9:U17" si="1">H9</f>
        <v>0</v>
      </c>
      <c r="V9" s="1569" t="s">
        <v>8</v>
      </c>
      <c r="W9" s="1570">
        <f t="shared" ref="W9:W17" si="2">J9</f>
        <v>0</v>
      </c>
      <c r="X9" s="1571"/>
      <c r="Y9" s="3348" t="s">
        <v>530</v>
      </c>
      <c r="Z9" s="3349"/>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48" t="s">
        <v>533</v>
      </c>
      <c r="Q10" s="3349"/>
      <c r="R10" s="1569" t="s">
        <v>8</v>
      </c>
      <c r="S10" s="1570">
        <f t="shared" si="0"/>
        <v>0</v>
      </c>
      <c r="T10" s="1569" t="s">
        <v>8</v>
      </c>
      <c r="U10" s="1570">
        <f t="shared" si="1"/>
        <v>0</v>
      </c>
      <c r="V10" s="1569" t="s">
        <v>8</v>
      </c>
      <c r="W10" s="1570">
        <f t="shared" si="2"/>
        <v>0</v>
      </c>
      <c r="X10" s="1571"/>
      <c r="Y10" s="3348" t="s">
        <v>533</v>
      </c>
      <c r="Z10" s="3349"/>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6" t="s">
        <v>535</v>
      </c>
      <c r="Q11" s="1151" t="str">
        <f t="shared" ref="Q11:Q17" si="6">B11</f>
        <v>用途</v>
      </c>
      <c r="R11" s="1569" t="s">
        <v>8</v>
      </c>
      <c r="S11" s="1570">
        <f t="shared" si="0"/>
        <v>100</v>
      </c>
      <c r="T11" s="1569" t="s">
        <v>8</v>
      </c>
      <c r="U11" s="1570">
        <f t="shared" si="1"/>
        <v>100</v>
      </c>
      <c r="V11" s="1569" t="s">
        <v>8</v>
      </c>
      <c r="W11" s="1570">
        <f t="shared" si="2"/>
        <v>100</v>
      </c>
      <c r="X11" s="1571"/>
      <c r="Y11" s="3313"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56"/>
      <c r="Q12" s="1151" t="str">
        <f t="shared" si="6"/>
        <v>土地使用年限（年）</v>
      </c>
      <c r="R12" s="1569" t="s">
        <v>8</v>
      </c>
      <c r="S12" s="1570">
        <f t="shared" si="0"/>
        <v>106</v>
      </c>
      <c r="T12" s="1569" t="s">
        <v>8</v>
      </c>
      <c r="U12" s="1570">
        <f t="shared" si="1"/>
        <v>106</v>
      </c>
      <c r="V12" s="1569" t="s">
        <v>8</v>
      </c>
      <c r="W12" s="1570">
        <f t="shared" si="2"/>
        <v>106</v>
      </c>
      <c r="X12" s="1571"/>
      <c r="Y12" s="3313"/>
      <c r="Z12" s="1150" t="str">
        <f t="shared" si="7"/>
        <v>土地使用年限（年）</v>
      </c>
      <c r="AA12" s="1572">
        <f t="shared" si="3"/>
        <v>0.94339622641509435</v>
      </c>
      <c r="AB12" s="1572">
        <f t="shared" si="4"/>
        <v>0.94339622641509435</v>
      </c>
      <c r="AC12" s="1572">
        <f t="shared" si="5"/>
        <v>0.94339622641509435</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6"/>
      <c r="Q13" s="1151" t="str">
        <f t="shared" si="6"/>
        <v>容积率</v>
      </c>
      <c r="R13" s="1569" t="s">
        <v>8</v>
      </c>
      <c r="S13" s="1570" t="e">
        <f t="shared" si="0"/>
        <v>#N/A</v>
      </c>
      <c r="T13" s="1569" t="s">
        <v>8</v>
      </c>
      <c r="U13" s="1570" t="e">
        <f t="shared" si="1"/>
        <v>#N/A</v>
      </c>
      <c r="V13" s="1569" t="s">
        <v>8</v>
      </c>
      <c r="W13" s="1570" t="e">
        <f t="shared" si="2"/>
        <v>#N/A</v>
      </c>
      <c r="X13" s="1571"/>
      <c r="Y13" s="3313"/>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6"/>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6"/>
      <c r="Q15" s="1151">
        <f t="shared" si="6"/>
        <v>111</v>
      </c>
      <c r="R15" s="1569" t="s">
        <v>8</v>
      </c>
      <c r="S15" s="1570">
        <f t="shared" si="0"/>
        <v>100</v>
      </c>
      <c r="T15" s="1569" t="s">
        <v>8</v>
      </c>
      <c r="U15" s="1570">
        <f t="shared" si="1"/>
        <v>100</v>
      </c>
      <c r="V15" s="1569" t="s">
        <v>8</v>
      </c>
      <c r="W15" s="1570">
        <f t="shared" si="2"/>
        <v>100</v>
      </c>
      <c r="X15" s="1571"/>
      <c r="Y15" s="3313"/>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6"/>
      <c r="Q16" s="1151">
        <f t="shared" si="6"/>
        <v>111</v>
      </c>
      <c r="R16" s="1569" t="s">
        <v>8</v>
      </c>
      <c r="S16" s="1570">
        <f t="shared" si="0"/>
        <v>100</v>
      </c>
      <c r="T16" s="1569" t="s">
        <v>8</v>
      </c>
      <c r="U16" s="1570">
        <f t="shared" si="1"/>
        <v>100</v>
      </c>
      <c r="V16" s="1569" t="s">
        <v>8</v>
      </c>
      <c r="W16" s="1570">
        <f t="shared" si="2"/>
        <v>100</v>
      </c>
      <c r="X16" s="1571"/>
      <c r="Y16" s="3313"/>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58" t="s">
        <v>540</v>
      </c>
      <c r="Q17" s="1573" t="str">
        <f t="shared" si="6"/>
        <v>产业集聚程度</v>
      </c>
      <c r="R17" s="1574" t="s">
        <v>8</v>
      </c>
      <c r="S17" s="1575">
        <f t="shared" si="0"/>
        <v>100</v>
      </c>
      <c r="T17" s="1574" t="s">
        <v>8</v>
      </c>
      <c r="U17" s="1575">
        <f t="shared" si="1"/>
        <v>100</v>
      </c>
      <c r="V17" s="1574" t="s">
        <v>8</v>
      </c>
      <c r="W17" s="1575">
        <f t="shared" si="2"/>
        <v>100</v>
      </c>
      <c r="X17" s="1568"/>
      <c r="Y17" s="335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59"/>
      <c r="Q18" s="1573"/>
      <c r="R18" s="1574"/>
      <c r="S18" s="1575"/>
      <c r="T18" s="1574"/>
      <c r="U18" s="1575"/>
      <c r="V18" s="1574"/>
      <c r="W18" s="1575"/>
      <c r="X18" s="1568"/>
      <c r="Y18" s="335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59"/>
      <c r="Q19" s="1573" t="str">
        <f>B19</f>
        <v>交通便捷度</v>
      </c>
      <c r="R19" s="1574" t="s">
        <v>8</v>
      </c>
      <c r="S19" s="1575">
        <f>F19</f>
        <v>100</v>
      </c>
      <c r="T19" s="1574" t="s">
        <v>8</v>
      </c>
      <c r="U19" s="1575">
        <f>H19</f>
        <v>100</v>
      </c>
      <c r="V19" s="1574" t="s">
        <v>8</v>
      </c>
      <c r="W19" s="1575">
        <f>J19</f>
        <v>100</v>
      </c>
      <c r="X19" s="1568"/>
      <c r="Y19" s="335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59"/>
      <c r="Q20" s="1573"/>
      <c r="R20" s="1574"/>
      <c r="S20" s="1575"/>
      <c r="T20" s="1574"/>
      <c r="U20" s="1575"/>
      <c r="V20" s="1574"/>
      <c r="W20" s="1575"/>
      <c r="X20" s="1568"/>
      <c r="Y20" s="335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59"/>
      <c r="Q21" s="1573" t="str">
        <f t="shared" ref="Q21:Q35" si="8">B21</f>
        <v>区域土地利用方向</v>
      </c>
      <c r="R21" s="1574" t="s">
        <v>8</v>
      </c>
      <c r="S21" s="1575">
        <f>F21</f>
        <v>100</v>
      </c>
      <c r="T21" s="1574" t="s">
        <v>8</v>
      </c>
      <c r="U21" s="1575">
        <f>H21</f>
        <v>100</v>
      </c>
      <c r="V21" s="1574" t="s">
        <v>8</v>
      </c>
      <c r="W21" s="1575">
        <f>J21</f>
        <v>100</v>
      </c>
      <c r="X21" s="1568"/>
      <c r="Y21" s="335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59"/>
      <c r="Q22" s="1573"/>
      <c r="R22" s="1574"/>
      <c r="S22" s="1575"/>
      <c r="T22" s="1574"/>
      <c r="U22" s="1575"/>
      <c r="V22" s="1574"/>
      <c r="W22" s="1575"/>
      <c r="X22" s="1568"/>
      <c r="Y22" s="335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59"/>
      <c r="Q23" s="1573" t="str">
        <f t="shared" si="8"/>
        <v>环境状况</v>
      </c>
      <c r="R23" s="1574" t="s">
        <v>8</v>
      </c>
      <c r="S23" s="1575">
        <f>F23</f>
        <v>100</v>
      </c>
      <c r="T23" s="1574" t="s">
        <v>8</v>
      </c>
      <c r="U23" s="1575">
        <f>H23</f>
        <v>100</v>
      </c>
      <c r="V23" s="1574" t="s">
        <v>8</v>
      </c>
      <c r="W23" s="1575">
        <f>J23</f>
        <v>100</v>
      </c>
      <c r="X23" s="1568"/>
      <c r="Y23" s="335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59"/>
      <c r="Q24" s="1573"/>
      <c r="R24" s="1574"/>
      <c r="S24" s="1575"/>
      <c r="T24" s="1574"/>
      <c r="U24" s="1575"/>
      <c r="V24" s="1574"/>
      <c r="W24" s="1575"/>
      <c r="X24" s="1568"/>
      <c r="Y24" s="3359"/>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59"/>
      <c r="Q25" s="1151" t="str">
        <f t="shared" si="8"/>
        <v>公共配套设施</v>
      </c>
      <c r="R25" s="1569" t="s">
        <v>8</v>
      </c>
      <c r="S25" s="1570">
        <f>F25</f>
        <v>100</v>
      </c>
      <c r="T25" s="1569" t="s">
        <v>8</v>
      </c>
      <c r="U25" s="1570">
        <f>H25</f>
        <v>100</v>
      </c>
      <c r="V25" s="1569" t="s">
        <v>8</v>
      </c>
      <c r="W25" s="1570">
        <f>J25</f>
        <v>100</v>
      </c>
      <c r="X25" s="1571"/>
      <c r="Y25" s="3359"/>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59"/>
      <c r="Q26" s="1151"/>
      <c r="R26" s="1569"/>
      <c r="S26" s="1570"/>
      <c r="T26" s="1569"/>
      <c r="U26" s="1570"/>
      <c r="V26" s="1569"/>
      <c r="W26" s="1570"/>
      <c r="X26" s="1571"/>
      <c r="Y26" s="3359"/>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59"/>
      <c r="Q27" s="2558" t="str">
        <f t="shared" ref="Q27" si="9">B27</f>
        <v>基础设施水平</v>
      </c>
      <c r="R27" s="1569" t="s">
        <v>8</v>
      </c>
      <c r="S27" s="1570">
        <f>F27</f>
        <v>100</v>
      </c>
      <c r="T27" s="1569" t="s">
        <v>8</v>
      </c>
      <c r="U27" s="1570">
        <f>H27</f>
        <v>100</v>
      </c>
      <c r="V27" s="1569" t="s">
        <v>8</v>
      </c>
      <c r="W27" s="1570">
        <f>J27</f>
        <v>100</v>
      </c>
      <c r="X27" s="1571"/>
      <c r="Y27" s="3359"/>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59"/>
      <c r="Q28" s="2558"/>
      <c r="R28" s="1569"/>
      <c r="S28" s="1570"/>
      <c r="T28" s="1569"/>
      <c r="U28" s="1570"/>
      <c r="V28" s="1569"/>
      <c r="W28" s="1570"/>
      <c r="X28" s="1571"/>
      <c r="Y28" s="3359"/>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5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59"/>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59"/>
      <c r="Q30" s="1573" t="str">
        <f t="shared" si="8"/>
        <v>毗邻道路的类型与等级</v>
      </c>
      <c r="R30" s="1574" t="s">
        <v>8</v>
      </c>
      <c r="S30" s="1575">
        <f t="shared" si="10"/>
        <v>100</v>
      </c>
      <c r="T30" s="1574" t="s">
        <v>8</v>
      </c>
      <c r="U30" s="1575">
        <f t="shared" si="11"/>
        <v>100</v>
      </c>
      <c r="V30" s="1574" t="s">
        <v>8</v>
      </c>
      <c r="W30" s="1575">
        <f t="shared" si="12"/>
        <v>100</v>
      </c>
      <c r="X30" s="1568"/>
      <c r="Y30" s="335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59"/>
      <c r="Q31" s="1573"/>
      <c r="R31" s="1574"/>
      <c r="S31" s="1575"/>
      <c r="T31" s="1574"/>
      <c r="U31" s="1575"/>
      <c r="V31" s="1574"/>
      <c r="W31" s="1575"/>
      <c r="X31" s="1568"/>
      <c r="Y31" s="3359"/>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59"/>
      <c r="Q32" s="1573" t="str">
        <f t="shared" si="8"/>
        <v>土地级别</v>
      </c>
      <c r="R32" s="1574" t="s">
        <v>8</v>
      </c>
      <c r="S32" s="1575">
        <f t="shared" si="10"/>
        <v>100</v>
      </c>
      <c r="T32" s="1574" t="s">
        <v>8</v>
      </c>
      <c r="U32" s="1575">
        <f t="shared" si="11"/>
        <v>100</v>
      </c>
      <c r="V32" s="1574" t="s">
        <v>8</v>
      </c>
      <c r="W32" s="1575">
        <f t="shared" si="12"/>
        <v>100</v>
      </c>
      <c r="X32" s="1568"/>
      <c r="Y32" s="335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59"/>
      <c r="Q33" s="1573">
        <f t="shared" si="8"/>
        <v>111</v>
      </c>
      <c r="R33" s="1574" t="s">
        <v>8</v>
      </c>
      <c r="S33" s="1575">
        <f t="shared" si="10"/>
        <v>100</v>
      </c>
      <c r="T33" s="1574" t="s">
        <v>8</v>
      </c>
      <c r="U33" s="1575">
        <f t="shared" si="11"/>
        <v>100</v>
      </c>
      <c r="V33" s="1574" t="s">
        <v>8</v>
      </c>
      <c r="W33" s="1575">
        <f t="shared" si="12"/>
        <v>100</v>
      </c>
      <c r="X33" s="1568"/>
      <c r="Y33" s="335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0" t="s">
        <v>550</v>
      </c>
      <c r="Q34" s="1573">
        <f t="shared" si="8"/>
        <v>111</v>
      </c>
      <c r="R34" s="1574" t="s">
        <v>8</v>
      </c>
      <c r="S34" s="1575">
        <f t="shared" si="10"/>
        <v>100</v>
      </c>
      <c r="T34" s="1574" t="s">
        <v>8</v>
      </c>
      <c r="U34" s="1575">
        <f t="shared" si="11"/>
        <v>100</v>
      </c>
      <c r="V34" s="1574" t="s">
        <v>8</v>
      </c>
      <c r="W34" s="1575">
        <f t="shared" si="12"/>
        <v>100</v>
      </c>
      <c r="X34" s="1568"/>
      <c r="Y34" s="3361"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1"/>
      <c r="Q35" s="1573">
        <f t="shared" si="8"/>
        <v>111</v>
      </c>
      <c r="R35" s="1578" t="s">
        <v>8</v>
      </c>
      <c r="S35" s="1579">
        <f t="shared" si="10"/>
        <v>100</v>
      </c>
      <c r="T35" s="1578" t="s">
        <v>8</v>
      </c>
      <c r="U35" s="1579">
        <f t="shared" si="11"/>
        <v>100</v>
      </c>
      <c r="V35" s="1578" t="s">
        <v>8</v>
      </c>
      <c r="W35" s="1579">
        <f t="shared" si="12"/>
        <v>100</v>
      </c>
      <c r="X35" s="1580"/>
      <c r="Y35" s="3361"/>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1"/>
      <c r="Q36" s="1573" t="str">
        <f>B36</f>
        <v>宗地面积</v>
      </c>
      <c r="R36" s="1574" t="s">
        <v>8</v>
      </c>
      <c r="S36" s="1575" t="e">
        <f t="shared" si="10"/>
        <v>#N/A</v>
      </c>
      <c r="T36" s="1574" t="s">
        <v>8</v>
      </c>
      <c r="U36" s="1575" t="e">
        <f t="shared" si="11"/>
        <v>#N/A</v>
      </c>
      <c r="V36" s="1574" t="s">
        <v>8</v>
      </c>
      <c r="W36" s="1575" t="e">
        <f t="shared" si="12"/>
        <v>#N/A</v>
      </c>
      <c r="X36" s="1568"/>
      <c r="Y36" s="336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1"/>
      <c r="Q37" s="1573" t="str">
        <f t="shared" ref="Q37:Q42" si="14">B37</f>
        <v>宗地形状</v>
      </c>
      <c r="R37" s="1574" t="s">
        <v>8</v>
      </c>
      <c r="S37" s="1575">
        <f t="shared" si="10"/>
        <v>100</v>
      </c>
      <c r="T37" s="1574" t="s">
        <v>8</v>
      </c>
      <c r="U37" s="1575">
        <f t="shared" si="11"/>
        <v>100</v>
      </c>
      <c r="V37" s="1574" t="s">
        <v>8</v>
      </c>
      <c r="W37" s="1575">
        <f t="shared" si="12"/>
        <v>100</v>
      </c>
      <c r="X37" s="1568"/>
      <c r="Y37" s="3361"/>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1"/>
      <c r="Q38" s="1573" t="str">
        <f t="shared" si="14"/>
        <v>宗地开发程度</v>
      </c>
      <c r="R38" s="1569" t="s">
        <v>8</v>
      </c>
      <c r="S38" s="1570">
        <f t="shared" si="10"/>
        <v>100</v>
      </c>
      <c r="T38" s="1569" t="s">
        <v>8</v>
      </c>
      <c r="U38" s="1570">
        <f t="shared" si="11"/>
        <v>100</v>
      </c>
      <c r="V38" s="1569" t="s">
        <v>8</v>
      </c>
      <c r="W38" s="1570">
        <f t="shared" si="12"/>
        <v>100</v>
      </c>
      <c r="X38" s="1571"/>
      <c r="Y38" s="336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1" t="s">
        <v>601</v>
      </c>
      <c r="Q39" s="1573" t="str">
        <f t="shared" si="14"/>
        <v>工程地质条件</v>
      </c>
      <c r="R39" s="1574" t="s">
        <v>8</v>
      </c>
      <c r="S39" s="1575">
        <f t="shared" si="10"/>
        <v>100</v>
      </c>
      <c r="T39" s="1574" t="s">
        <v>8</v>
      </c>
      <c r="U39" s="1575">
        <f t="shared" si="11"/>
        <v>100</v>
      </c>
      <c r="V39" s="1574" t="s">
        <v>8</v>
      </c>
      <c r="W39" s="1575">
        <f t="shared" si="12"/>
        <v>100</v>
      </c>
      <c r="X39" s="1568"/>
      <c r="Y39" s="336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1"/>
      <c r="Q40" s="1573">
        <f t="shared" si="14"/>
        <v>111</v>
      </c>
      <c r="R40" s="1574" t="s">
        <v>8</v>
      </c>
      <c r="S40" s="1575">
        <f t="shared" si="10"/>
        <v>100</v>
      </c>
      <c r="T40" s="1574" t="s">
        <v>8</v>
      </c>
      <c r="U40" s="1575">
        <f t="shared" si="11"/>
        <v>100</v>
      </c>
      <c r="V40" s="1574" t="s">
        <v>8</v>
      </c>
      <c r="W40" s="1575">
        <f t="shared" si="12"/>
        <v>100</v>
      </c>
      <c r="X40" s="1568"/>
      <c r="Y40" s="336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1"/>
      <c r="Q41" s="1573">
        <f t="shared" si="14"/>
        <v>111</v>
      </c>
      <c r="R41" s="1574" t="s">
        <v>8</v>
      </c>
      <c r="S41" s="1575">
        <f t="shared" si="10"/>
        <v>100</v>
      </c>
      <c r="T41" s="1574" t="s">
        <v>8</v>
      </c>
      <c r="U41" s="1575">
        <f t="shared" si="11"/>
        <v>100</v>
      </c>
      <c r="V41" s="1574" t="s">
        <v>8</v>
      </c>
      <c r="W41" s="1575">
        <f t="shared" si="12"/>
        <v>100</v>
      </c>
      <c r="X41" s="1568"/>
      <c r="Y41" s="336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1"/>
      <c r="Q42" s="1573">
        <f t="shared" si="14"/>
        <v>111</v>
      </c>
      <c r="R42" s="1578" t="s">
        <v>8</v>
      </c>
      <c r="S42" s="1579">
        <f t="shared" si="10"/>
        <v>100</v>
      </c>
      <c r="T42" s="1578" t="s">
        <v>8</v>
      </c>
      <c r="U42" s="1579">
        <f t="shared" si="11"/>
        <v>100</v>
      </c>
      <c r="V42" s="1578" t="s">
        <v>8</v>
      </c>
      <c r="W42" s="1579">
        <f t="shared" si="12"/>
        <v>100</v>
      </c>
      <c r="X42" s="1580"/>
      <c r="Y42" s="3361"/>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56" t="str">
        <f>A43</f>
        <v>成交单价</v>
      </c>
      <c r="Q43" s="3356"/>
      <c r="R43" s="3370">
        <f>E43</f>
        <v>0</v>
      </c>
      <c r="S43" s="3370"/>
      <c r="T43" s="3370">
        <f>G43</f>
        <v>0</v>
      </c>
      <c r="U43" s="3370"/>
      <c r="V43" s="3370">
        <f>I43</f>
        <v>0</v>
      </c>
      <c r="W43" s="337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56" t="str">
        <f>A44</f>
        <v>比较价格（元/平方米）</v>
      </c>
      <c r="Q44" s="3356"/>
      <c r="R44" s="3380" t="e">
        <f>ROUND(PRODUCT(R43,AA9:AA42),0)</f>
        <v>#DIV/0!</v>
      </c>
      <c r="S44" s="3380"/>
      <c r="T44" s="3380" t="e">
        <f>ROUND(PRODUCT(T43,AB9:AB42),0)</f>
        <v>#DIV/0!</v>
      </c>
      <c r="U44" s="3380"/>
      <c r="V44" s="3380" t="e">
        <f>ROUND(PRODUCT(V43,AC9:AC42),0)</f>
        <v>#DIV/0!</v>
      </c>
      <c r="W44" s="3380"/>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77" t="str">
        <f>A45</f>
        <v>估价对象XX用房的比较价格（楼面单价，元/平方米）</v>
      </c>
      <c r="Q45" s="3378"/>
      <c r="R45" s="3379" t="e">
        <f>ROUND(AVERAGE(R44:V44),0)</f>
        <v>#DIV/0!</v>
      </c>
      <c r="S45" s="3379"/>
      <c r="T45" s="3379"/>
      <c r="U45" s="3379"/>
      <c r="V45" s="3379"/>
      <c r="W45" s="337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1" t="s">
        <v>2285</v>
      </c>
      <c r="H52" s="3382"/>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310569.59999999998</v>
      </c>
      <c r="F53" s="1951" t="e">
        <f t="shared" ref="F53:F62" si="15">ROUND(B53*E53/10000,0)</f>
        <v>#DIV/0!</v>
      </c>
      <c r="G53" s="3383"/>
      <c r="H53" s="338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85"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8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8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8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103456.5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2019-1-1</v>
      </c>
      <c r="D65" s="2778">
        <f>EDATE(C65,-3)</f>
        <v>43374</v>
      </c>
      <c r="E65" s="2778">
        <f t="shared" ref="E65:N65" si="18">EDATE(D65,-3)</f>
        <v>43282</v>
      </c>
      <c r="F65" s="2778">
        <f t="shared" si="18"/>
        <v>43191</v>
      </c>
      <c r="G65" s="2778">
        <f t="shared" si="18"/>
        <v>43101</v>
      </c>
      <c r="H65" s="2778">
        <f t="shared" si="18"/>
        <v>43009</v>
      </c>
      <c r="I65" s="2778">
        <f t="shared" si="18"/>
        <v>42917</v>
      </c>
      <c r="J65" s="2778">
        <f t="shared" si="18"/>
        <v>42826</v>
      </c>
      <c r="K65" s="2778">
        <f t="shared" si="18"/>
        <v>42736</v>
      </c>
      <c r="L65" s="2778">
        <f t="shared" si="18"/>
        <v>42644</v>
      </c>
      <c r="M65" s="2778">
        <f t="shared" si="18"/>
        <v>42552</v>
      </c>
      <c r="N65" s="2778">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北京市平均增长率1.36%</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4" t="s">
        <v>2763</v>
      </c>
      <c r="S1" s="2914" t="s">
        <v>2764</v>
      </c>
      <c r="T1" s="2914" t="s">
        <v>2785</v>
      </c>
      <c r="U1" s="2914" t="s">
        <v>2786</v>
      </c>
      <c r="V1" s="2914"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3</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393"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v>
      </c>
      <c r="AA7" s="2193"/>
      <c r="AB7" s="2193"/>
      <c r="AC7" s="2194"/>
      <c r="AD7" s="2907"/>
      <c r="AE7" s="2907"/>
      <c r="AF7" s="2907"/>
      <c r="AG7" s="2907"/>
      <c r="AH7" s="2907"/>
      <c r="AI7" s="2907"/>
      <c r="AJ7" s="2908"/>
    </row>
    <row r="8" spans="1:39" ht="15">
      <c r="A8" s="3394"/>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03" t="s">
        <v>2784</v>
      </c>
      <c r="X8" s="3404"/>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394"/>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402"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394"/>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402"/>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394"/>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402" t="s">
        <v>2782</v>
      </c>
      <c r="X11" s="1048" t="s">
        <v>2767</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393"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402"/>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395"/>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5">
        <v>12</v>
      </c>
      <c r="S13" s="2904"/>
      <c r="T13" s="2915" t="e">
        <f t="shared" si="0"/>
        <v>#DIV/0!</v>
      </c>
      <c r="U13" s="2904"/>
      <c r="V13" s="2915" t="e">
        <f t="shared" si="1"/>
        <v>#DIV/0!</v>
      </c>
      <c r="W13" s="3402"/>
      <c r="X13" s="2912"/>
      <c r="Y13" s="2911">
        <f>(-0.163*(Y12^2)-0.59*Y12+7617)*(10^(-4))/Y11</f>
        <v>0.25390000000000001</v>
      </c>
      <c r="Z13" s="2911">
        <f t="shared" ref="Z13:AJ13" si="5">(-0.163*(Z12^2)-0.59*Z12+7617)*(10^(-4))/Z11</f>
        <v>0.25390000000000001</v>
      </c>
      <c r="AA13" s="2911">
        <f t="shared" si="5"/>
        <v>0.25390000000000001</v>
      </c>
      <c r="AB13" s="2911">
        <f t="shared" si="5"/>
        <v>0.25390000000000001</v>
      </c>
      <c r="AC13" s="2911">
        <f t="shared" si="5"/>
        <v>0.25390000000000001</v>
      </c>
      <c r="AD13" s="2911">
        <f t="shared" si="5"/>
        <v>0.25390000000000001</v>
      </c>
      <c r="AE13" s="2911">
        <f t="shared" si="5"/>
        <v>0.25390000000000001</v>
      </c>
      <c r="AF13" s="2911">
        <f t="shared" si="5"/>
        <v>0.25390000000000001</v>
      </c>
      <c r="AG13" s="2911">
        <f t="shared" si="5"/>
        <v>0.25390000000000001</v>
      </c>
      <c r="AH13" s="2911">
        <f t="shared" si="5"/>
        <v>0.25390000000000001</v>
      </c>
      <c r="AI13" s="2911">
        <f t="shared" si="5"/>
        <v>0.25390000000000001</v>
      </c>
      <c r="AJ13" s="2911">
        <f t="shared" si="5"/>
        <v>0.25390000000000001</v>
      </c>
    </row>
    <row r="14" spans="1:39" ht="12.75" customHeight="1" thickBot="1">
      <c r="A14" s="3395"/>
      <c r="B14" s="1452"/>
      <c r="C14" s="1453"/>
      <c r="D14" s="1454"/>
      <c r="E14" s="1454"/>
      <c r="F14" s="1455"/>
      <c r="G14" s="1456" t="s">
        <v>949</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39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5">
        <v>14</v>
      </c>
      <c r="S15" s="2904"/>
      <c r="T15" s="2915" t="e">
        <f t="shared" si="0"/>
        <v>#DIV/0!</v>
      </c>
      <c r="U15" s="2904"/>
      <c r="V15" s="2915" t="e">
        <f t="shared" si="1"/>
        <v>#DIV/0!</v>
      </c>
      <c r="W15" s="2190"/>
      <c r="X15" s="2190"/>
      <c r="Y15" s="2190"/>
      <c r="Z15" s="2190"/>
      <c r="AA15" s="2190"/>
      <c r="AB15" s="2190"/>
      <c r="AC15" s="2191"/>
    </row>
    <row r="16" spans="1:39" ht="24">
      <c r="A16" s="339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39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43487</v>
      </c>
      <c r="H19" s="1476" t="s">
        <v>2939</v>
      </c>
      <c r="I19" s="2763" t="str">
        <f>IF(H19="季度增幅（自定义）",SUMIF(N21:N24,E2,O21:O24),"")</f>
        <v/>
      </c>
      <c r="J19" s="1472"/>
      <c r="K19" s="1482"/>
      <c r="L19" s="3015" t="s">
        <v>2842</v>
      </c>
      <c r="M19" s="3016">
        <f>ROUND(SUMIF(地价!B2:F2,E2,地价!B25:F25),0)</f>
        <v>0</v>
      </c>
      <c r="N19" s="2765" t="s">
        <v>1677</v>
      </c>
      <c r="O19" s="2764">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1">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7" t="s">
        <v>2843</v>
      </c>
      <c r="M20" s="3018">
        <f>ROUND(SUMPRODUCT((地价!A4:A25=YEAR(G19)&amp;"-"&amp;ROUNDUP(MONTH(G19)/3,0))*(地价!B2:F2=E2)*(地价!B4:F25)),0)</f>
        <v>0</v>
      </c>
      <c r="N20" s="2768" t="s">
        <v>2646</v>
      </c>
      <c r="O20" s="2766" t="s">
        <v>2645</v>
      </c>
      <c r="P20" s="2767" t="s">
        <v>2651</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399"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2992</v>
      </c>
      <c r="C41" s="839" t="e">
        <f>ROUND(POWER(1+E41,H41-G41)*(POWER(1+E41,G41)-1)/(POWER(1+E41,H41)-1),4)</f>
        <v>#DIV/0!</v>
      </c>
      <c r="D41" s="378" t="s">
        <v>2990</v>
      </c>
      <c r="E41" s="3173">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3"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2"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3"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2"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2"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2"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397" t="s">
        <v>1634</v>
      </c>
      <c r="B90" s="3397"/>
      <c r="C90" s="3397"/>
      <c r="D90" s="3397"/>
      <c r="E90" s="3397"/>
      <c r="F90" s="3397"/>
      <c r="G90" s="3397"/>
      <c r="H90" s="3397"/>
      <c r="I90" s="3397"/>
      <c r="J90" s="3397"/>
      <c r="K90" s="2430"/>
      <c r="L90" s="2430"/>
      <c r="M90" s="2430"/>
      <c r="N90" s="2430"/>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5"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06"/>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06"/>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06"/>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06"/>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06"/>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06"/>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392" t="s">
        <v>1640</v>
      </c>
      <c r="B110" s="3392"/>
      <c r="C110" s="3392"/>
      <c r="D110" s="3392"/>
      <c r="E110" s="3392"/>
      <c r="F110" s="3392"/>
      <c r="G110" s="3392"/>
      <c r="H110" s="3392"/>
      <c r="I110" s="3392"/>
      <c r="J110" s="3392"/>
      <c r="K110" s="2428"/>
      <c r="L110" s="2428"/>
      <c r="M110" s="2428"/>
      <c r="N110" s="2428"/>
    </row>
    <row r="112" spans="1:14" ht="12.75" thickBot="1"/>
    <row r="113" spans="1:13" ht="25.5" thickBot="1">
      <c r="A113" s="1016" t="s">
        <v>896</v>
      </c>
      <c r="B113" s="2431">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398" t="s">
        <v>1008</v>
      </c>
      <c r="B18" s="1154" t="s">
        <v>1447</v>
      </c>
      <c r="C18" s="1131" t="s">
        <v>1448</v>
      </c>
      <c r="D18" s="1132"/>
      <c r="E18" s="1154">
        <v>1</v>
      </c>
      <c r="F18" s="1133" t="s">
        <v>1449</v>
      </c>
      <c r="G18" s="1134"/>
      <c r="H18" s="1105"/>
      <c r="I18" s="1105"/>
    </row>
    <row r="19" spans="1:9" s="1600" customFormat="1" ht="19.5" customHeight="1">
      <c r="A19" s="3398"/>
      <c r="B19" s="3398" t="s">
        <v>1450</v>
      </c>
      <c r="C19" s="1131" t="s">
        <v>1451</v>
      </c>
      <c r="D19" s="1132"/>
      <c r="E19" s="1154">
        <v>0.9</v>
      </c>
      <c r="F19" s="1133" t="s">
        <v>1452</v>
      </c>
      <c r="G19" s="1134"/>
      <c r="H19" s="1105"/>
      <c r="I19" s="1105"/>
    </row>
    <row r="20" spans="1:9" s="1600" customFormat="1" ht="19.5" customHeight="1">
      <c r="A20" s="3398"/>
      <c r="B20" s="3398"/>
      <c r="C20" s="1131" t="s">
        <v>1453</v>
      </c>
      <c r="D20" s="1132"/>
      <c r="E20" s="1154">
        <v>1.1000000000000001</v>
      </c>
      <c r="F20" s="1133" t="s">
        <v>1454</v>
      </c>
      <c r="G20" s="1134"/>
      <c r="H20" s="1105"/>
      <c r="I20" s="1105"/>
    </row>
    <row r="21" spans="1:9" s="1600" customFormat="1" ht="19.5" customHeight="1">
      <c r="A21" s="3398"/>
      <c r="B21" s="3398"/>
      <c r="C21" s="1131" t="s">
        <v>1455</v>
      </c>
      <c r="D21" s="1132"/>
      <c r="E21" s="1154">
        <v>0.8</v>
      </c>
      <c r="F21" s="1133" t="s">
        <v>1456</v>
      </c>
      <c r="G21" s="1134"/>
      <c r="H21" s="1105"/>
      <c r="I21" s="1105"/>
    </row>
    <row r="22" spans="1:9" s="1600" customFormat="1" ht="19.5" customHeight="1">
      <c r="A22" s="3398"/>
      <c r="B22" s="3398"/>
      <c r="C22" s="1131" t="s">
        <v>1457</v>
      </c>
      <c r="D22" s="1132"/>
      <c r="E22" s="1154">
        <v>0.5</v>
      </c>
      <c r="F22" s="1133"/>
      <c r="G22" s="1134"/>
      <c r="H22" s="1105"/>
      <c r="I22" s="1105"/>
    </row>
    <row r="23" spans="1:9" s="1600" customFormat="1" ht="19.5" customHeight="1">
      <c r="A23" s="3398" t="s">
        <v>1030</v>
      </c>
      <c r="B23" s="1154" t="s">
        <v>1447</v>
      </c>
      <c r="C23" s="1131" t="s">
        <v>1458</v>
      </c>
      <c r="D23" s="1132"/>
      <c r="E23" s="1154">
        <v>1</v>
      </c>
      <c r="F23" s="1133" t="s">
        <v>1459</v>
      </c>
      <c r="G23" s="1134"/>
      <c r="H23" s="1105"/>
      <c r="I23" s="1105"/>
    </row>
    <row r="24" spans="1:9" s="1600" customFormat="1" ht="19.5" customHeight="1">
      <c r="A24" s="3398"/>
      <c r="B24" s="3398" t="s">
        <v>1450</v>
      </c>
      <c r="C24" s="1131" t="s">
        <v>1460</v>
      </c>
      <c r="D24" s="1132"/>
      <c r="E24" s="1154">
        <v>0.5</v>
      </c>
      <c r="F24" s="1133"/>
      <c r="G24" s="1134"/>
      <c r="H24" s="1105"/>
      <c r="I24" s="1105"/>
    </row>
    <row r="25" spans="1:9" s="1600" customFormat="1" ht="19.5" customHeight="1">
      <c r="A25" s="3398"/>
      <c r="B25" s="3398"/>
      <c r="C25" s="1131" t="s">
        <v>1461</v>
      </c>
      <c r="D25" s="1132"/>
      <c r="E25" s="1154">
        <v>1.1000000000000001</v>
      </c>
      <c r="F25" s="1133"/>
      <c r="G25" s="1134"/>
      <c r="H25" s="1105"/>
      <c r="I25" s="1105"/>
    </row>
    <row r="26" spans="1:9" s="1600" customFormat="1" ht="19.5" customHeight="1">
      <c r="A26" s="3398"/>
      <c r="B26" s="3398"/>
      <c r="C26" s="1131" t="s">
        <v>1462</v>
      </c>
      <c r="D26" s="1132"/>
      <c r="E26" s="1154">
        <v>1.1000000000000001</v>
      </c>
      <c r="F26" s="1133"/>
      <c r="G26" s="1134"/>
      <c r="H26" s="1105"/>
      <c r="I26" s="1105"/>
    </row>
    <row r="27" spans="1:9" s="1600" customFormat="1" ht="19.5" customHeight="1">
      <c r="A27" s="3398"/>
      <c r="B27" s="3398"/>
      <c r="C27" s="1131" t="s">
        <v>1463</v>
      </c>
      <c r="D27" s="1132"/>
      <c r="E27" s="1154">
        <v>0.9</v>
      </c>
      <c r="F27" s="1133" t="s">
        <v>1464</v>
      </c>
      <c r="G27" s="1134"/>
      <c r="H27" s="1105"/>
      <c r="I27" s="1105"/>
    </row>
    <row r="28" spans="1:9" s="1600" customFormat="1" ht="19.5" customHeight="1">
      <c r="A28" s="3398"/>
      <c r="B28" s="3398"/>
      <c r="C28" s="1131" t="s">
        <v>1465</v>
      </c>
      <c r="D28" s="1132"/>
      <c r="E28" s="1154">
        <v>0.9</v>
      </c>
      <c r="F28" s="1133" t="s">
        <v>1466</v>
      </c>
      <c r="G28" s="1134"/>
      <c r="H28" s="1105"/>
      <c r="I28" s="1105"/>
    </row>
    <row r="29" spans="1:9" s="1600" customFormat="1" ht="19.5" customHeight="1">
      <c r="A29" s="3398"/>
      <c r="B29" s="3398"/>
      <c r="C29" s="1131" t="s">
        <v>1467</v>
      </c>
      <c r="D29" s="1132"/>
      <c r="E29" s="1154">
        <v>0.9</v>
      </c>
      <c r="F29" s="1133" t="s">
        <v>1468</v>
      </c>
      <c r="G29" s="1134"/>
      <c r="H29" s="1105"/>
      <c r="I29" s="1105"/>
    </row>
    <row r="30" spans="1:9" s="1600" customFormat="1" ht="19.5" customHeight="1">
      <c r="A30" s="3398"/>
      <c r="B30" s="3398"/>
      <c r="C30" s="1131" t="s">
        <v>1469</v>
      </c>
      <c r="D30" s="1132"/>
      <c r="E30" s="1154">
        <v>0.9</v>
      </c>
      <c r="F30" s="1133" t="s">
        <v>1470</v>
      </c>
      <c r="G30" s="1134"/>
      <c r="H30" s="1105"/>
      <c r="I30" s="1105"/>
    </row>
    <row r="31" spans="1:9" s="1600" customFormat="1" ht="19.5" customHeight="1">
      <c r="A31" s="3398"/>
      <c r="B31" s="3398"/>
      <c r="C31" s="1131" t="s">
        <v>1471</v>
      </c>
      <c r="D31" s="1132"/>
      <c r="E31" s="1154">
        <v>0.8</v>
      </c>
      <c r="F31" s="1133" t="s">
        <v>1472</v>
      </c>
      <c r="G31" s="1134"/>
      <c r="H31" s="1105"/>
      <c r="I31" s="1105"/>
    </row>
    <row r="32" spans="1:9" s="1600" customFormat="1" ht="19.5" customHeight="1">
      <c r="A32" s="3398"/>
      <c r="B32" s="3398"/>
      <c r="C32" s="1131" t="s">
        <v>1473</v>
      </c>
      <c r="D32" s="1132"/>
      <c r="E32" s="1154">
        <v>0.8</v>
      </c>
      <c r="F32" s="1133" t="s">
        <v>1474</v>
      </c>
      <c r="G32" s="1134"/>
      <c r="H32" s="1105"/>
      <c r="I32" s="1105"/>
    </row>
    <row r="33" spans="1:9" s="1600" customFormat="1" ht="19.5" customHeight="1">
      <c r="A33" s="3398" t="s">
        <v>1475</v>
      </c>
      <c r="B33" s="1154" t="s">
        <v>1447</v>
      </c>
      <c r="C33" s="1131" t="s">
        <v>1476</v>
      </c>
      <c r="D33" s="1132"/>
      <c r="E33" s="1154">
        <v>1</v>
      </c>
      <c r="F33" s="1133" t="s">
        <v>1477</v>
      </c>
      <c r="G33" s="1134"/>
      <c r="H33" s="1105"/>
      <c r="I33" s="1105"/>
    </row>
    <row r="34" spans="1:9" s="1600" customFormat="1" ht="19.5" customHeight="1">
      <c r="A34" s="3398"/>
      <c r="B34" s="1154" t="s">
        <v>1450</v>
      </c>
      <c r="C34" s="1131" t="s">
        <v>1478</v>
      </c>
      <c r="D34" s="1132"/>
      <c r="E34" s="1154">
        <v>1.5</v>
      </c>
      <c r="F34" s="1133" t="s">
        <v>1479</v>
      </c>
      <c r="G34" s="1134"/>
      <c r="H34" s="1105"/>
      <c r="I34" s="1105"/>
    </row>
    <row r="35" spans="1:9" s="1600" customFormat="1" ht="19.5" customHeight="1">
      <c r="A35" s="3398" t="s">
        <v>1433</v>
      </c>
      <c r="B35" s="1154" t="s">
        <v>1447</v>
      </c>
      <c r="C35" s="1131" t="s">
        <v>1480</v>
      </c>
      <c r="D35" s="1132"/>
      <c r="E35" s="1154">
        <v>1</v>
      </c>
      <c r="F35" s="1133" t="s">
        <v>1481</v>
      </c>
      <c r="G35" s="1134"/>
      <c r="H35" s="1105"/>
      <c r="I35" s="1105"/>
    </row>
    <row r="36" spans="1:9" s="1600" customFormat="1" ht="19.5" customHeight="1">
      <c r="A36" s="3398"/>
      <c r="B36" s="3398" t="s">
        <v>1450</v>
      </c>
      <c r="C36" s="1131" t="s">
        <v>1482</v>
      </c>
      <c r="D36" s="1132"/>
      <c r="E36" s="1154">
        <v>1</v>
      </c>
      <c r="F36" s="1133" t="s">
        <v>1483</v>
      </c>
      <c r="G36" s="1134"/>
      <c r="H36" s="1105"/>
      <c r="I36" s="1105"/>
    </row>
    <row r="37" spans="1:9" s="1600" customFormat="1" ht="19.5" customHeight="1">
      <c r="A37" s="3398"/>
      <c r="B37" s="3398"/>
      <c r="C37" s="1131" t="s">
        <v>1484</v>
      </c>
      <c r="D37" s="1132"/>
      <c r="E37" s="1154">
        <v>1.5</v>
      </c>
      <c r="F37" s="1133" t="s">
        <v>1485</v>
      </c>
      <c r="G37" s="1134"/>
      <c r="H37" s="1105"/>
      <c r="I37" s="1105"/>
    </row>
    <row r="38" spans="1:9" s="1600" customFormat="1" ht="19.5" customHeight="1">
      <c r="A38" s="3398"/>
      <c r="B38" s="3398"/>
      <c r="C38" s="1131" t="s">
        <v>1486</v>
      </c>
      <c r="D38" s="1132"/>
      <c r="E38" s="1154">
        <v>1</v>
      </c>
      <c r="F38" s="1133" t="s">
        <v>1487</v>
      </c>
      <c r="G38" s="1134"/>
      <c r="H38" s="1105"/>
      <c r="I38" s="1105"/>
    </row>
    <row r="39" spans="1:9" s="1600" customFormat="1" ht="19.5" customHeight="1">
      <c r="A39" s="3398"/>
      <c r="B39" s="339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98" t="s">
        <v>1502</v>
      </c>
      <c r="C61" s="1068" t="s">
        <v>1503</v>
      </c>
      <c r="D61" s="1068" t="s">
        <v>1504</v>
      </c>
      <c r="E61" s="1139">
        <v>0.5</v>
      </c>
      <c r="F61" s="1154">
        <v>80</v>
      </c>
      <c r="H61" s="1105">
        <f>SUMIF(C59:C119,基准地价!C8,E59:E119)</f>
        <v>0</v>
      </c>
    </row>
    <row r="62" spans="1:8" s="1105" customFormat="1" ht="24">
      <c r="A62" s="1154">
        <v>2</v>
      </c>
      <c r="B62" s="3398"/>
      <c r="C62" s="1068" t="s">
        <v>1505</v>
      </c>
      <c r="D62" s="1068" t="s">
        <v>1506</v>
      </c>
      <c r="E62" s="1139">
        <v>0.5</v>
      </c>
      <c r="F62" s="1154">
        <v>80</v>
      </c>
    </row>
    <row r="63" spans="1:8" s="1105" customFormat="1" ht="36">
      <c r="A63" s="1154">
        <v>3</v>
      </c>
      <c r="B63" s="3398"/>
      <c r="C63" s="1068" t="s">
        <v>1507</v>
      </c>
      <c r="D63" s="1068" t="s">
        <v>1508</v>
      </c>
      <c r="E63" s="1139">
        <v>0.5</v>
      </c>
      <c r="F63" s="1154">
        <v>80</v>
      </c>
    </row>
    <row r="64" spans="1:8" s="1105" customFormat="1" ht="36">
      <c r="A64" s="1154">
        <v>4</v>
      </c>
      <c r="B64" s="3398"/>
      <c r="C64" s="1068" t="s">
        <v>1509</v>
      </c>
      <c r="D64" s="1068" t="s">
        <v>1510</v>
      </c>
      <c r="E64" s="1139">
        <v>0.4</v>
      </c>
      <c r="F64" s="1154">
        <v>60</v>
      </c>
    </row>
    <row r="65" spans="1:6" s="1105" customFormat="1" ht="36">
      <c r="A65" s="1154">
        <v>5</v>
      </c>
      <c r="B65" s="3398"/>
      <c r="C65" s="1068" t="s">
        <v>1511</v>
      </c>
      <c r="D65" s="1068" t="s">
        <v>1512</v>
      </c>
      <c r="E65" s="1139">
        <v>0.2</v>
      </c>
      <c r="F65" s="1154">
        <v>30</v>
      </c>
    </row>
    <row r="66" spans="1:6" s="1105" customFormat="1" ht="36">
      <c r="A66" s="1154">
        <v>6</v>
      </c>
      <c r="B66" s="3398"/>
      <c r="C66" s="1068" t="s">
        <v>1513</v>
      </c>
      <c r="D66" s="1068" t="s">
        <v>1514</v>
      </c>
      <c r="E66" s="1139">
        <v>0.3</v>
      </c>
      <c r="F66" s="1154">
        <v>50</v>
      </c>
    </row>
    <row r="67" spans="1:6" s="1105" customFormat="1" ht="36">
      <c r="A67" s="1154">
        <v>7</v>
      </c>
      <c r="B67" s="3398"/>
      <c r="C67" s="1068" t="s">
        <v>1515</v>
      </c>
      <c r="D67" s="1068" t="s">
        <v>1516</v>
      </c>
      <c r="E67" s="1139">
        <v>0.2</v>
      </c>
      <c r="F67" s="1154">
        <v>30</v>
      </c>
    </row>
    <row r="68" spans="1:6" s="1105" customFormat="1" ht="36">
      <c r="A68" s="1154">
        <v>8</v>
      </c>
      <c r="B68" s="3398"/>
      <c r="C68" s="1068" t="s">
        <v>1517</v>
      </c>
      <c r="D68" s="1068" t="s">
        <v>1518</v>
      </c>
      <c r="E68" s="1139">
        <v>0.2</v>
      </c>
      <c r="F68" s="1154">
        <v>30</v>
      </c>
    </row>
    <row r="69" spans="1:6" s="1105" customFormat="1" ht="36">
      <c r="A69" s="1154">
        <v>9</v>
      </c>
      <c r="B69" s="3398"/>
      <c r="C69" s="1068" t="s">
        <v>1519</v>
      </c>
      <c r="D69" s="1068" t="s">
        <v>1520</v>
      </c>
      <c r="E69" s="1139">
        <v>0.2</v>
      </c>
      <c r="F69" s="1154">
        <v>30</v>
      </c>
    </row>
    <row r="70" spans="1:6" s="1105" customFormat="1" ht="48">
      <c r="A70" s="1154">
        <v>10</v>
      </c>
      <c r="B70" s="3398"/>
      <c r="C70" s="1068" t="s">
        <v>1521</v>
      </c>
      <c r="D70" s="1068" t="s">
        <v>1522</v>
      </c>
      <c r="E70" s="1139">
        <v>0.2</v>
      </c>
      <c r="F70" s="1154">
        <v>30</v>
      </c>
    </row>
    <row r="71" spans="1:6" s="1105" customFormat="1" ht="48">
      <c r="A71" s="1154">
        <v>11</v>
      </c>
      <c r="B71" s="3398"/>
      <c r="C71" s="1068" t="s">
        <v>1523</v>
      </c>
      <c r="D71" s="1068" t="s">
        <v>1524</v>
      </c>
      <c r="E71" s="1139">
        <v>0.2</v>
      </c>
      <c r="F71" s="1154">
        <v>30</v>
      </c>
    </row>
    <row r="72" spans="1:6" s="1105" customFormat="1" ht="36">
      <c r="A72" s="1154">
        <v>12</v>
      </c>
      <c r="B72" s="3398"/>
      <c r="C72" s="1068" t="s">
        <v>1525</v>
      </c>
      <c r="D72" s="1068" t="s">
        <v>1526</v>
      </c>
      <c r="E72" s="1139">
        <v>0.5</v>
      </c>
      <c r="F72" s="1154">
        <v>80</v>
      </c>
    </row>
    <row r="73" spans="1:6" s="1105" customFormat="1" ht="24">
      <c r="A73" s="1154">
        <v>13</v>
      </c>
      <c r="B73" s="3398"/>
      <c r="C73" s="1068" t="s">
        <v>1527</v>
      </c>
      <c r="D73" s="1068" t="s">
        <v>1528</v>
      </c>
      <c r="E73" s="1139">
        <v>0.4</v>
      </c>
      <c r="F73" s="1154">
        <v>60</v>
      </c>
    </row>
    <row r="74" spans="1:6" s="1105" customFormat="1" ht="24">
      <c r="A74" s="1154">
        <v>14</v>
      </c>
      <c r="B74" s="3398"/>
      <c r="C74" s="1068" t="s">
        <v>1529</v>
      </c>
      <c r="D74" s="1068" t="s">
        <v>1530</v>
      </c>
      <c r="E74" s="1139">
        <v>0.2</v>
      </c>
      <c r="F74" s="1154">
        <v>30</v>
      </c>
    </row>
    <row r="75" spans="1:6" s="1105" customFormat="1" ht="24">
      <c r="A75" s="1154">
        <v>15</v>
      </c>
      <c r="B75" s="3398"/>
      <c r="C75" s="1068" t="s">
        <v>1531</v>
      </c>
      <c r="D75" s="1068" t="s">
        <v>1532</v>
      </c>
      <c r="E75" s="1139">
        <v>0.2</v>
      </c>
      <c r="F75" s="1154">
        <v>30</v>
      </c>
    </row>
    <row r="76" spans="1:6" s="1105" customFormat="1" ht="24">
      <c r="A76" s="1154">
        <v>16</v>
      </c>
      <c r="B76" s="3398" t="s">
        <v>1533</v>
      </c>
      <c r="C76" s="1068" t="s">
        <v>1534</v>
      </c>
      <c r="D76" s="1068" t="s">
        <v>1535</v>
      </c>
      <c r="E76" s="1139">
        <v>0.5</v>
      </c>
      <c r="F76" s="1154">
        <v>80</v>
      </c>
    </row>
    <row r="77" spans="1:6" s="1105" customFormat="1" ht="24">
      <c r="A77" s="1154">
        <v>17</v>
      </c>
      <c r="B77" s="3398"/>
      <c r="C77" s="1068" t="s">
        <v>1536</v>
      </c>
      <c r="D77" s="1068" t="s">
        <v>1537</v>
      </c>
      <c r="E77" s="1139">
        <v>0.5</v>
      </c>
      <c r="F77" s="1154">
        <v>80</v>
      </c>
    </row>
    <row r="78" spans="1:6" s="1105" customFormat="1" ht="24">
      <c r="A78" s="1154">
        <v>18</v>
      </c>
      <c r="B78" s="3398"/>
      <c r="C78" s="1068" t="s">
        <v>1538</v>
      </c>
      <c r="D78" s="1068" t="s">
        <v>1539</v>
      </c>
      <c r="E78" s="1139">
        <v>0.2</v>
      </c>
      <c r="F78" s="1154">
        <v>30</v>
      </c>
    </row>
    <row r="79" spans="1:6" s="1105" customFormat="1" ht="24">
      <c r="A79" s="1154">
        <v>19</v>
      </c>
      <c r="B79" s="3398"/>
      <c r="C79" s="1068" t="s">
        <v>1540</v>
      </c>
      <c r="D79" s="1068" t="s">
        <v>1541</v>
      </c>
      <c r="E79" s="1139">
        <v>0.5</v>
      </c>
      <c r="F79" s="1154">
        <v>80</v>
      </c>
    </row>
    <row r="80" spans="1:6" s="1105" customFormat="1" ht="36">
      <c r="A80" s="1154">
        <v>20</v>
      </c>
      <c r="B80" s="3398"/>
      <c r="C80" s="1068" t="s">
        <v>1542</v>
      </c>
      <c r="D80" s="1068" t="s">
        <v>1543</v>
      </c>
      <c r="E80" s="1139">
        <v>0.2</v>
      </c>
      <c r="F80" s="1154">
        <v>30</v>
      </c>
    </row>
    <row r="81" spans="1:6" s="1105" customFormat="1" ht="36">
      <c r="A81" s="1154">
        <v>21</v>
      </c>
      <c r="B81" s="3398"/>
      <c r="C81" s="1068" t="s">
        <v>1544</v>
      </c>
      <c r="D81" s="1068" t="s">
        <v>1545</v>
      </c>
      <c r="E81" s="1139">
        <v>0.2</v>
      </c>
      <c r="F81" s="1154">
        <v>30</v>
      </c>
    </row>
    <row r="82" spans="1:6" s="1105" customFormat="1" ht="48">
      <c r="A82" s="1154">
        <v>22</v>
      </c>
      <c r="B82" s="3398"/>
      <c r="C82" s="1068" t="s">
        <v>1546</v>
      </c>
      <c r="D82" s="1068" t="s">
        <v>1547</v>
      </c>
      <c r="E82" s="1139">
        <v>0.2</v>
      </c>
      <c r="F82" s="1154">
        <v>30</v>
      </c>
    </row>
    <row r="83" spans="1:6" s="1105" customFormat="1" ht="48">
      <c r="A83" s="1154">
        <v>23</v>
      </c>
      <c r="B83" s="3398"/>
      <c r="C83" s="1068" t="s">
        <v>1548</v>
      </c>
      <c r="D83" s="1068" t="s">
        <v>1549</v>
      </c>
      <c r="E83" s="1139">
        <v>0.2</v>
      </c>
      <c r="F83" s="1154">
        <v>30</v>
      </c>
    </row>
    <row r="84" spans="1:6" s="1105" customFormat="1" ht="36">
      <c r="A84" s="1154">
        <v>24</v>
      </c>
      <c r="B84" s="3398"/>
      <c r="C84" s="1068" t="s">
        <v>1550</v>
      </c>
      <c r="D84" s="1068" t="s">
        <v>1551</v>
      </c>
      <c r="E84" s="1139">
        <v>0.2</v>
      </c>
      <c r="F84" s="1154">
        <v>30</v>
      </c>
    </row>
    <row r="85" spans="1:6" s="1105" customFormat="1" ht="36">
      <c r="A85" s="1154">
        <v>25</v>
      </c>
      <c r="B85" s="3398"/>
      <c r="C85" s="1068" t="s">
        <v>1552</v>
      </c>
      <c r="D85" s="1068" t="s">
        <v>1553</v>
      </c>
      <c r="E85" s="1139">
        <v>0.5</v>
      </c>
      <c r="F85" s="1154">
        <v>80</v>
      </c>
    </row>
    <row r="86" spans="1:6" s="1105" customFormat="1" ht="36">
      <c r="A86" s="1154">
        <v>26</v>
      </c>
      <c r="B86" s="3398"/>
      <c r="C86" s="1068" t="s">
        <v>1554</v>
      </c>
      <c r="D86" s="1068" t="s">
        <v>1555</v>
      </c>
      <c r="E86" s="1139">
        <v>0.2</v>
      </c>
      <c r="F86" s="1154">
        <v>30</v>
      </c>
    </row>
    <row r="87" spans="1:6" s="1105" customFormat="1" ht="36">
      <c r="A87" s="1154">
        <v>27</v>
      </c>
      <c r="B87" s="3398"/>
      <c r="C87" s="1068" t="s">
        <v>1556</v>
      </c>
      <c r="D87" s="1068" t="s">
        <v>1557</v>
      </c>
      <c r="E87" s="1139">
        <v>0.2</v>
      </c>
      <c r="F87" s="1154">
        <v>30</v>
      </c>
    </row>
    <row r="88" spans="1:6" s="1105" customFormat="1" ht="36">
      <c r="A88" s="1154">
        <v>28</v>
      </c>
      <c r="B88" s="3398"/>
      <c r="C88" s="1068" t="s">
        <v>1558</v>
      </c>
      <c r="D88" s="1068" t="s">
        <v>1559</v>
      </c>
      <c r="E88" s="1139">
        <v>0.2</v>
      </c>
      <c r="F88" s="1154">
        <v>30</v>
      </c>
    </row>
    <row r="89" spans="1:6" s="1105" customFormat="1" ht="24">
      <c r="A89" s="1154">
        <v>29</v>
      </c>
      <c r="B89" s="3398"/>
      <c r="C89" s="1068" t="s">
        <v>1560</v>
      </c>
      <c r="D89" s="1068" t="s">
        <v>1561</v>
      </c>
      <c r="E89" s="1139">
        <v>0.2</v>
      </c>
      <c r="F89" s="1154">
        <v>30</v>
      </c>
    </row>
    <row r="90" spans="1:6" s="1105" customFormat="1" ht="24">
      <c r="A90" s="1154">
        <v>30</v>
      </c>
      <c r="B90" s="3398"/>
      <c r="C90" s="1068" t="s">
        <v>1562</v>
      </c>
      <c r="D90" s="1068" t="s">
        <v>1563</v>
      </c>
      <c r="E90" s="1139">
        <v>0.2</v>
      </c>
      <c r="F90" s="1154">
        <v>30</v>
      </c>
    </row>
    <row r="91" spans="1:6" s="1105" customFormat="1" ht="36">
      <c r="A91" s="1154">
        <v>31</v>
      </c>
      <c r="B91" s="3398"/>
      <c r="C91" s="1068" t="s">
        <v>1564</v>
      </c>
      <c r="D91" s="1068" t="s">
        <v>1565</v>
      </c>
      <c r="E91" s="1139">
        <v>0.2</v>
      </c>
      <c r="F91" s="1154">
        <v>30</v>
      </c>
    </row>
    <row r="92" spans="1:6" s="1105" customFormat="1" ht="24">
      <c r="A92" s="1154">
        <v>32</v>
      </c>
      <c r="B92" s="3398" t="s">
        <v>1566</v>
      </c>
      <c r="C92" s="1154" t="s">
        <v>1567</v>
      </c>
      <c r="D92" s="1068" t="s">
        <v>1568</v>
      </c>
      <c r="E92" s="1139">
        <v>0.2</v>
      </c>
      <c r="F92" s="1154">
        <v>30</v>
      </c>
    </row>
    <row r="93" spans="1:6" s="1105" customFormat="1" ht="36">
      <c r="A93" s="1154">
        <v>33</v>
      </c>
      <c r="B93" s="3398"/>
      <c r="C93" s="1154" t="s">
        <v>1569</v>
      </c>
      <c r="D93" s="1068" t="s">
        <v>1570</v>
      </c>
      <c r="E93" s="1139">
        <v>0.2</v>
      </c>
      <c r="F93" s="1154">
        <v>30</v>
      </c>
    </row>
    <row r="94" spans="1:6" s="1105" customFormat="1" ht="48">
      <c r="A94" s="1154">
        <v>34</v>
      </c>
      <c r="B94" s="3398"/>
      <c r="C94" s="1154" t="s">
        <v>1571</v>
      </c>
      <c r="D94" s="1068" t="s">
        <v>1572</v>
      </c>
      <c r="E94" s="1139">
        <v>0.2</v>
      </c>
      <c r="F94" s="1154">
        <v>30</v>
      </c>
    </row>
    <row r="95" spans="1:6" s="1105" customFormat="1" ht="36">
      <c r="A95" s="1154">
        <v>35</v>
      </c>
      <c r="B95" s="3398"/>
      <c r="C95" s="1154" t="s">
        <v>1573</v>
      </c>
      <c r="D95" s="1068" t="s">
        <v>1574</v>
      </c>
      <c r="E95" s="1139">
        <v>0.2</v>
      </c>
      <c r="F95" s="1154">
        <v>30</v>
      </c>
    </row>
    <row r="96" spans="1:6" s="1105" customFormat="1" ht="48">
      <c r="A96" s="1154">
        <v>36</v>
      </c>
      <c r="B96" s="3398"/>
      <c r="C96" s="1068" t="s">
        <v>1575</v>
      </c>
      <c r="D96" s="1068" t="s">
        <v>1576</v>
      </c>
      <c r="E96" s="1139">
        <v>0.2</v>
      </c>
      <c r="F96" s="1154">
        <v>30</v>
      </c>
    </row>
    <row r="97" spans="1:6" s="1105" customFormat="1" ht="36">
      <c r="A97" s="1154">
        <v>37</v>
      </c>
      <c r="B97" s="3398"/>
      <c r="C97" s="1154" t="s">
        <v>1577</v>
      </c>
      <c r="D97" s="1068" t="s">
        <v>1578</v>
      </c>
      <c r="E97" s="1139">
        <v>0.2</v>
      </c>
      <c r="F97" s="1154">
        <v>30</v>
      </c>
    </row>
    <row r="98" spans="1:6" s="1105" customFormat="1" ht="36">
      <c r="A98" s="1154">
        <v>38</v>
      </c>
      <c r="B98" s="3398"/>
      <c r="C98" s="1154" t="s">
        <v>1579</v>
      </c>
      <c r="D98" s="1068" t="s">
        <v>1580</v>
      </c>
      <c r="E98" s="1139">
        <v>0.2</v>
      </c>
      <c r="F98" s="1154">
        <v>30</v>
      </c>
    </row>
    <row r="99" spans="1:6" s="1105" customFormat="1" ht="36">
      <c r="A99" s="1154">
        <v>39</v>
      </c>
      <c r="B99" s="3398" t="s">
        <v>1581</v>
      </c>
      <c r="C99" s="1154" t="s">
        <v>1582</v>
      </c>
      <c r="D99" s="1068" t="s">
        <v>1583</v>
      </c>
      <c r="E99" s="1139">
        <v>0.3</v>
      </c>
      <c r="F99" s="1154">
        <v>50</v>
      </c>
    </row>
    <row r="100" spans="1:6" s="1105" customFormat="1" ht="24">
      <c r="A100" s="1154">
        <v>40</v>
      </c>
      <c r="B100" s="3398"/>
      <c r="C100" s="1154" t="s">
        <v>1584</v>
      </c>
      <c r="D100" s="1068" t="s">
        <v>1585</v>
      </c>
      <c r="E100" s="1139">
        <v>0.2</v>
      </c>
      <c r="F100" s="1154">
        <v>30</v>
      </c>
    </row>
    <row r="101" spans="1:6" s="1105" customFormat="1" ht="36">
      <c r="A101" s="1154">
        <v>41</v>
      </c>
      <c r="B101" s="339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98" t="s">
        <v>1596</v>
      </c>
      <c r="C105" s="1154" t="s">
        <v>1597</v>
      </c>
      <c r="D105" s="1068" t="s">
        <v>1598</v>
      </c>
      <c r="E105" s="1139">
        <v>0.2</v>
      </c>
      <c r="F105" s="1154">
        <v>30</v>
      </c>
    </row>
    <row r="106" spans="1:6" s="1105" customFormat="1" ht="36">
      <c r="A106" s="1154">
        <v>46</v>
      </c>
      <c r="B106" s="3398"/>
      <c r="C106" s="1154" t="s">
        <v>1599</v>
      </c>
      <c r="D106" s="1068" t="s">
        <v>1600</v>
      </c>
      <c r="E106" s="1139">
        <v>0.2</v>
      </c>
      <c r="F106" s="1154">
        <v>30</v>
      </c>
    </row>
    <row r="107" spans="1:6" s="1105" customFormat="1" ht="36">
      <c r="A107" s="1154">
        <v>47</v>
      </c>
      <c r="B107" s="3398" t="s">
        <v>1601</v>
      </c>
      <c r="C107" s="1154" t="s">
        <v>1602</v>
      </c>
      <c r="D107" s="1068" t="s">
        <v>1603</v>
      </c>
      <c r="E107" s="1139">
        <v>0.3</v>
      </c>
      <c r="F107" s="1154">
        <v>50</v>
      </c>
    </row>
    <row r="108" spans="1:6" s="1105" customFormat="1" ht="36">
      <c r="A108" s="1154">
        <v>48</v>
      </c>
      <c r="B108" s="339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98" t="s">
        <v>1612</v>
      </c>
      <c r="C111" s="1154" t="s">
        <v>1613</v>
      </c>
      <c r="D111" s="1068" t="s">
        <v>1614</v>
      </c>
      <c r="E111" s="1139">
        <v>0.2</v>
      </c>
      <c r="F111" s="1154">
        <v>30</v>
      </c>
    </row>
    <row r="112" spans="1:6" s="1105" customFormat="1" ht="24">
      <c r="A112" s="1154">
        <v>52</v>
      </c>
      <c r="B112" s="3398"/>
      <c r="C112" s="1154" t="s">
        <v>1615</v>
      </c>
      <c r="D112" s="1068" t="s">
        <v>1616</v>
      </c>
      <c r="E112" s="1139">
        <v>0.2</v>
      </c>
      <c r="F112" s="1154">
        <v>30</v>
      </c>
    </row>
    <row r="113" spans="1:14" s="1105" customFormat="1" ht="24">
      <c r="A113" s="1154">
        <v>53</v>
      </c>
      <c r="B113" s="339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98" t="s">
        <v>1625</v>
      </c>
      <c r="C116" s="1154" t="s">
        <v>1626</v>
      </c>
      <c r="D116" s="1068" t="s">
        <v>1627</v>
      </c>
      <c r="E116" s="1139">
        <v>0.2</v>
      </c>
      <c r="F116" s="1154">
        <v>30</v>
      </c>
    </row>
    <row r="117" spans="1:14" ht="36">
      <c r="A117" s="1154">
        <v>57</v>
      </c>
      <c r="B117" s="339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97" t="s">
        <v>1634</v>
      </c>
      <c r="B121" s="3397"/>
      <c r="C121" s="3397"/>
      <c r="D121" s="3397"/>
      <c r="E121" s="3397"/>
      <c r="F121" s="3397"/>
      <c r="G121" s="3397"/>
      <c r="H121" s="3397"/>
      <c r="I121" s="3397"/>
      <c r="J121" s="339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0" t="s">
        <v>1040</v>
      </c>
      <c r="B1" s="3410"/>
      <c r="C1" s="3410"/>
      <c r="D1" s="3410"/>
      <c r="E1" s="3410"/>
      <c r="F1" s="341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1" t="s">
        <v>1053</v>
      </c>
      <c r="B2" s="3411"/>
      <c r="C2" s="3411"/>
      <c r="D2" s="3411"/>
      <c r="E2" s="3411"/>
      <c r="F2" s="341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4" t="s">
        <v>2080</v>
      </c>
      <c r="B1" s="341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2953</v>
      </c>
      <c r="B1" s="3081"/>
      <c r="C1" s="3081"/>
      <c r="D1" s="3081"/>
      <c r="E1" s="3081"/>
      <c r="F1" s="3081"/>
    </row>
    <row r="2" spans="1:6" ht="14.25">
      <c r="A2" s="3082" t="s">
        <v>2948</v>
      </c>
      <c r="B2" s="3083" t="e">
        <f ca="1">SUMIF(B7:B14,"&lt;&gt;#ref!",B7:B14)</f>
        <v>#DIV/0!</v>
      </c>
      <c r="C2" s="3082" t="s">
        <v>2949</v>
      </c>
      <c r="D2" s="3081"/>
      <c r="E2" s="3081"/>
      <c r="F2" s="3081"/>
    </row>
    <row r="3" spans="1:6" ht="14.25">
      <c r="A3" s="3082" t="s">
        <v>2981</v>
      </c>
      <c r="B3" s="3083" t="e">
        <f ca="1">ROUND(B2*10000/E3,0)</f>
        <v>#DIV/0!</v>
      </c>
      <c r="C3" s="3082" t="s">
        <v>2079</v>
      </c>
      <c r="D3" s="3082" t="s">
        <v>2950</v>
      </c>
      <c r="E3" s="3083">
        <f ca="1">SUMIF(E7:E14,"&lt;&gt;#ref!",E7:E14)</f>
        <v>0</v>
      </c>
      <c r="F3" s="3081"/>
    </row>
    <row r="4" spans="1:6" ht="14.25">
      <c r="A4" s="3082" t="s">
        <v>2957</v>
      </c>
      <c r="B4" s="3083" t="e">
        <f ca="1">ROUND(B2*10000/E4,0)</f>
        <v>#DIV/0!</v>
      </c>
      <c r="C4" s="3082" t="s">
        <v>2079</v>
      </c>
      <c r="D4" s="3082" t="s">
        <v>2958</v>
      </c>
      <c r="E4" s="3083">
        <f ca="1">SUMIF(F7:F14,"&lt;&gt;#ref!",F7:F14)</f>
        <v>0</v>
      </c>
      <c r="F4" s="3081"/>
    </row>
    <row r="5" spans="1:6" ht="14.25">
      <c r="A5" s="3084"/>
      <c r="B5" s="1882"/>
      <c r="C5" s="1882"/>
      <c r="D5" s="1882"/>
      <c r="E5" s="1882"/>
      <c r="F5" s="3081"/>
    </row>
    <row r="6" spans="1:6" ht="28.5">
      <c r="A6" s="3085" t="s">
        <v>2954</v>
      </c>
      <c r="B6" s="3082" t="s">
        <v>2951</v>
      </c>
      <c r="C6" s="3083"/>
      <c r="D6" s="1882"/>
      <c r="E6" s="3082" t="s">
        <v>2952</v>
      </c>
      <c r="F6" s="3082" t="s">
        <v>2956</v>
      </c>
    </row>
    <row r="7" spans="1:6" ht="14.25">
      <c r="A7" s="260" t="s">
        <v>2955</v>
      </c>
      <c r="B7" s="3086" t="e">
        <f ca="1">SUMIF(INDIRECT("'"&amp;A7&amp;"'"&amp;"!A:A"),"总价",INDIRECT("'"&amp;A7&amp;"'"&amp;"!B:B"))</f>
        <v>#DIV/0!</v>
      </c>
      <c r="C7" s="3082" t="s">
        <v>2949</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2949</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2949</v>
      </c>
      <c r="D9" s="1882"/>
      <c r="E9" s="3087" t="e">
        <f t="shared" ca="1" si="1"/>
        <v>#REF!</v>
      </c>
      <c r="F9" s="3087" t="e">
        <f t="shared" ca="1" si="2"/>
        <v>#REF!</v>
      </c>
    </row>
    <row r="10" spans="1:6" ht="14.25">
      <c r="A10" s="260"/>
      <c r="B10" s="3086" t="e">
        <f t="shared" ca="1" si="0"/>
        <v>#REF!</v>
      </c>
      <c r="C10" s="3082" t="s">
        <v>2949</v>
      </c>
      <c r="D10" s="1882"/>
      <c r="E10" s="3087" t="e">
        <f t="shared" ca="1" si="1"/>
        <v>#REF!</v>
      </c>
      <c r="F10" s="3087" t="e">
        <f t="shared" ca="1" si="2"/>
        <v>#REF!</v>
      </c>
    </row>
    <row r="11" spans="1:6" ht="14.25">
      <c r="A11" s="260"/>
      <c r="B11" s="3086" t="e">
        <f t="shared" ca="1" si="0"/>
        <v>#REF!</v>
      </c>
      <c r="C11" s="3082" t="s">
        <v>2949</v>
      </c>
      <c r="D11" s="1882"/>
      <c r="E11" s="3087" t="e">
        <f t="shared" ca="1" si="1"/>
        <v>#REF!</v>
      </c>
      <c r="F11" s="3087" t="e">
        <f t="shared" ca="1" si="2"/>
        <v>#REF!</v>
      </c>
    </row>
    <row r="12" spans="1:6" ht="14.25">
      <c r="A12" s="260"/>
      <c r="B12" s="3086" t="e">
        <f t="shared" ca="1" si="0"/>
        <v>#REF!</v>
      </c>
      <c r="C12" s="3082" t="s">
        <v>2949</v>
      </c>
      <c r="D12" s="1882"/>
      <c r="E12" s="3087" t="e">
        <f t="shared" ca="1" si="1"/>
        <v>#REF!</v>
      </c>
      <c r="F12" s="3087" t="e">
        <f t="shared" ca="1" si="2"/>
        <v>#REF!</v>
      </c>
    </row>
    <row r="13" spans="1:6" ht="14.25">
      <c r="A13" s="260"/>
      <c r="B13" s="3086" t="e">
        <f t="shared" ca="1" si="0"/>
        <v>#REF!</v>
      </c>
      <c r="C13" s="3082" t="s">
        <v>2949</v>
      </c>
      <c r="D13" s="1882"/>
      <c r="E13" s="3087" t="e">
        <f t="shared" ca="1" si="1"/>
        <v>#REF!</v>
      </c>
      <c r="F13" s="3087" t="e">
        <f t="shared" ca="1" si="2"/>
        <v>#REF!</v>
      </c>
    </row>
    <row r="14" spans="1:6" ht="14.25">
      <c r="A14" s="3080"/>
      <c r="B14" s="3086" t="e">
        <f t="shared" ca="1" si="0"/>
        <v>#REF!</v>
      </c>
      <c r="C14" s="3082" t="s">
        <v>2949</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103456.5平方米。根据《建设工程规划许可证》[]、《出让合同》[]，估价对象规划建筑面积为310569.6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2019年1月22日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根据《国有土地使用证》[]，估价对象（分摊）出让国有建设用地使用权面积为103456.5平方米。根据《建设工程规划许可证》[]、《出让合同》[]，估价对象规划建筑面积为310569.6平方米。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本次估价对象为出让国有建设用地使用权，《国有土地使用证》[]证载土地终止日期为商业2052年10月23日。截至估价期日，出让国有建设用地使用权剩余土地使用年限为。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1月22日，在规划利用条件下、设定土地开发程度为红线外“七通”、宗地内场地，设定用途为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16" t="s">
        <v>2464</v>
      </c>
      <c r="C8" s="1826">
        <f ca="1">ROUND(F8*F10*F9*(1-F11)/10000,0)</f>
        <v>0</v>
      </c>
      <c r="D8" s="1823" t="s">
        <v>2535</v>
      </c>
      <c r="E8" s="61" t="s">
        <v>637</v>
      </c>
      <c r="F8" s="785">
        <f ca="1">INDIRECT("'数据-取费表'!u"&amp;$G$1)</f>
        <v>0</v>
      </c>
      <c r="G8" s="1593"/>
      <c r="H8" s="2484" t="s">
        <v>1825</v>
      </c>
      <c r="I8" s="3416" t="s">
        <v>2464</v>
      </c>
      <c r="J8" s="783">
        <f ca="1">ROUND(M8*M10*M9*(1-M11)/10000,0)</f>
        <v>0</v>
      </c>
      <c r="K8" s="341" t="s">
        <v>2535</v>
      </c>
      <c r="L8" s="784" t="s">
        <v>1739</v>
      </c>
      <c r="M8" s="785">
        <f ca="1">INDIRECT("'数据-取费表'!z"&amp;$G$1)</f>
        <v>0</v>
      </c>
    </row>
    <row r="9" spans="1:25" ht="18" customHeight="1">
      <c r="A9" s="2480"/>
      <c r="B9" s="3417"/>
      <c r="C9" s="1827"/>
      <c r="D9" s="1824"/>
      <c r="E9" s="61" t="s">
        <v>638</v>
      </c>
      <c r="F9" s="785">
        <f ca="1">IF(INDIRECT("'数据-取费表'!ah"&amp;$G$1)="",INDIRECT("'数据-取费表'!k"&amp;$G$1),INDIRECT("'数据-取费表'!ah"&amp;$G$1))</f>
        <v>0</v>
      </c>
      <c r="G9" s="1593"/>
      <c r="H9" s="2469"/>
      <c r="I9" s="3417"/>
      <c r="J9" s="788"/>
      <c r="K9" s="789"/>
      <c r="L9" s="784" t="s">
        <v>1740</v>
      </c>
      <c r="M9" s="785">
        <f ca="1">F9</f>
        <v>0</v>
      </c>
    </row>
    <row r="10" spans="1:25" ht="18" customHeight="1">
      <c r="A10" s="2473"/>
      <c r="B10" s="3418"/>
      <c r="C10" s="1827"/>
      <c r="D10" s="1824"/>
      <c r="E10" s="61" t="s">
        <v>639</v>
      </c>
      <c r="F10" s="785">
        <f ca="1">INDIRECT("'数据-取费表'!ai"&amp;$G$1)</f>
        <v>0</v>
      </c>
      <c r="G10" s="1593"/>
      <c r="H10" s="2469"/>
      <c r="I10" s="3418"/>
      <c r="J10" s="788"/>
      <c r="K10" s="789"/>
      <c r="L10" s="784" t="s">
        <v>1741</v>
      </c>
      <c r="M10" s="785">
        <f ca="1">INDIRECT("'数据-取费表'!ai"&amp;$G$1)</f>
        <v>0</v>
      </c>
    </row>
    <row r="11" spans="1:25" ht="18" customHeight="1">
      <c r="A11" s="786"/>
      <c r="B11" s="3419"/>
      <c r="C11" s="1827"/>
      <c r="D11" s="1824"/>
      <c r="E11" s="61" t="s">
        <v>640</v>
      </c>
      <c r="F11" s="794">
        <f ca="1">INDIRECT("'数据-取费表'!w"&amp;$G$1)</f>
        <v>0</v>
      </c>
      <c r="G11" s="1593"/>
      <c r="H11" s="2485"/>
      <c r="I11" s="3418"/>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6"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7"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4</v>
      </c>
      <c r="G36" s="2063"/>
      <c r="H36" s="2066"/>
      <c r="I36" s="3415"/>
      <c r="J36" s="2080"/>
      <c r="K36" s="2081"/>
      <c r="L36" s="2080"/>
      <c r="M36" s="2080"/>
    </row>
    <row r="37" spans="1:18" ht="18" customHeight="1">
      <c r="A37" s="815"/>
      <c r="B37" s="793"/>
      <c r="C37" s="69"/>
      <c r="D37" s="816"/>
      <c r="E37" s="784" t="s">
        <v>674</v>
      </c>
      <c r="F37" s="785">
        <f ca="1">INDIRECT("'数据-取费表'!r"&amp;$G$1)</f>
        <v>0</v>
      </c>
      <c r="G37" s="2063"/>
      <c r="H37" s="2066"/>
      <c r="I37" s="3415"/>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8" t="s">
        <v>2966</v>
      </c>
      <c r="F43" s="3099">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3" t="str">
        <f ca="1">IF(M48="住宅",0,IF(L49&gt;J52,L61,J61))</f>
        <v>0</v>
      </c>
      <c r="O47" s="2374" t="s">
        <v>2411</v>
      </c>
      <c r="P47" s="1593"/>
      <c r="Q47" s="1605"/>
      <c r="R47" s="1593"/>
    </row>
    <row r="48" spans="1:18" s="2060" customFormat="1" ht="18" customHeight="1" thickBot="1">
      <c r="A48" s="2085"/>
      <c r="C48" s="2088"/>
      <c r="D48" s="2089"/>
      <c r="E48" s="2089"/>
      <c r="F48" s="2090"/>
      <c r="G48" s="2091"/>
      <c r="I48" s="3123" t="s">
        <v>2345</v>
      </c>
      <c r="J48" s="2361"/>
      <c r="K48" s="3130" t="s">
        <v>2350</v>
      </c>
      <c r="L48" s="3134">
        <f ca="1">INDIRECT("'数据-取费表'!d"&amp;$G$1)</f>
        <v>0</v>
      </c>
      <c r="M48" s="3097"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2" t="s">
        <v>2346</v>
      </c>
      <c r="J49" s="2362"/>
      <c r="K49" s="3131"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2" t="s">
        <v>2347</v>
      </c>
      <c r="J50" s="2363"/>
      <c r="K50" s="3132"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2" t="s">
        <v>2348</v>
      </c>
      <c r="J51" s="3127">
        <f>SUMPRODUCT((I64:I66=J48)*(J63:L63=J49)*(J64:L66))</f>
        <v>0</v>
      </c>
      <c r="K51" s="3132" t="s">
        <v>2354</v>
      </c>
      <c r="L51" s="2364"/>
      <c r="O51" s="2381" t="s">
        <v>2384</v>
      </c>
      <c r="P51" s="2379" t="s">
        <v>2408</v>
      </c>
      <c r="Q51" s="2380">
        <f ca="1">C31</f>
        <v>0</v>
      </c>
      <c r="R51" s="2379" t="s">
        <v>2381</v>
      </c>
    </row>
    <row r="52" spans="1:18" s="2060" customFormat="1" ht="18" customHeight="1" thickBot="1">
      <c r="A52" s="2097"/>
      <c r="F52" s="2086"/>
      <c r="I52" s="3124" t="s">
        <v>2349</v>
      </c>
      <c r="J52" s="3128">
        <f>IF(J50="",J51,J50+J51-YEAR('数据-取费表'!B3))</f>
        <v>0</v>
      </c>
      <c r="K52" s="3102" t="s">
        <v>2355</v>
      </c>
      <c r="L52" s="3135">
        <f ca="1">ROUND(-PV(INDIRECT("'数据-取费表'!h"&amp;$G$1),L49,(C40-C14*J36),0),0)</f>
        <v>0</v>
      </c>
      <c r="O52" s="2381" t="s">
        <v>2385</v>
      </c>
      <c r="P52" s="2379" t="s">
        <v>2386</v>
      </c>
      <c r="Q52" s="2382" t="e">
        <f ca="1">J59</f>
        <v>#VALUE!</v>
      </c>
      <c r="R52" s="2383"/>
    </row>
    <row r="53" spans="1:18" s="2060" customFormat="1" ht="18" customHeight="1" thickBot="1">
      <c r="A53" s="2097"/>
      <c r="F53" s="2086"/>
      <c r="I53" s="3125" t="s">
        <v>2422</v>
      </c>
      <c r="J53" s="2365"/>
      <c r="K53" s="3125" t="s">
        <v>2421</v>
      </c>
      <c r="L53" s="2365"/>
      <c r="O53" s="2381" t="s">
        <v>2387</v>
      </c>
      <c r="P53" s="2379" t="s">
        <v>2388</v>
      </c>
      <c r="Q53" s="2382">
        <f>J53</f>
        <v>0</v>
      </c>
      <c r="R53" s="2383"/>
    </row>
    <row r="54" spans="1:18" s="2060" customFormat="1" ht="29.25" thickBot="1">
      <c r="A54" s="2097"/>
      <c r="I54" s="3126" t="s">
        <v>2982</v>
      </c>
      <c r="J54" s="3129">
        <f ca="1">IF(M48="住宅",MAX(J52,L49-'数据-取费表'!B20),MIN(J52,L49-'数据-取费表'!B20))</f>
        <v>-2</v>
      </c>
      <c r="K54" s="3420"/>
      <c r="L54" s="3421"/>
      <c r="O54" s="2381" t="s">
        <v>2389</v>
      </c>
      <c r="P54" s="2379" t="s">
        <v>2390</v>
      </c>
      <c r="Q54" s="2380">
        <f ca="1">J54</f>
        <v>-2</v>
      </c>
      <c r="R54" s="2379" t="s">
        <v>2391</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8" t="s">
        <v>2392</v>
      </c>
      <c r="P55" s="2379" t="s">
        <v>2409</v>
      </c>
      <c r="Q55" s="2380">
        <f ca="1">Q49+Q50</f>
        <v>0</v>
      </c>
      <c r="R55" s="2383" t="s">
        <v>2393</v>
      </c>
    </row>
    <row r="56" spans="1:18" s="2060" customFormat="1" ht="16.5" thickBot="1">
      <c r="A56" s="2097"/>
      <c r="B56" s="2098"/>
      <c r="C56" s="2098"/>
      <c r="I56" s="3138" t="s">
        <v>2356</v>
      </c>
      <c r="J56" s="3077" t="e">
        <f ca="1">ROUND(IF(J48="钢混",J58/J51,1-(1-2%)*(J51-J58)/J51),3)</f>
        <v>#VALUE!</v>
      </c>
      <c r="K56" s="3139" t="s">
        <v>2357</v>
      </c>
      <c r="L56" s="2366"/>
      <c r="O56" s="2384" t="s">
        <v>2412</v>
      </c>
      <c r="P56" s="1593"/>
      <c r="Q56" s="1605"/>
      <c r="R56" s="1593"/>
    </row>
    <row r="57" spans="1:18" s="2060" customFormat="1" ht="43.5" thickBot="1">
      <c r="A57" s="2097"/>
      <c r="B57" s="2098"/>
      <c r="C57" s="2098"/>
      <c r="I57" s="3140" t="s">
        <v>2358</v>
      </c>
      <c r="J57" s="3150" t="s">
        <v>1679</v>
      </c>
      <c r="K57" s="3102" t="s">
        <v>2363</v>
      </c>
      <c r="L57" s="1909">
        <f ca="1">IF(L49&lt;J52,"——",L49-J52)</f>
        <v>0</v>
      </c>
      <c r="O57" s="2375" t="s">
        <v>2376</v>
      </c>
      <c r="P57" s="2376" t="s">
        <v>2377</v>
      </c>
      <c r="Q57" s="2377" t="s">
        <v>2378</v>
      </c>
      <c r="R57" s="2376" t="s">
        <v>2379</v>
      </c>
    </row>
    <row r="58" spans="1:18" s="2060" customFormat="1" ht="29.25" thickBot="1">
      <c r="A58" s="2097"/>
      <c r="B58" s="2098"/>
      <c r="C58" s="2098"/>
      <c r="I58" s="3141" t="s">
        <v>2359</v>
      </c>
      <c r="J58" s="3142" t="str">
        <f ca="1">IF(OR(M48="住宅",J52&lt;L49,J57="是"),"——",J52-L49)</f>
        <v>——</v>
      </c>
      <c r="K58" s="3102"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1" t="s">
        <v>2360</v>
      </c>
      <c r="J59" s="3078" t="e">
        <f ca="1">IF(J56&lt;0.4,0.4,J56)</f>
        <v>#VALUE!</v>
      </c>
      <c r="K59" s="3102"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1" t="s">
        <v>2361</v>
      </c>
      <c r="J60" s="3142" t="str">
        <f ca="1">IF(OR(M48="住宅",J52&lt;L49,J57="是"),"——",ROUND(C30*J59,0))</f>
        <v>——</v>
      </c>
      <c r="K60" s="3102"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3" t="s">
        <v>2362</v>
      </c>
      <c r="J61" s="3144" t="str">
        <f ca="1">IF(OR(M48="住宅",J52&lt;L49,J57="是"),"0",ROUND(J60/(1+J53)^J54,0))</f>
        <v>0</v>
      </c>
      <c r="K61" s="3145" t="s">
        <v>2367</v>
      </c>
      <c r="L61" s="3144"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6" t="s">
        <v>2368</v>
      </c>
      <c r="J63" s="3147" t="s">
        <v>2369</v>
      </c>
      <c r="K63" s="3147" t="s">
        <v>2370</v>
      </c>
      <c r="L63" s="3147" t="s">
        <v>2351</v>
      </c>
      <c r="M63" s="3148" t="s">
        <v>2946</v>
      </c>
      <c r="O63" s="2381" t="s">
        <v>2389</v>
      </c>
      <c r="P63" s="2379" t="s">
        <v>2397</v>
      </c>
      <c r="Q63" s="2380">
        <f ca="1">L60</f>
        <v>0</v>
      </c>
      <c r="R63" s="2383" t="s">
        <v>2398</v>
      </c>
    </row>
    <row r="64" spans="1:18" s="2060" customFormat="1" ht="15.75" thickBot="1">
      <c r="A64" s="2097"/>
      <c r="B64" s="2098"/>
      <c r="C64" s="2098"/>
      <c r="I64" s="3146" t="s">
        <v>2371</v>
      </c>
      <c r="J64" s="3147">
        <v>70</v>
      </c>
      <c r="K64" s="3147">
        <v>50</v>
      </c>
      <c r="L64" s="3147">
        <v>80</v>
      </c>
      <c r="M64" s="3149">
        <v>0.02</v>
      </c>
      <c r="O64" s="2378" t="s">
        <v>2392</v>
      </c>
      <c r="P64" s="2379" t="s">
        <v>2409</v>
      </c>
      <c r="Q64" s="2380" t="e">
        <f ca="1">Q58+Q59</f>
        <v>#DIV/0!</v>
      </c>
      <c r="R64" s="2383" t="s">
        <v>2393</v>
      </c>
    </row>
    <row r="65" spans="1:18" s="2060" customFormat="1" ht="16.5" thickBot="1">
      <c r="A65" s="2097"/>
      <c r="B65" s="2098"/>
      <c r="C65" s="2098"/>
      <c r="I65" s="3146" t="s">
        <v>2372</v>
      </c>
      <c r="J65" s="3147">
        <v>50</v>
      </c>
      <c r="K65" s="3147">
        <v>35</v>
      </c>
      <c r="L65" s="3147">
        <v>60</v>
      </c>
      <c r="M65" s="846">
        <v>0</v>
      </c>
      <c r="O65" s="2384" t="s">
        <v>2416</v>
      </c>
      <c r="P65" s="1593"/>
      <c r="Q65" s="1605"/>
      <c r="R65" s="1593"/>
    </row>
    <row r="66" spans="1:18" s="2060" customFormat="1" ht="15.75" thickBot="1">
      <c r="A66" s="2097"/>
      <c r="B66" s="2098"/>
      <c r="C66" s="2098"/>
      <c r="I66" s="3146" t="s">
        <v>2373</v>
      </c>
      <c r="J66" s="3147">
        <v>40</v>
      </c>
      <c r="K66" s="3147">
        <v>30</v>
      </c>
      <c r="L66" s="3147">
        <v>50</v>
      </c>
      <c r="M66" s="3149">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X17" sqref="X17"/>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24" t="s">
        <v>2577</v>
      </c>
      <c r="C1" s="3424"/>
      <c r="D1" s="3424"/>
      <c r="E1" s="3424"/>
      <c r="F1" s="3424"/>
      <c r="G1" s="3423" t="s">
        <v>2578</v>
      </c>
      <c r="H1" s="3423"/>
      <c r="I1" s="3423"/>
      <c r="J1" s="3423"/>
      <c r="K1" s="3423"/>
      <c r="L1" s="3423"/>
      <c r="N1" s="3423" t="s">
        <v>2579</v>
      </c>
      <c r="O1" s="3423"/>
      <c r="P1" s="3423"/>
      <c r="Q1" s="3423"/>
      <c r="R1" s="2634"/>
      <c r="S1" s="3423" t="s">
        <v>2580</v>
      </c>
      <c r="T1" s="3423"/>
      <c r="U1" s="3423"/>
      <c r="V1" s="3423"/>
      <c r="X1" s="3422" t="s">
        <v>2640</v>
      </c>
      <c r="Y1" s="3423"/>
      <c r="Z1" s="3423"/>
      <c r="AA1" s="3423"/>
      <c r="AB1" s="3423"/>
      <c r="AD1" s="3422" t="s">
        <v>2644</v>
      </c>
      <c r="AE1" s="3423"/>
      <c r="AF1" s="3423"/>
      <c r="AG1" s="3423"/>
      <c r="AH1" s="3423"/>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7" customFormat="1" ht="14.25">
      <c r="A3" s="3119" t="s">
        <v>2973</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6"/>
      <c r="X4" s="2733"/>
      <c r="Y4" s="2733"/>
      <c r="Z4" s="2733"/>
      <c r="AA4" s="2733"/>
      <c r="AB4" s="2733"/>
      <c r="AD4" s="2653"/>
      <c r="AE4" s="2653"/>
      <c r="AF4" s="2653"/>
      <c r="AG4" s="2653"/>
      <c r="AH4" s="2653"/>
    </row>
    <row r="5" spans="1:34" s="3091" customFormat="1">
      <c r="A5" s="3089" t="s">
        <v>2993</v>
      </c>
      <c r="B5" s="2774">
        <f>B6*(1+N5)</f>
        <v>459.95733971036987</v>
      </c>
      <c r="C5" s="2774">
        <f t="shared" ref="C5" si="2">C6*(1+O5)</f>
        <v>341.22221064422405</v>
      </c>
      <c r="D5" s="2774">
        <f t="shared" ref="D5" si="3">C5</f>
        <v>341.22221064422405</v>
      </c>
      <c r="E5" s="2774">
        <f t="shared" ref="E5" si="4">E6*(1+P5)</f>
        <v>657.19161663724799</v>
      </c>
      <c r="F5" s="2774">
        <f t="shared" ref="F5" si="5">F6*(1+Q5)</f>
        <v>300.87803644464805</v>
      </c>
      <c r="G5" s="2734">
        <v>2019</v>
      </c>
      <c r="H5" s="3090">
        <v>1</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17" t="s">
        <v>2974</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40" customFormat="1">
      <c r="A6" s="2635" t="s">
        <v>2994</v>
      </c>
      <c r="B6" s="2648">
        <f>B7*(1+N6)</f>
        <v>459.95733971036987</v>
      </c>
      <c r="C6" s="2648">
        <f t="shared" ref="C6" si="12">C7*(1+O6)</f>
        <v>341.22221064422405</v>
      </c>
      <c r="D6" s="2648">
        <f t="shared" ref="D6" si="13">C6</f>
        <v>341.22221064422405</v>
      </c>
      <c r="E6" s="2648">
        <f t="shared" ref="E6" si="14">E7*(1+P6)</f>
        <v>657.19161663724799</v>
      </c>
      <c r="F6" s="2648">
        <f t="shared" ref="F6" si="15">F7*(1+Q6)</f>
        <v>300.87803644464805</v>
      </c>
      <c r="G6" s="3426">
        <v>2018</v>
      </c>
      <c r="H6" s="2638">
        <v>4</v>
      </c>
      <c r="I6" s="2638">
        <v>0</v>
      </c>
      <c r="J6" s="2638">
        <v>0</v>
      </c>
      <c r="K6" s="2638">
        <v>0</v>
      </c>
      <c r="L6" s="2649">
        <v>0</v>
      </c>
      <c r="M6" s="2642"/>
      <c r="N6" s="2643">
        <f t="shared" ref="N6" si="16">I6/100</f>
        <v>0</v>
      </c>
      <c r="O6" s="2644">
        <f t="shared" ref="O6" si="17">J6/100</f>
        <v>0</v>
      </c>
      <c r="P6" s="2644">
        <f t="shared" ref="P6" si="18">K6/100</f>
        <v>0</v>
      </c>
      <c r="Q6" s="2644">
        <f t="shared" ref="Q6" si="19">L6/100</f>
        <v>0</v>
      </c>
      <c r="R6" s="2645"/>
      <c r="S6" s="2646"/>
      <c r="T6" s="2647"/>
      <c r="U6" s="2647"/>
      <c r="V6" s="2647"/>
      <c r="W6" s="2642"/>
      <c r="X6" s="2733">
        <f>ROUND(SUMPRODUCT(PRODUCT(1+N6:N$24)),4)</f>
        <v>1.4956</v>
      </c>
      <c r="Y6" s="2733">
        <f>ROUND(SUMPRODUCT(PRODUCT(1+O6:O$24)),4)</f>
        <v>1.3237000000000001</v>
      </c>
      <c r="Z6" s="2733">
        <f t="shared" ref="Z6" si="20">Y6</f>
        <v>1.3237000000000001</v>
      </c>
      <c r="AA6" s="2733">
        <f>ROUND(SUMPRODUCT(PRODUCT(1+P6:P$24)),4)</f>
        <v>1.554</v>
      </c>
      <c r="AB6" s="2733">
        <f>ROUND(SUMPRODUCT(PRODUCT(1+Q6:Q$24)),4)</f>
        <v>1.3087</v>
      </c>
      <c r="AC6" s="2642"/>
      <c r="AD6" s="2653">
        <f>ROUND(AVERAGE(I6:I$25)/100,4)</f>
        <v>2.1899999999999999E-2</v>
      </c>
      <c r="AE6" s="2653">
        <f>ROUND(AVERAGE(J6:J$25)/100,4)</f>
        <v>1.5299999999999999E-2</v>
      </c>
      <c r="AF6" s="2653">
        <f t="shared" ref="AF6" si="21">AE6</f>
        <v>1.5299999999999999E-2</v>
      </c>
      <c r="AG6" s="2653">
        <f>ROUND(AVERAGE(K6:K$25)/100,4)</f>
        <v>2.41E-2</v>
      </c>
      <c r="AH6" s="2653">
        <f>ROUND(AVERAGE(L6:L$25)/100,4)</f>
        <v>1.4200000000000001E-2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26"/>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26"/>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2"/>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1">
        <v>439</v>
      </c>
      <c r="C10" s="3121">
        <v>327</v>
      </c>
      <c r="D10" s="3121">
        <f t="shared" si="43"/>
        <v>327</v>
      </c>
      <c r="E10" s="3121">
        <v>627</v>
      </c>
      <c r="F10" s="3122">
        <v>283</v>
      </c>
      <c r="G10" s="3431">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26"/>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26"/>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2"/>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1">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26"/>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26"/>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27"/>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25">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26"/>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26"/>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27"/>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25">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26"/>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26"/>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27"/>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5" t="s">
        <v>2584</v>
      </c>
      <c r="B26" s="2640">
        <v>299</v>
      </c>
      <c r="C26" s="2640">
        <v>252</v>
      </c>
      <c r="D26" s="2640">
        <f t="shared" si="65"/>
        <v>252</v>
      </c>
      <c r="E26" s="2640">
        <v>409</v>
      </c>
      <c r="F26" s="2641">
        <v>227</v>
      </c>
      <c r="G26" s="3428">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29"/>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29"/>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0"/>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25">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26"/>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26"/>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27"/>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25">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26">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26">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27">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25">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26">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26">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27">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25">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26">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26">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27">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25">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26">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26">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27">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25">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26">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26">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27">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25">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26">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26">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27">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25">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26">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26">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27">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25">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26">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26">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27">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25">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26">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26">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27">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25">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26">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26">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27">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2472</v>
      </c>
      <c r="B1" s="3452"/>
      <c r="C1" s="3453"/>
      <c r="D1" s="3454">
        <f>SUM(I10,I15,I20,I21,I23)</f>
        <v>0</v>
      </c>
      <c r="E1" s="3454"/>
      <c r="F1" s="3454"/>
      <c r="G1" s="3454"/>
      <c r="H1" s="3454"/>
      <c r="I1" s="3455"/>
    </row>
    <row r="2" spans="1:9">
      <c r="A2" s="3441" t="s">
        <v>2473</v>
      </c>
      <c r="B2" s="3442" t="s">
        <v>2474</v>
      </c>
      <c r="C2" s="3442"/>
      <c r="D2" s="2487" t="s">
        <v>2475</v>
      </c>
      <c r="E2" s="2487" t="s">
        <v>2476</v>
      </c>
      <c r="F2" s="2487" t="s">
        <v>2477</v>
      </c>
      <c r="G2" s="2487" t="s">
        <v>2478</v>
      </c>
      <c r="H2" s="2487" t="s">
        <v>2479</v>
      </c>
      <c r="I2" s="2488" t="s">
        <v>2480</v>
      </c>
    </row>
    <row r="3" spans="1:9">
      <c r="A3" s="3441"/>
      <c r="B3" s="3442" t="s">
        <v>2481</v>
      </c>
      <c r="C3" s="3442"/>
      <c r="D3" s="2489"/>
      <c r="E3" s="2487"/>
      <c r="F3" s="2490"/>
      <c r="G3" s="2490"/>
      <c r="H3" s="2491"/>
      <c r="I3" s="2492">
        <f>ROUND(D3*E3*F3*G3*H3/10000,0)</f>
        <v>0</v>
      </c>
    </row>
    <row r="4" spans="1:9">
      <c r="A4" s="3441"/>
      <c r="B4" s="3442" t="s">
        <v>2482</v>
      </c>
      <c r="C4" s="3442"/>
      <c r="D4" s="2489"/>
      <c r="E4" s="2487"/>
      <c r="F4" s="2490"/>
      <c r="G4" s="2490"/>
      <c r="H4" s="2491"/>
      <c r="I4" s="2492">
        <f t="shared" ref="I4:I9" si="0">ROUND(D4*E4*F4*G4*H4/10000,0)</f>
        <v>0</v>
      </c>
    </row>
    <row r="5" spans="1:9">
      <c r="A5" s="3441"/>
      <c r="B5" s="3442" t="s">
        <v>2483</v>
      </c>
      <c r="C5" s="3442"/>
      <c r="D5" s="2489"/>
      <c r="E5" s="2487"/>
      <c r="F5" s="2490"/>
      <c r="G5" s="2490"/>
      <c r="H5" s="2491"/>
      <c r="I5" s="2492">
        <f t="shared" si="0"/>
        <v>0</v>
      </c>
    </row>
    <row r="6" spans="1:9">
      <c r="A6" s="3441"/>
      <c r="B6" s="3442" t="s">
        <v>2484</v>
      </c>
      <c r="C6" s="3442"/>
      <c r="D6" s="2489"/>
      <c r="E6" s="2487"/>
      <c r="F6" s="2490"/>
      <c r="G6" s="2490"/>
      <c r="H6" s="2491"/>
      <c r="I6" s="2492">
        <f t="shared" si="0"/>
        <v>0</v>
      </c>
    </row>
    <row r="7" spans="1:9">
      <c r="A7" s="3441"/>
      <c r="B7" s="3442" t="s">
        <v>2485</v>
      </c>
      <c r="C7" s="3442"/>
      <c r="D7" s="2489"/>
      <c r="E7" s="2487"/>
      <c r="F7" s="2490"/>
      <c r="G7" s="2490"/>
      <c r="H7" s="2491"/>
      <c r="I7" s="2492">
        <f t="shared" si="0"/>
        <v>0</v>
      </c>
    </row>
    <row r="8" spans="1:9">
      <c r="A8" s="3441"/>
      <c r="B8" s="3442" t="s">
        <v>2486</v>
      </c>
      <c r="C8" s="3442"/>
      <c r="D8" s="2489"/>
      <c r="E8" s="2487"/>
      <c r="F8" s="2490"/>
      <c r="G8" s="2490"/>
      <c r="H8" s="2491"/>
      <c r="I8" s="2492">
        <f t="shared" si="0"/>
        <v>0</v>
      </c>
    </row>
    <row r="9" spans="1:9">
      <c r="A9" s="3441"/>
      <c r="B9" s="3442" t="s">
        <v>2487</v>
      </c>
      <c r="C9" s="3442"/>
      <c r="D9" s="2489"/>
      <c r="E9" s="2487"/>
      <c r="F9" s="2490"/>
      <c r="G9" s="2490"/>
      <c r="H9" s="2491"/>
      <c r="I9" s="2492">
        <f t="shared" si="0"/>
        <v>0</v>
      </c>
    </row>
    <row r="10" spans="1:9">
      <c r="A10" s="3441"/>
      <c r="B10" s="3443" t="s">
        <v>2488</v>
      </c>
      <c r="C10" s="3443"/>
      <c r="D10" s="2493">
        <v>527</v>
      </c>
      <c r="E10" s="2493" t="e">
        <f>ROUND(D1*10000/D10/H9,0)</f>
        <v>#DIV/0!</v>
      </c>
      <c r="F10" s="2494"/>
      <c r="G10" s="2494"/>
      <c r="H10" s="2495"/>
      <c r="I10" s="2496">
        <f>SUM(I3:I9)</f>
        <v>0</v>
      </c>
    </row>
    <row r="11" spans="1:9" ht="14.25">
      <c r="A11" s="3441" t="s">
        <v>2489</v>
      </c>
      <c r="B11" s="3442" t="s">
        <v>2490</v>
      </c>
      <c r="C11" s="3442"/>
      <c r="D11" s="2489" t="s">
        <v>2491</v>
      </c>
      <c r="E11" s="2489" t="s">
        <v>2492</v>
      </c>
      <c r="F11" s="2490" t="s">
        <v>2493</v>
      </c>
      <c r="G11" s="2490" t="s">
        <v>2494</v>
      </c>
      <c r="H11" s="2497" t="s">
        <v>2495</v>
      </c>
      <c r="I11" s="2488" t="s">
        <v>2496</v>
      </c>
    </row>
    <row r="12" spans="1:9">
      <c r="A12" s="3441"/>
      <c r="B12" s="3442" t="s">
        <v>2497</v>
      </c>
      <c r="C12" s="3442"/>
      <c r="D12" s="2489"/>
      <c r="E12" s="2489"/>
      <c r="F12" s="2490"/>
      <c r="G12" s="2491"/>
      <c r="H12" s="2498"/>
      <c r="I12" s="2488">
        <f>ROUND(D12*E12*F12*G12/10000,0)</f>
        <v>0</v>
      </c>
    </row>
    <row r="13" spans="1:9">
      <c r="A13" s="3441"/>
      <c r="B13" s="3442" t="s">
        <v>2498</v>
      </c>
      <c r="C13" s="3442"/>
      <c r="D13" s="2489"/>
      <c r="E13" s="2489"/>
      <c r="F13" s="2490"/>
      <c r="G13" s="2491"/>
      <c r="H13" s="2498"/>
      <c r="I13" s="2488">
        <f>ROUND(D13*E13*F13*G13/10000,0)</f>
        <v>0</v>
      </c>
    </row>
    <row r="14" spans="1:9">
      <c r="A14" s="3441"/>
      <c r="B14" s="3442" t="s">
        <v>2499</v>
      </c>
      <c r="C14" s="3442"/>
      <c r="D14" s="2489"/>
      <c r="E14" s="2489"/>
      <c r="F14" s="2490"/>
      <c r="G14" s="2491"/>
      <c r="H14" s="2498"/>
      <c r="I14" s="2488">
        <f>ROUND(D14*E14*F14*G14/10000,0)</f>
        <v>0</v>
      </c>
    </row>
    <row r="15" spans="1:9">
      <c r="A15" s="3441"/>
      <c r="B15" s="3443" t="s">
        <v>2488</v>
      </c>
      <c r="C15" s="3443"/>
      <c r="D15" s="2493"/>
      <c r="E15" s="2493">
        <f>SUM(E12:E14)</f>
        <v>0</v>
      </c>
      <c r="F15" s="2494"/>
      <c r="G15" s="2491"/>
      <c r="H15" s="2498"/>
      <c r="I15" s="2499">
        <f>SUM(I12:I14)</f>
        <v>0</v>
      </c>
    </row>
    <row r="16" spans="1:9" ht="24">
      <c r="A16" s="3441" t="s">
        <v>2500</v>
      </c>
      <c r="B16" s="3442" t="s">
        <v>2501</v>
      </c>
      <c r="C16" s="3442"/>
      <c r="D16" s="2489" t="s">
        <v>2502</v>
      </c>
      <c r="E16" s="2500" t="s">
        <v>2503</v>
      </c>
      <c r="F16" s="2490" t="s">
        <v>2504</v>
      </c>
      <c r="G16" s="2491" t="s">
        <v>2494</v>
      </c>
      <c r="H16" s="2497" t="s">
        <v>2495</v>
      </c>
      <c r="I16" s="2488" t="s">
        <v>2496</v>
      </c>
    </row>
    <row r="17" spans="1:9" ht="14.25">
      <c r="A17" s="3441"/>
      <c r="B17" s="3442" t="s">
        <v>2505</v>
      </c>
      <c r="C17" s="3442"/>
      <c r="D17" s="2489"/>
      <c r="E17" s="2489"/>
      <c r="F17" s="2490"/>
      <c r="G17" s="2491"/>
      <c r="H17" s="2501"/>
      <c r="I17" s="2502">
        <f>ROUND(D17*E17*F17*G17/10000,0)</f>
        <v>0</v>
      </c>
    </row>
    <row r="18" spans="1:9" ht="14.25">
      <c r="A18" s="3441"/>
      <c r="B18" s="3442" t="s">
        <v>2506</v>
      </c>
      <c r="C18" s="3442"/>
      <c r="D18" s="2489"/>
      <c r="E18" s="2489"/>
      <c r="F18" s="2490"/>
      <c r="G18" s="2491"/>
      <c r="H18" s="2501"/>
      <c r="I18" s="2502">
        <f>ROUND(D18*E18*F18*G18/10000,0)</f>
        <v>0</v>
      </c>
    </row>
    <row r="19" spans="1:9" ht="14.25">
      <c r="A19" s="3441"/>
      <c r="B19" s="3442" t="s">
        <v>2507</v>
      </c>
      <c r="C19" s="3442"/>
      <c r="D19" s="2489"/>
      <c r="E19" s="2489"/>
      <c r="F19" s="2490"/>
      <c r="G19" s="2491"/>
      <c r="H19" s="2501"/>
      <c r="I19" s="2502">
        <f>ROUND(D19*E19*F19*G19/10000,0)</f>
        <v>0</v>
      </c>
    </row>
    <row r="20" spans="1:9">
      <c r="A20" s="3441"/>
      <c r="B20" s="3443" t="s">
        <v>2488</v>
      </c>
      <c r="C20" s="3443"/>
      <c r="D20" s="2493">
        <f>SUM(D17:D19)</f>
        <v>0</v>
      </c>
      <c r="E20" s="2493"/>
      <c r="F20" s="2494"/>
      <c r="G20" s="2491"/>
      <c r="H20" s="2498"/>
      <c r="I20" s="2499">
        <f>SUM(I17:I19)</f>
        <v>0</v>
      </c>
    </row>
    <row r="21" spans="1:9">
      <c r="A21" s="3441" t="s">
        <v>2508</v>
      </c>
      <c r="B21" s="3444"/>
      <c r="C21" s="3444"/>
      <c r="D21" s="3444"/>
      <c r="E21" s="3444"/>
      <c r="F21" s="3444"/>
      <c r="G21" s="3444"/>
      <c r="H21" s="2503">
        <v>0.1</v>
      </c>
      <c r="I21" s="2496">
        <f>ROUND(I10*H21,0)</f>
        <v>0</v>
      </c>
    </row>
    <row r="22" spans="1:9" ht="14.25">
      <c r="A22" s="3445" t="s">
        <v>2509</v>
      </c>
      <c r="B22" s="3446"/>
      <c r="C22" s="3447"/>
      <c r="D22" s="2504" t="s">
        <v>2510</v>
      </c>
      <c r="E22" s="2504" t="s">
        <v>2511</v>
      </c>
      <c r="F22" s="2505" t="s">
        <v>2512</v>
      </c>
      <c r="G22" s="2505" t="s">
        <v>2513</v>
      </c>
      <c r="H22" s="2497" t="s">
        <v>2514</v>
      </c>
      <c r="I22" s="2488" t="s">
        <v>2515</v>
      </c>
    </row>
    <row r="23" spans="1:9" ht="14.25" thickBot="1">
      <c r="A23" s="3448"/>
      <c r="B23" s="3449"/>
      <c r="C23" s="3450"/>
      <c r="D23" s="2506"/>
      <c r="E23" s="2506"/>
      <c r="F23" s="2506"/>
      <c r="G23" s="2507"/>
      <c r="H23" s="2508"/>
      <c r="I23" s="2509">
        <f>ROUND(E23*D23*F23*(1-G23)/10000,0)</f>
        <v>0</v>
      </c>
    </row>
    <row r="26" spans="1:9">
      <c r="A26" s="2510" t="s">
        <v>2516</v>
      </c>
      <c r="B26" s="2510"/>
      <c r="C26" s="2510"/>
      <c r="D26" s="2510"/>
      <c r="E26" s="3438">
        <f>C27-C30-C31-C32</f>
        <v>0</v>
      </c>
      <c r="F26" s="3438"/>
      <c r="G26" s="3438"/>
      <c r="H26" s="3019" t="s">
        <v>2844</v>
      </c>
    </row>
    <row r="27" spans="1:9">
      <c r="A27" s="2511">
        <v>1</v>
      </c>
      <c r="B27" s="2512" t="s">
        <v>2517</v>
      </c>
      <c r="C27" s="2512"/>
      <c r="D27" s="2512"/>
      <c r="E27" s="3439"/>
      <c r="F27" s="3439"/>
      <c r="G27" s="3439"/>
    </row>
    <row r="28" spans="1:9">
      <c r="A28" s="2513" t="s">
        <v>2518</v>
      </c>
      <c r="B28" s="2512" t="s">
        <v>2519</v>
      </c>
      <c r="C28" s="2512"/>
      <c r="D28" s="2512"/>
      <c r="E28" s="3439"/>
      <c r="F28" s="3439"/>
      <c r="G28" s="3439"/>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0"/>
      <c r="F32" s="3440"/>
      <c r="G32" s="3440"/>
    </row>
    <row r="33" spans="1:7" hidden="1">
      <c r="A33" s="3435" t="s">
        <v>2527</v>
      </c>
      <c r="B33" s="3436"/>
      <c r="C33" s="3436"/>
      <c r="D33" s="3437"/>
      <c r="E33" s="3438"/>
      <c r="F33" s="3438"/>
      <c r="G33" s="3438"/>
    </row>
    <row r="34" spans="1:7" hidden="1">
      <c r="A34" s="2515">
        <v>1</v>
      </c>
      <c r="B34" s="2512" t="s">
        <v>2528</v>
      </c>
      <c r="C34" s="2512"/>
      <c r="D34" s="2512"/>
      <c r="E34" s="3439"/>
      <c r="F34" s="3439"/>
      <c r="G34" s="3439"/>
    </row>
    <row r="35" spans="1:7" hidden="1">
      <c r="A35" s="2515">
        <v>2</v>
      </c>
      <c r="B35" s="2512" t="s">
        <v>2529</v>
      </c>
      <c r="C35" s="2512"/>
      <c r="D35" s="2512"/>
      <c r="E35" s="3439"/>
      <c r="F35" s="3439"/>
      <c r="G35" s="3439"/>
    </row>
    <row r="36" spans="1:7" hidden="1">
      <c r="A36" s="2515">
        <v>3</v>
      </c>
      <c r="B36" s="2512" t="s">
        <v>2530</v>
      </c>
      <c r="C36" s="2512"/>
      <c r="D36" s="2512"/>
      <c r="E36" s="3439"/>
      <c r="F36" s="3439"/>
      <c r="G36" s="3439"/>
    </row>
    <row r="37" spans="1:7" hidden="1">
      <c r="A37" s="2515">
        <v>4</v>
      </c>
      <c r="B37" s="2512" t="s">
        <v>2531</v>
      </c>
      <c r="C37" s="2512"/>
      <c r="D37" s="2512"/>
      <c r="E37" s="3439"/>
      <c r="F37" s="3439"/>
      <c r="G37" s="3439"/>
    </row>
    <row r="38" spans="1:7" hidden="1">
      <c r="A38" s="3435" t="s">
        <v>2532</v>
      </c>
      <c r="B38" s="3436"/>
      <c r="C38" s="3436"/>
      <c r="D38" s="3437"/>
      <c r="E38" s="3438"/>
      <c r="F38" s="3438"/>
      <c r="G38" s="34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310569.59999999998</v>
      </c>
      <c r="E10" s="749">
        <f>'数据-取费表'!B31</f>
        <v>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3261</v>
      </c>
      <c r="D13" s="758">
        <f>'数据-汇总表'!E6</f>
        <v>310569.59999999998</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0.83599999999999997</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2" t="s">
        <v>522</v>
      </c>
      <c r="D4" s="3363"/>
      <c r="E4" s="3386" t="s">
        <v>523</v>
      </c>
      <c r="F4" s="3387"/>
      <c r="G4" s="3362" t="s">
        <v>524</v>
      </c>
      <c r="H4" s="3363"/>
      <c r="I4" s="3362" t="s">
        <v>525</v>
      </c>
      <c r="J4" s="3363"/>
      <c r="K4" s="853" t="s">
        <v>526</v>
      </c>
      <c r="L4" s="2134"/>
      <c r="M4" s="2135"/>
      <c r="N4" s="2135"/>
      <c r="O4" s="2135"/>
      <c r="P4" s="3364" t="s">
        <v>527</v>
      </c>
      <c r="Q4" s="3365"/>
      <c r="R4" s="3350" t="s">
        <v>523</v>
      </c>
      <c r="S4" s="3351"/>
      <c r="T4" s="3350" t="s">
        <v>524</v>
      </c>
      <c r="U4" s="3351"/>
      <c r="V4" s="3370" t="s">
        <v>525</v>
      </c>
      <c r="W4" s="3370"/>
      <c r="X4" s="1568"/>
      <c r="Y4" s="3350" t="s">
        <v>527</v>
      </c>
      <c r="Z4" s="3351"/>
      <c r="AA4" s="3345" t="s">
        <v>523</v>
      </c>
      <c r="AB4" s="3345" t="s">
        <v>524</v>
      </c>
      <c r="AC4" s="3345" t="s">
        <v>525</v>
      </c>
    </row>
    <row r="5" spans="1:29" ht="15">
      <c r="A5" s="515"/>
      <c r="B5" s="516"/>
      <c r="C5" s="3373" t="s">
        <v>2931</v>
      </c>
      <c r="D5" s="3374"/>
      <c r="E5" s="3388" t="s">
        <v>2932</v>
      </c>
      <c r="F5" s="3389"/>
      <c r="G5" s="3373" t="s">
        <v>2933</v>
      </c>
      <c r="H5" s="3374"/>
      <c r="I5" s="3373" t="s">
        <v>2934</v>
      </c>
      <c r="J5" s="3374"/>
      <c r="K5" s="854"/>
      <c r="L5" s="2134"/>
      <c r="M5" s="2135"/>
      <c r="N5" s="2135"/>
      <c r="O5" s="2135"/>
      <c r="P5" s="3366"/>
      <c r="Q5" s="3367"/>
      <c r="R5" s="3352"/>
      <c r="S5" s="3353"/>
      <c r="T5" s="3352"/>
      <c r="U5" s="3353"/>
      <c r="V5" s="3370"/>
      <c r="W5" s="3370"/>
      <c r="X5" s="1568"/>
      <c r="Y5" s="3352"/>
      <c r="Z5" s="3353"/>
      <c r="AA5" s="3346"/>
      <c r="AB5" s="3346"/>
      <c r="AC5" s="3346"/>
    </row>
    <row r="6" spans="1:29" ht="15.75" thickBot="1">
      <c r="A6" s="517"/>
      <c r="B6" s="518"/>
      <c r="C6" s="3371" t="s">
        <v>2935</v>
      </c>
      <c r="D6" s="3372"/>
      <c r="E6" s="3390" t="s">
        <v>2935</v>
      </c>
      <c r="F6" s="3391"/>
      <c r="G6" s="3371" t="s">
        <v>2935</v>
      </c>
      <c r="H6" s="3372"/>
      <c r="I6" s="3371" t="s">
        <v>2935</v>
      </c>
      <c r="J6" s="3372"/>
      <c r="K6" s="854" t="s">
        <v>528</v>
      </c>
      <c r="L6" s="2134"/>
      <c r="M6" s="2135"/>
      <c r="N6" s="2135"/>
      <c r="O6" s="2135"/>
      <c r="P6" s="3368"/>
      <c r="Q6" s="3369"/>
      <c r="R6" s="3352"/>
      <c r="S6" s="3353"/>
      <c r="T6" s="3354"/>
      <c r="U6" s="3355"/>
      <c r="V6" s="3370"/>
      <c r="W6" s="3370"/>
      <c r="X6" s="1568"/>
      <c r="Y6" s="3354"/>
      <c r="Z6" s="3355"/>
      <c r="AA6" s="3347"/>
      <c r="AB6" s="3347"/>
      <c r="AC6" s="3347"/>
    </row>
    <row r="7" spans="1:29" s="1220" customFormat="1" ht="15.75" thickBot="1">
      <c r="A7" s="2890"/>
      <c r="B7" s="2897" t="s">
        <v>529</v>
      </c>
      <c r="C7" s="519">
        <f>'数据-取费表'!B2</f>
        <v>43487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48" t="s">
        <v>530</v>
      </c>
      <c r="Q7" s="3357"/>
      <c r="R7" s="1569" t="s">
        <v>13</v>
      </c>
      <c r="S7" s="1570">
        <f t="shared" ref="S7:S15" si="0">F7</f>
        <v>0</v>
      </c>
      <c r="T7" s="1569" t="s">
        <v>13</v>
      </c>
      <c r="U7" s="1570">
        <f t="shared" ref="U7:U15" si="1">H7</f>
        <v>0</v>
      </c>
      <c r="V7" s="1569" t="s">
        <v>13</v>
      </c>
      <c r="W7" s="1570">
        <f t="shared" ref="W7:W15" si="2">J7</f>
        <v>0</v>
      </c>
      <c r="X7" s="1571"/>
      <c r="Y7" s="3348" t="s">
        <v>530</v>
      </c>
      <c r="Z7" s="3349"/>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48" t="s">
        <v>533</v>
      </c>
      <c r="Q8" s="3349"/>
      <c r="R8" s="1569" t="s">
        <v>13</v>
      </c>
      <c r="S8" s="1570">
        <f t="shared" si="0"/>
        <v>0</v>
      </c>
      <c r="T8" s="1569" t="s">
        <v>13</v>
      </c>
      <c r="U8" s="1570">
        <f t="shared" si="1"/>
        <v>0</v>
      </c>
      <c r="V8" s="1569" t="s">
        <v>13</v>
      </c>
      <c r="W8" s="1570">
        <f t="shared" si="2"/>
        <v>0</v>
      </c>
      <c r="X8" s="1571"/>
      <c r="Y8" s="3348" t="s">
        <v>533</v>
      </c>
      <c r="Z8" s="3349"/>
      <c r="AA8" s="1572" t="e">
        <f t="shared" ref="AA8:AA46" si="3">D8/F8</f>
        <v>#DIV/0!</v>
      </c>
      <c r="AB8" s="1572" t="e">
        <f t="shared" ref="AB8:AB46" si="4">D8/H8</f>
        <v>#DIV/0!</v>
      </c>
      <c r="AC8" s="1572" t="e">
        <f t="shared" ref="AC8:AC46" si="5">D8/J8</f>
        <v>#DIV/0!</v>
      </c>
    </row>
    <row r="9" spans="1:29" s="1220"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6" t="s">
        <v>535</v>
      </c>
      <c r="Q9" s="1151" t="str">
        <f t="shared" ref="Q9:Q15" si="6">B9</f>
        <v>用途</v>
      </c>
      <c r="R9" s="1569" t="s">
        <v>8</v>
      </c>
      <c r="S9" s="1570">
        <f t="shared" si="0"/>
        <v>100</v>
      </c>
      <c r="T9" s="1569" t="s">
        <v>8</v>
      </c>
      <c r="U9" s="1570">
        <f t="shared" si="1"/>
        <v>100</v>
      </c>
      <c r="V9" s="1569" t="s">
        <v>8</v>
      </c>
      <c r="W9" s="1570">
        <f t="shared" si="2"/>
        <v>100</v>
      </c>
      <c r="X9" s="1571"/>
      <c r="Y9" s="3313"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894"/>
      <c r="B11" s="2898"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6"/>
      <c r="Q11" s="1151" t="str">
        <f t="shared" si="6"/>
        <v>容积率</v>
      </c>
      <c r="R11" s="1569" t="s">
        <v>11</v>
      </c>
      <c r="S11" s="1570" t="e">
        <f t="shared" si="0"/>
        <v>#N/A</v>
      </c>
      <c r="T11" s="1569" t="s">
        <v>11</v>
      </c>
      <c r="U11" s="1570" t="e">
        <f t="shared" si="1"/>
        <v>#N/A</v>
      </c>
      <c r="V11" s="1569" t="s">
        <v>11</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6"/>
      <c r="Q12" s="1151">
        <f t="shared" si="6"/>
        <v>111</v>
      </c>
      <c r="R12" s="1569" t="s">
        <v>11</v>
      </c>
      <c r="S12" s="1570">
        <f t="shared" si="0"/>
        <v>100</v>
      </c>
      <c r="T12" s="1569" t="s">
        <v>11</v>
      </c>
      <c r="U12" s="1570">
        <f t="shared" si="1"/>
        <v>100</v>
      </c>
      <c r="V12" s="1569" t="s">
        <v>11</v>
      </c>
      <c r="W12" s="1570">
        <f t="shared" si="2"/>
        <v>100</v>
      </c>
      <c r="X12" s="1571"/>
      <c r="Y12" s="3313"/>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6"/>
      <c r="Q13" s="1151">
        <f t="shared" si="6"/>
        <v>111</v>
      </c>
      <c r="R13" s="1569" t="s">
        <v>11</v>
      </c>
      <c r="S13" s="1570">
        <f t="shared" si="0"/>
        <v>100</v>
      </c>
      <c r="T13" s="1569" t="s">
        <v>11</v>
      </c>
      <c r="U13" s="1570">
        <f t="shared" si="1"/>
        <v>100</v>
      </c>
      <c r="V13" s="1569" t="s">
        <v>11</v>
      </c>
      <c r="W13" s="1570">
        <f t="shared" si="2"/>
        <v>100</v>
      </c>
      <c r="X13" s="1571"/>
      <c r="Y13" s="3313"/>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6"/>
      <c r="Q14" s="1151">
        <f t="shared" si="6"/>
        <v>111</v>
      </c>
      <c r="R14" s="1569" t="s">
        <v>11</v>
      </c>
      <c r="S14" s="1570">
        <f t="shared" si="0"/>
        <v>100</v>
      </c>
      <c r="T14" s="1569" t="s">
        <v>11</v>
      </c>
      <c r="U14" s="1570">
        <f t="shared" si="1"/>
        <v>100</v>
      </c>
      <c r="V14" s="1569" t="s">
        <v>11</v>
      </c>
      <c r="W14" s="1570">
        <f t="shared" si="2"/>
        <v>100</v>
      </c>
      <c r="X14" s="1571"/>
      <c r="Y14" s="3313"/>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58" t="s">
        <v>540</v>
      </c>
      <c r="Q15" s="1573" t="str">
        <f t="shared" si="6"/>
        <v>居住社区成熟度</v>
      </c>
      <c r="R15" s="1574" t="s">
        <v>11</v>
      </c>
      <c r="S15" s="1575">
        <f t="shared" si="0"/>
        <v>100</v>
      </c>
      <c r="T15" s="1574" t="s">
        <v>11</v>
      </c>
      <c r="U15" s="1575">
        <f t="shared" si="1"/>
        <v>100</v>
      </c>
      <c r="V15" s="1574" t="s">
        <v>11</v>
      </c>
      <c r="W15" s="1575">
        <f t="shared" si="2"/>
        <v>100</v>
      </c>
      <c r="X15" s="1568"/>
      <c r="Y15" s="335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59"/>
      <c r="Q16" s="1573"/>
      <c r="R16" s="1574"/>
      <c r="S16" s="1575"/>
      <c r="T16" s="1574"/>
      <c r="U16" s="1575"/>
      <c r="V16" s="1574"/>
      <c r="W16" s="1575"/>
      <c r="X16" s="1568"/>
      <c r="Y16" s="335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59"/>
      <c r="Q17" s="1573" t="str">
        <f>B17</f>
        <v>交通便捷度</v>
      </c>
      <c r="R17" s="1574" t="s">
        <v>11</v>
      </c>
      <c r="S17" s="1575">
        <f>F17</f>
        <v>100</v>
      </c>
      <c r="T17" s="1574" t="s">
        <v>11</v>
      </c>
      <c r="U17" s="1575">
        <f>H17</f>
        <v>100</v>
      </c>
      <c r="V17" s="1574" t="s">
        <v>11</v>
      </c>
      <c r="W17" s="1575">
        <f>J17</f>
        <v>100</v>
      </c>
      <c r="X17" s="1568"/>
      <c r="Y17" s="335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59"/>
      <c r="Q18" s="1573"/>
      <c r="R18" s="1574"/>
      <c r="S18" s="1575"/>
      <c r="T18" s="1574"/>
      <c r="U18" s="1575"/>
      <c r="V18" s="1574"/>
      <c r="W18" s="1575"/>
      <c r="X18" s="1568"/>
      <c r="Y18" s="335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59"/>
      <c r="Q19" s="1573" t="str">
        <f>B19</f>
        <v>公共配套设施</v>
      </c>
      <c r="R19" s="1574" t="s">
        <v>11</v>
      </c>
      <c r="S19" s="1575">
        <f>F19</f>
        <v>100</v>
      </c>
      <c r="T19" s="1574" t="s">
        <v>11</v>
      </c>
      <c r="U19" s="1575">
        <f>H19</f>
        <v>100</v>
      </c>
      <c r="V19" s="1574" t="s">
        <v>11</v>
      </c>
      <c r="W19" s="1575">
        <f>J19</f>
        <v>100</v>
      </c>
      <c r="X19" s="1568"/>
      <c r="Y19" s="335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59"/>
      <c r="Q20" s="1573"/>
      <c r="R20" s="1574"/>
      <c r="S20" s="1575"/>
      <c r="T20" s="1574"/>
      <c r="U20" s="1575"/>
      <c r="V20" s="1574"/>
      <c r="W20" s="1575"/>
      <c r="X20" s="1568"/>
      <c r="Y20" s="335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59"/>
      <c r="Q21" s="2559" t="str">
        <f>B21</f>
        <v>基础设施水平</v>
      </c>
      <c r="R21" s="1574" t="s">
        <v>11</v>
      </c>
      <c r="S21" s="1575">
        <f>F21</f>
        <v>100</v>
      </c>
      <c r="T21" s="1574" t="s">
        <v>11</v>
      </c>
      <c r="U21" s="1575">
        <f>H21</f>
        <v>100</v>
      </c>
      <c r="V21" s="1574" t="s">
        <v>11</v>
      </c>
      <c r="W21" s="1575">
        <f>J21</f>
        <v>100</v>
      </c>
      <c r="X21" s="2561"/>
      <c r="Y21" s="335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59"/>
      <c r="Q22" s="2559"/>
      <c r="R22" s="1574"/>
      <c r="S22" s="1575"/>
      <c r="T22" s="1574"/>
      <c r="U22" s="1575"/>
      <c r="V22" s="1574"/>
      <c r="W22" s="1575"/>
      <c r="X22" s="2561"/>
      <c r="Y22" s="3359"/>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59"/>
      <c r="Q23" s="1573" t="str">
        <f>B23</f>
        <v>自然及人文环境</v>
      </c>
      <c r="R23" s="1574" t="s">
        <v>11</v>
      </c>
      <c r="S23" s="1575">
        <f>F23</f>
        <v>100</v>
      </c>
      <c r="T23" s="1574" t="s">
        <v>11</v>
      </c>
      <c r="U23" s="1575">
        <f>H23</f>
        <v>100</v>
      </c>
      <c r="V23" s="1574" t="s">
        <v>11</v>
      </c>
      <c r="W23" s="1575">
        <f>J23</f>
        <v>100</v>
      </c>
      <c r="X23" s="1568"/>
      <c r="Y23" s="335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59"/>
      <c r="Q24" s="1573"/>
      <c r="R24" s="1574"/>
      <c r="S24" s="1575"/>
      <c r="T24" s="1574"/>
      <c r="U24" s="1575"/>
      <c r="V24" s="1574"/>
      <c r="W24" s="1575"/>
      <c r="X24" s="1568"/>
      <c r="Y24" s="3359"/>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59"/>
      <c r="Q25" s="1573" t="str">
        <f t="shared" ref="Q25:Q46" si="11">B25</f>
        <v>楼层-1</v>
      </c>
      <c r="R25" s="1574" t="s">
        <v>11</v>
      </c>
      <c r="S25" s="1575">
        <f>F25</f>
        <v>100</v>
      </c>
      <c r="T25" s="1574" t="s">
        <v>11</v>
      </c>
      <c r="U25" s="1575">
        <f>H25</f>
        <v>100</v>
      </c>
      <c r="V25" s="1574" t="s">
        <v>11</v>
      </c>
      <c r="W25" s="1575">
        <f>J25</f>
        <v>100</v>
      </c>
      <c r="X25" s="1568"/>
      <c r="Y25" s="335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59"/>
      <c r="Q26" s="1573" t="str">
        <f t="shared" si="11"/>
        <v>朝向</v>
      </c>
      <c r="R26" s="1574" t="s">
        <v>11</v>
      </c>
      <c r="S26" s="1575">
        <f>F26</f>
        <v>100</v>
      </c>
      <c r="T26" s="1574" t="s">
        <v>11</v>
      </c>
      <c r="U26" s="1575">
        <f>H26</f>
        <v>100</v>
      </c>
      <c r="V26" s="1574" t="s">
        <v>11</v>
      </c>
      <c r="W26" s="1575">
        <f>J26</f>
        <v>100</v>
      </c>
      <c r="X26" s="1568"/>
      <c r="Y26" s="335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59"/>
      <c r="Q27" s="1151" t="str">
        <f t="shared" si="11"/>
        <v>道路级别</v>
      </c>
      <c r="R27" s="1569" t="s">
        <v>11</v>
      </c>
      <c r="S27" s="1570">
        <f>F27</f>
        <v>100</v>
      </c>
      <c r="T27" s="1569" t="s">
        <v>11</v>
      </c>
      <c r="U27" s="1570">
        <f>H27</f>
        <v>100</v>
      </c>
      <c r="V27" s="1569" t="s">
        <v>11</v>
      </c>
      <c r="W27" s="1570">
        <f>J27</f>
        <v>100</v>
      </c>
      <c r="X27" s="1571"/>
      <c r="Y27" s="335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5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5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59"/>
      <c r="Q29" s="1573">
        <f t="shared" si="11"/>
        <v>111</v>
      </c>
      <c r="R29" s="1574" t="s">
        <v>11</v>
      </c>
      <c r="S29" s="1575">
        <f t="shared" si="12"/>
        <v>100</v>
      </c>
      <c r="T29" s="1574" t="s">
        <v>11</v>
      </c>
      <c r="U29" s="1575">
        <f t="shared" si="13"/>
        <v>100</v>
      </c>
      <c r="V29" s="1574" t="s">
        <v>11</v>
      </c>
      <c r="W29" s="1575">
        <f t="shared" si="14"/>
        <v>100</v>
      </c>
      <c r="X29" s="1568"/>
      <c r="Y29" s="335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59"/>
      <c r="Q30" s="1573">
        <f t="shared" si="11"/>
        <v>111</v>
      </c>
      <c r="R30" s="1574" t="s">
        <v>11</v>
      </c>
      <c r="S30" s="1575">
        <f t="shared" si="12"/>
        <v>100</v>
      </c>
      <c r="T30" s="1574" t="s">
        <v>11</v>
      </c>
      <c r="U30" s="1575">
        <f t="shared" si="13"/>
        <v>100</v>
      </c>
      <c r="V30" s="1574" t="s">
        <v>11</v>
      </c>
      <c r="W30" s="1575">
        <f t="shared" si="14"/>
        <v>100</v>
      </c>
      <c r="X30" s="1568"/>
      <c r="Y30" s="335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59"/>
      <c r="Q31" s="1573">
        <f t="shared" si="11"/>
        <v>111</v>
      </c>
      <c r="R31" s="1574" t="s">
        <v>11</v>
      </c>
      <c r="S31" s="1575">
        <f t="shared" si="12"/>
        <v>100</v>
      </c>
      <c r="T31" s="1574" t="s">
        <v>11</v>
      </c>
      <c r="U31" s="1575">
        <f t="shared" si="13"/>
        <v>100</v>
      </c>
      <c r="V31" s="1574" t="s">
        <v>11</v>
      </c>
      <c r="W31" s="1575">
        <f t="shared" si="14"/>
        <v>100</v>
      </c>
      <c r="X31" s="1568"/>
      <c r="Y31" s="3359"/>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0" t="s">
        <v>550</v>
      </c>
      <c r="Q32" s="1573" t="str">
        <f t="shared" si="11"/>
        <v>建筑类型</v>
      </c>
      <c r="R32" s="1574" t="s">
        <v>11</v>
      </c>
      <c r="S32" s="1575">
        <f t="shared" si="12"/>
        <v>100</v>
      </c>
      <c r="T32" s="1574" t="s">
        <v>11</v>
      </c>
      <c r="U32" s="1575">
        <f t="shared" si="13"/>
        <v>100</v>
      </c>
      <c r="V32" s="1574" t="s">
        <v>11</v>
      </c>
      <c r="W32" s="1575">
        <f t="shared" si="14"/>
        <v>100</v>
      </c>
      <c r="X32" s="1568"/>
      <c r="Y32" s="336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1"/>
      <c r="Q33" s="1606" t="str">
        <f t="shared" si="11"/>
        <v>项目建筑规模</v>
      </c>
      <c r="R33" s="1578" t="s">
        <v>11</v>
      </c>
      <c r="S33" s="1579" t="e">
        <f t="shared" si="12"/>
        <v>#N/A</v>
      </c>
      <c r="T33" s="1578" t="s">
        <v>11</v>
      </c>
      <c r="U33" s="1579" t="e">
        <f t="shared" si="13"/>
        <v>#N/A</v>
      </c>
      <c r="V33" s="1578" t="s">
        <v>11</v>
      </c>
      <c r="W33" s="1579" t="e">
        <f t="shared" si="14"/>
        <v>#N/A</v>
      </c>
      <c r="X33" s="1580"/>
      <c r="Y33" s="336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1"/>
      <c r="Q34" s="1573" t="str">
        <f t="shared" si="11"/>
        <v>建筑结构</v>
      </c>
      <c r="R34" s="1574" t="s">
        <v>11</v>
      </c>
      <c r="S34" s="1575">
        <f t="shared" si="12"/>
        <v>100</v>
      </c>
      <c r="T34" s="1574" t="s">
        <v>11</v>
      </c>
      <c r="U34" s="1575">
        <f t="shared" si="13"/>
        <v>100</v>
      </c>
      <c r="V34" s="1574" t="s">
        <v>11</v>
      </c>
      <c r="W34" s="1575">
        <f t="shared" si="14"/>
        <v>100</v>
      </c>
      <c r="X34" s="1568"/>
      <c r="Y34" s="336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1"/>
      <c r="Q35" s="1573" t="str">
        <f t="shared" si="11"/>
        <v>建筑品质</v>
      </c>
      <c r="R35" s="1574" t="s">
        <v>11</v>
      </c>
      <c r="S35" s="1575">
        <f t="shared" si="12"/>
        <v>100</v>
      </c>
      <c r="T35" s="1574" t="s">
        <v>11</v>
      </c>
      <c r="U35" s="1575">
        <f t="shared" si="13"/>
        <v>100</v>
      </c>
      <c r="V35" s="1574" t="s">
        <v>11</v>
      </c>
      <c r="W35" s="1575">
        <f t="shared" si="14"/>
        <v>100</v>
      </c>
      <c r="X35" s="1568"/>
      <c r="Y35" s="336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1"/>
      <c r="Q36" s="1573" t="str">
        <f t="shared" si="11"/>
        <v>公共部分装修</v>
      </c>
      <c r="R36" s="1574" t="s">
        <v>11</v>
      </c>
      <c r="S36" s="1575">
        <f t="shared" si="12"/>
        <v>100</v>
      </c>
      <c r="T36" s="1574" t="s">
        <v>11</v>
      </c>
      <c r="U36" s="1575">
        <f t="shared" si="13"/>
        <v>100</v>
      </c>
      <c r="V36" s="1574" t="s">
        <v>11</v>
      </c>
      <c r="W36" s="1575">
        <f t="shared" si="14"/>
        <v>100</v>
      </c>
      <c r="X36" s="1568"/>
      <c r="Y36" s="336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1"/>
      <c r="Q37" s="1151" t="str">
        <f t="shared" si="11"/>
        <v>成新度</v>
      </c>
      <c r="R37" s="1569" t="s">
        <v>11</v>
      </c>
      <c r="S37" s="1570" t="e">
        <f t="shared" si="12"/>
        <v>#N/A</v>
      </c>
      <c r="T37" s="1569" t="s">
        <v>11</v>
      </c>
      <c r="U37" s="1570" t="e">
        <f t="shared" si="13"/>
        <v>#N/A</v>
      </c>
      <c r="V37" s="1569" t="s">
        <v>11</v>
      </c>
      <c r="W37" s="1570" t="e">
        <f t="shared" si="14"/>
        <v>#N/A</v>
      </c>
      <c r="X37" s="1571"/>
      <c r="Y37" s="336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1" t="s">
        <v>550</v>
      </c>
      <c r="Q38" s="1573" t="str">
        <f t="shared" si="11"/>
        <v>物业管理</v>
      </c>
      <c r="R38" s="1574" t="s">
        <v>11</v>
      </c>
      <c r="S38" s="1575">
        <f t="shared" si="12"/>
        <v>100</v>
      </c>
      <c r="T38" s="1574" t="s">
        <v>11</v>
      </c>
      <c r="U38" s="1575">
        <f t="shared" si="13"/>
        <v>100</v>
      </c>
      <c r="V38" s="1574" t="s">
        <v>11</v>
      </c>
      <c r="W38" s="1575">
        <f t="shared" si="14"/>
        <v>100</v>
      </c>
      <c r="X38" s="1568"/>
      <c r="Y38" s="3361"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1"/>
      <c r="Q39" s="1573" t="str">
        <f t="shared" si="11"/>
        <v>市政基础设施</v>
      </c>
      <c r="R39" s="1574" t="s">
        <v>11</v>
      </c>
      <c r="S39" s="1575">
        <f t="shared" si="12"/>
        <v>100</v>
      </c>
      <c r="T39" s="1574" t="s">
        <v>11</v>
      </c>
      <c r="U39" s="1575">
        <f t="shared" si="13"/>
        <v>100</v>
      </c>
      <c r="V39" s="1574" t="s">
        <v>11</v>
      </c>
      <c r="W39" s="1575">
        <f t="shared" si="14"/>
        <v>100</v>
      </c>
      <c r="X39" s="1568"/>
      <c r="Y39" s="336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1"/>
      <c r="Q40" s="1573" t="str">
        <f t="shared" si="11"/>
        <v>房型</v>
      </c>
      <c r="R40" s="1574" t="s">
        <v>11</v>
      </c>
      <c r="S40" s="1575">
        <f t="shared" si="12"/>
        <v>100</v>
      </c>
      <c r="T40" s="1574" t="s">
        <v>11</v>
      </c>
      <c r="U40" s="1575">
        <f t="shared" si="13"/>
        <v>100</v>
      </c>
      <c r="V40" s="1574" t="s">
        <v>11</v>
      </c>
      <c r="W40" s="1575">
        <f t="shared" si="14"/>
        <v>100</v>
      </c>
      <c r="X40" s="1568"/>
      <c r="Y40" s="336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1"/>
      <c r="Q41" s="1606" t="str">
        <f t="shared" si="11"/>
        <v>单套/主力户型建筑面积</v>
      </c>
      <c r="R41" s="1578" t="s">
        <v>11</v>
      </c>
      <c r="S41" s="1579">
        <f t="shared" si="12"/>
        <v>100</v>
      </c>
      <c r="T41" s="1578" t="s">
        <v>11</v>
      </c>
      <c r="U41" s="1579">
        <f t="shared" si="13"/>
        <v>100</v>
      </c>
      <c r="V41" s="1578" t="s">
        <v>11</v>
      </c>
      <c r="W41" s="1579">
        <f t="shared" si="14"/>
        <v>100</v>
      </c>
      <c r="X41" s="1580"/>
      <c r="Y41" s="336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1"/>
      <c r="Q42" s="1573" t="str">
        <f t="shared" si="11"/>
        <v>内部装修</v>
      </c>
      <c r="R42" s="1574" t="s">
        <v>11</v>
      </c>
      <c r="S42" s="1575">
        <f t="shared" si="12"/>
        <v>100</v>
      </c>
      <c r="T42" s="1574" t="s">
        <v>11</v>
      </c>
      <c r="U42" s="1575">
        <f t="shared" si="13"/>
        <v>100</v>
      </c>
      <c r="V42" s="1574" t="s">
        <v>11</v>
      </c>
      <c r="W42" s="1575">
        <f t="shared" si="14"/>
        <v>100</v>
      </c>
      <c r="X42" s="1568"/>
      <c r="Y42" s="336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1"/>
      <c r="Q43" s="1573" t="str">
        <f t="shared" si="11"/>
        <v>内部装修维护情况</v>
      </c>
      <c r="R43" s="1574" t="s">
        <v>11</v>
      </c>
      <c r="S43" s="1575">
        <f t="shared" si="12"/>
        <v>100</v>
      </c>
      <c r="T43" s="1574" t="s">
        <v>11</v>
      </c>
      <c r="U43" s="1575">
        <f t="shared" si="13"/>
        <v>100</v>
      </c>
      <c r="V43" s="1574" t="s">
        <v>11</v>
      </c>
      <c r="W43" s="1575">
        <f t="shared" si="14"/>
        <v>100</v>
      </c>
      <c r="X43" s="1568"/>
      <c r="Y43" s="336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1"/>
      <c r="Q44" s="1151">
        <f t="shared" si="11"/>
        <v>111</v>
      </c>
      <c r="R44" s="1569" t="s">
        <v>11</v>
      </c>
      <c r="S44" s="1570">
        <f t="shared" si="12"/>
        <v>100</v>
      </c>
      <c r="T44" s="1569" t="s">
        <v>11</v>
      </c>
      <c r="U44" s="1570">
        <f t="shared" si="13"/>
        <v>100</v>
      </c>
      <c r="V44" s="1569" t="s">
        <v>11</v>
      </c>
      <c r="W44" s="1570">
        <f t="shared" si="14"/>
        <v>100</v>
      </c>
      <c r="X44" s="1571"/>
      <c r="Y44" s="336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1"/>
      <c r="Q45" s="1573">
        <f t="shared" si="11"/>
        <v>111</v>
      </c>
      <c r="R45" s="1574" t="s">
        <v>11</v>
      </c>
      <c r="S45" s="1575">
        <f t="shared" si="12"/>
        <v>100</v>
      </c>
      <c r="T45" s="1574" t="s">
        <v>11</v>
      </c>
      <c r="U45" s="1575">
        <f t="shared" si="13"/>
        <v>100</v>
      </c>
      <c r="V45" s="1574" t="s">
        <v>11</v>
      </c>
      <c r="W45" s="1575">
        <f t="shared" si="14"/>
        <v>100</v>
      </c>
      <c r="X45" s="1568"/>
      <c r="Y45" s="336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58"/>
      <c r="Q46" s="1573">
        <f t="shared" si="11"/>
        <v>111</v>
      </c>
      <c r="R46" s="1574" t="s">
        <v>10</v>
      </c>
      <c r="S46" s="1575">
        <f t="shared" si="12"/>
        <v>100</v>
      </c>
      <c r="T46" s="1574" t="s">
        <v>10</v>
      </c>
      <c r="U46" s="1575">
        <f t="shared" si="13"/>
        <v>100</v>
      </c>
      <c r="V46" s="1574" t="s">
        <v>10</v>
      </c>
      <c r="W46" s="1575">
        <f t="shared" si="14"/>
        <v>100</v>
      </c>
      <c r="X46" s="1568"/>
      <c r="Y46" s="3458"/>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56" t="str">
        <f>A47</f>
        <v>成交单价（元/平方米）</v>
      </c>
      <c r="Q47" s="3356"/>
      <c r="R47" s="3457">
        <f>E47</f>
        <v>0</v>
      </c>
      <c r="S47" s="3457"/>
      <c r="T47" s="3457">
        <f>G47</f>
        <v>0</v>
      </c>
      <c r="U47" s="3457"/>
      <c r="V47" s="3457">
        <f>I47</f>
        <v>0</v>
      </c>
      <c r="W47" s="3457"/>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56" t="str">
        <f>A48</f>
        <v>比较价格（元/平方米）</v>
      </c>
      <c r="Q48" s="33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77" t="str">
        <f>A49</f>
        <v>估价对象XX用房的比较价格（楼面单价，元/平方米）</v>
      </c>
      <c r="Q49" s="3378"/>
      <c r="R49" s="3456" t="e">
        <f>IF(F1="售价",ROUND(AVERAGE(R48:V48),0),ROUND(AVERAGE(R48:V48),1))</f>
        <v>#DIV/0!</v>
      </c>
      <c r="S49" s="3456"/>
      <c r="T49" s="3456"/>
      <c r="U49" s="3456"/>
      <c r="V49" s="3456"/>
      <c r="W49" s="345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2019-1</v>
      </c>
      <c r="D58" s="2783">
        <f>EDATE(C58,-1)</f>
        <v>43435</v>
      </c>
      <c r="E58" s="2783">
        <f t="shared" ref="E58:O58" si="16">EDATE(D58,-1)</f>
        <v>43405</v>
      </c>
      <c r="F58" s="2783">
        <f t="shared" si="16"/>
        <v>43374</v>
      </c>
      <c r="G58" s="2783">
        <f t="shared" si="16"/>
        <v>43344</v>
      </c>
      <c r="H58" s="2783">
        <f t="shared" si="16"/>
        <v>43313</v>
      </c>
      <c r="I58" s="2783">
        <f t="shared" si="16"/>
        <v>43282</v>
      </c>
      <c r="J58" s="2783">
        <f t="shared" si="16"/>
        <v>43252</v>
      </c>
      <c r="K58" s="2783">
        <f t="shared" si="16"/>
        <v>43221</v>
      </c>
      <c r="L58" s="2783">
        <f t="shared" si="16"/>
        <v>43191</v>
      </c>
      <c r="M58" s="2783">
        <f t="shared" si="16"/>
        <v>43160</v>
      </c>
      <c r="N58" s="2783">
        <f t="shared" si="16"/>
        <v>43132</v>
      </c>
      <c r="O58" s="2783">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2" t="s">
        <v>522</v>
      </c>
      <c r="D4" s="3363"/>
      <c r="E4" s="3386" t="s">
        <v>523</v>
      </c>
      <c r="F4" s="3387"/>
      <c r="G4" s="3362" t="s">
        <v>524</v>
      </c>
      <c r="H4" s="3363"/>
      <c r="I4" s="3362" t="s">
        <v>525</v>
      </c>
      <c r="J4" s="3363"/>
      <c r="K4" s="514" t="s">
        <v>526</v>
      </c>
      <c r="L4" s="2134"/>
      <c r="M4" s="2135"/>
      <c r="N4" s="2135"/>
      <c r="O4" s="2135"/>
      <c r="P4" s="3364" t="s">
        <v>527</v>
      </c>
      <c r="Q4" s="3365"/>
      <c r="R4" s="3350" t="s">
        <v>523</v>
      </c>
      <c r="S4" s="3351"/>
      <c r="T4" s="3350" t="s">
        <v>524</v>
      </c>
      <c r="U4" s="3351"/>
      <c r="V4" s="3370" t="s">
        <v>525</v>
      </c>
      <c r="W4" s="3370"/>
      <c r="X4" s="1568"/>
      <c r="Y4" s="3350" t="s">
        <v>527</v>
      </c>
      <c r="Z4" s="3351"/>
      <c r="AA4" s="3345" t="s">
        <v>523</v>
      </c>
      <c r="AB4" s="3370" t="s">
        <v>524</v>
      </c>
      <c r="AC4" s="3345" t="s">
        <v>525</v>
      </c>
    </row>
    <row r="5" spans="1:29" ht="15">
      <c r="A5" s="515"/>
      <c r="B5" s="516"/>
      <c r="C5" s="3373" t="s">
        <v>2931</v>
      </c>
      <c r="D5" s="3374"/>
      <c r="E5" s="3388" t="s">
        <v>2932</v>
      </c>
      <c r="F5" s="3389"/>
      <c r="G5" s="3373" t="s">
        <v>2933</v>
      </c>
      <c r="H5" s="3374"/>
      <c r="I5" s="3373" t="s">
        <v>2934</v>
      </c>
      <c r="J5" s="3374"/>
      <c r="K5" s="514"/>
      <c r="L5" s="2134"/>
      <c r="M5" s="2135"/>
      <c r="N5" s="2135"/>
      <c r="O5" s="2135"/>
      <c r="P5" s="3366"/>
      <c r="Q5" s="3367"/>
      <c r="R5" s="3352"/>
      <c r="S5" s="3353"/>
      <c r="T5" s="3352"/>
      <c r="U5" s="3353"/>
      <c r="V5" s="3370"/>
      <c r="W5" s="3370"/>
      <c r="X5" s="1568"/>
      <c r="Y5" s="3352"/>
      <c r="Z5" s="3353"/>
      <c r="AA5" s="3346"/>
      <c r="AB5" s="3370"/>
      <c r="AC5" s="3346"/>
    </row>
    <row r="6" spans="1:29" ht="15.75" thickBot="1">
      <c r="A6" s="517"/>
      <c r="B6" s="518"/>
      <c r="C6" s="3371" t="s">
        <v>2935</v>
      </c>
      <c r="D6" s="3372"/>
      <c r="E6" s="3390" t="s">
        <v>2935</v>
      </c>
      <c r="F6" s="3391"/>
      <c r="G6" s="3371" t="s">
        <v>2935</v>
      </c>
      <c r="H6" s="3372"/>
      <c r="I6" s="3371" t="s">
        <v>2935</v>
      </c>
      <c r="J6" s="3372"/>
      <c r="K6" s="514" t="s">
        <v>528</v>
      </c>
      <c r="L6" s="2134"/>
      <c r="M6" s="2135"/>
      <c r="N6" s="2135"/>
      <c r="O6" s="2135"/>
      <c r="P6" s="3368"/>
      <c r="Q6" s="3369"/>
      <c r="R6" s="3352"/>
      <c r="S6" s="3353"/>
      <c r="T6" s="3354"/>
      <c r="U6" s="3355"/>
      <c r="V6" s="3370"/>
      <c r="W6" s="3370"/>
      <c r="X6" s="1568"/>
      <c r="Y6" s="3354"/>
      <c r="Z6" s="3355"/>
      <c r="AA6" s="3347"/>
      <c r="AB6" s="3370"/>
      <c r="AC6" s="3347"/>
    </row>
    <row r="7" spans="1:29" s="1220" customFormat="1" ht="15.75" thickBot="1">
      <c r="A7" s="2890"/>
      <c r="B7" s="2897" t="s">
        <v>529</v>
      </c>
      <c r="C7" s="519">
        <f>'数据-取费表'!B2</f>
        <v>43487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48" t="s">
        <v>530</v>
      </c>
      <c r="Q7" s="3357"/>
      <c r="R7" s="1569" t="s">
        <v>8</v>
      </c>
      <c r="S7" s="1570">
        <f t="shared" ref="S7:S15" si="0">F7</f>
        <v>0</v>
      </c>
      <c r="T7" s="1569" t="s">
        <v>8</v>
      </c>
      <c r="U7" s="1570">
        <f t="shared" ref="U7:U15" si="1">H7</f>
        <v>0</v>
      </c>
      <c r="V7" s="1569" t="s">
        <v>8</v>
      </c>
      <c r="W7" s="1570">
        <f t="shared" ref="W7:W15" si="2">J7</f>
        <v>0</v>
      </c>
      <c r="X7" s="1571"/>
      <c r="Y7" s="3348" t="s">
        <v>530</v>
      </c>
      <c r="Z7" s="3349"/>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48" t="s">
        <v>533</v>
      </c>
      <c r="Q8" s="3349"/>
      <c r="R8" s="1569" t="s">
        <v>8</v>
      </c>
      <c r="S8" s="1570">
        <f t="shared" si="0"/>
        <v>0</v>
      </c>
      <c r="T8" s="1569" t="s">
        <v>8</v>
      </c>
      <c r="U8" s="1570">
        <f t="shared" si="1"/>
        <v>0</v>
      </c>
      <c r="V8" s="1569" t="s">
        <v>8</v>
      </c>
      <c r="W8" s="1570">
        <f t="shared" si="2"/>
        <v>0</v>
      </c>
      <c r="X8" s="1571"/>
      <c r="Y8" s="3348" t="s">
        <v>533</v>
      </c>
      <c r="Z8" s="3349"/>
      <c r="AA8" s="1572" t="e">
        <f t="shared" ref="AA8:AA46" si="3">D8/F8</f>
        <v>#DIV/0!</v>
      </c>
      <c r="AB8" s="1572" t="e">
        <f t="shared" ref="AB8:AB46" si="4">D8/H8</f>
        <v>#DIV/0!</v>
      </c>
      <c r="AC8" s="1572" t="e">
        <f t="shared" ref="AC8:AC46" si="5">D8/J8</f>
        <v>#DIV/0!</v>
      </c>
    </row>
    <row r="9" spans="1:29" s="1220"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6" t="s">
        <v>535</v>
      </c>
      <c r="Q9" s="1151" t="str">
        <f t="shared" ref="Q9:Q15" si="6">B9</f>
        <v>用途</v>
      </c>
      <c r="R9" s="1569" t="s">
        <v>8</v>
      </c>
      <c r="S9" s="1570">
        <f t="shared" si="0"/>
        <v>100</v>
      </c>
      <c r="T9" s="1569" t="s">
        <v>8</v>
      </c>
      <c r="U9" s="1570">
        <f t="shared" si="1"/>
        <v>100</v>
      </c>
      <c r="V9" s="1569" t="s">
        <v>8</v>
      </c>
      <c r="W9" s="1570">
        <f t="shared" si="2"/>
        <v>100</v>
      </c>
      <c r="X9" s="1571"/>
      <c r="Y9" s="3313"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6"/>
      <c r="Q11" s="1151" t="str">
        <f t="shared" si="6"/>
        <v>容积率</v>
      </c>
      <c r="R11" s="1569" t="s">
        <v>8</v>
      </c>
      <c r="S11" s="1570" t="e">
        <f t="shared" si="0"/>
        <v>#N/A</v>
      </c>
      <c r="T11" s="1569" t="s">
        <v>8</v>
      </c>
      <c r="U11" s="1570" t="e">
        <f t="shared" si="1"/>
        <v>#N/A</v>
      </c>
      <c r="V11" s="1569" t="s">
        <v>8</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6"/>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58" t="s">
        <v>540</v>
      </c>
      <c r="Q15" s="1573" t="str">
        <f t="shared" si="6"/>
        <v>商业繁华度</v>
      </c>
      <c r="R15" s="1574" t="s">
        <v>8</v>
      </c>
      <c r="S15" s="1575">
        <f t="shared" si="0"/>
        <v>100</v>
      </c>
      <c r="T15" s="1574" t="s">
        <v>8</v>
      </c>
      <c r="U15" s="1575">
        <f t="shared" si="1"/>
        <v>100</v>
      </c>
      <c r="V15" s="1574" t="s">
        <v>8</v>
      </c>
      <c r="W15" s="1575">
        <f t="shared" si="2"/>
        <v>100</v>
      </c>
      <c r="X15" s="1568"/>
      <c r="Y15" s="335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59"/>
      <c r="Q16" s="1573"/>
      <c r="R16" s="1574"/>
      <c r="S16" s="1575"/>
      <c r="T16" s="1574"/>
      <c r="U16" s="1575"/>
      <c r="V16" s="1574"/>
      <c r="W16" s="1575"/>
      <c r="X16" s="1568"/>
      <c r="Y16" s="335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59"/>
      <c r="Q17" s="1573" t="str">
        <f>B17</f>
        <v>交通便捷度</v>
      </c>
      <c r="R17" s="1574" t="s">
        <v>8</v>
      </c>
      <c r="S17" s="1575">
        <f>F17</f>
        <v>100</v>
      </c>
      <c r="T17" s="1574" t="s">
        <v>8</v>
      </c>
      <c r="U17" s="1575">
        <f>H17</f>
        <v>100</v>
      </c>
      <c r="V17" s="1574" t="s">
        <v>8</v>
      </c>
      <c r="W17" s="1575">
        <f>J17</f>
        <v>100</v>
      </c>
      <c r="X17" s="1568"/>
      <c r="Y17" s="335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59"/>
      <c r="Q18" s="1573"/>
      <c r="R18" s="1574"/>
      <c r="S18" s="1575"/>
      <c r="T18" s="1574"/>
      <c r="U18" s="1575"/>
      <c r="V18" s="1574"/>
      <c r="W18" s="1575"/>
      <c r="X18" s="1568"/>
      <c r="Y18" s="335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59"/>
      <c r="Q19" s="1573" t="str">
        <f>B19</f>
        <v>公共配套设施</v>
      </c>
      <c r="R19" s="1574" t="s">
        <v>8</v>
      </c>
      <c r="S19" s="1575">
        <f>F19</f>
        <v>100</v>
      </c>
      <c r="T19" s="1574" t="s">
        <v>8</v>
      </c>
      <c r="U19" s="1575">
        <f>H19</f>
        <v>100</v>
      </c>
      <c r="V19" s="1574" t="s">
        <v>8</v>
      </c>
      <c r="W19" s="1575">
        <f>J19</f>
        <v>100</v>
      </c>
      <c r="X19" s="1568"/>
      <c r="Y19" s="335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59"/>
      <c r="Q20" s="1573"/>
      <c r="R20" s="1574"/>
      <c r="S20" s="1575"/>
      <c r="T20" s="1574"/>
      <c r="U20" s="1575"/>
      <c r="V20" s="1574"/>
      <c r="W20" s="1575"/>
      <c r="X20" s="1568"/>
      <c r="Y20" s="335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59"/>
      <c r="Q21" s="2559" t="str">
        <f>B21</f>
        <v>基础设施水平</v>
      </c>
      <c r="R21" s="1574" t="s">
        <v>8</v>
      </c>
      <c r="S21" s="1575">
        <f>F21</f>
        <v>100</v>
      </c>
      <c r="T21" s="1574" t="s">
        <v>8</v>
      </c>
      <c r="U21" s="1575">
        <f>H21</f>
        <v>100</v>
      </c>
      <c r="V21" s="1574" t="s">
        <v>8</v>
      </c>
      <c r="W21" s="1575">
        <f>J21</f>
        <v>100</v>
      </c>
      <c r="X21" s="2561"/>
      <c r="Y21" s="335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59"/>
      <c r="Q22" s="2559"/>
      <c r="R22" s="1574"/>
      <c r="S22" s="1575"/>
      <c r="T22" s="1574"/>
      <c r="U22" s="1575"/>
      <c r="V22" s="1574"/>
      <c r="W22" s="1575"/>
      <c r="X22" s="2561"/>
      <c r="Y22" s="3359"/>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59"/>
      <c r="Q23" s="1573" t="str">
        <f>B23</f>
        <v>自然及人文环境</v>
      </c>
      <c r="R23" s="1574" t="s">
        <v>8</v>
      </c>
      <c r="S23" s="1575">
        <f>F23</f>
        <v>100</v>
      </c>
      <c r="T23" s="1574" t="s">
        <v>8</v>
      </c>
      <c r="U23" s="1575">
        <f>H23</f>
        <v>100</v>
      </c>
      <c r="V23" s="1574" t="s">
        <v>8</v>
      </c>
      <c r="W23" s="1575">
        <f>J23</f>
        <v>100</v>
      </c>
      <c r="X23" s="1568"/>
      <c r="Y23" s="335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59"/>
      <c r="Q24" s="1573"/>
      <c r="R24" s="1574"/>
      <c r="S24" s="1575"/>
      <c r="T24" s="1574"/>
      <c r="U24" s="1575"/>
      <c r="V24" s="1574"/>
      <c r="W24" s="1575"/>
      <c r="X24" s="1568"/>
      <c r="Y24" s="335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59"/>
      <c r="Q25" s="1573" t="str">
        <f t="shared" ref="Q25:Q46" si="11">B25</f>
        <v>临街状况</v>
      </c>
      <c r="R25" s="1574" t="s">
        <v>8</v>
      </c>
      <c r="S25" s="1575">
        <f>F25</f>
        <v>100</v>
      </c>
      <c r="T25" s="1574" t="s">
        <v>8</v>
      </c>
      <c r="U25" s="1575">
        <f>H25</f>
        <v>100</v>
      </c>
      <c r="V25" s="1574" t="s">
        <v>8</v>
      </c>
      <c r="W25" s="1575">
        <f>J25</f>
        <v>100</v>
      </c>
      <c r="X25" s="1568"/>
      <c r="Y25" s="335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59"/>
      <c r="Q26" s="1573" t="str">
        <f t="shared" si="11"/>
        <v>平面位置/可视性</v>
      </c>
      <c r="R26" s="1574" t="s">
        <v>8</v>
      </c>
      <c r="S26" s="1575">
        <f>F26</f>
        <v>100</v>
      </c>
      <c r="T26" s="1574" t="s">
        <v>8</v>
      </c>
      <c r="U26" s="1575">
        <f>H26</f>
        <v>100</v>
      </c>
      <c r="V26" s="1574" t="s">
        <v>8</v>
      </c>
      <c r="W26" s="1575">
        <f>J26</f>
        <v>100</v>
      </c>
      <c r="X26" s="1568"/>
      <c r="Y26" s="335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59"/>
      <c r="Q27" s="1151" t="str">
        <f t="shared" si="11"/>
        <v>人流量</v>
      </c>
      <c r="R27" s="1569" t="s">
        <v>8</v>
      </c>
      <c r="S27" s="1570">
        <f>F27</f>
        <v>100</v>
      </c>
      <c r="T27" s="1569" t="s">
        <v>8</v>
      </c>
      <c r="U27" s="1570">
        <f>H27</f>
        <v>100</v>
      </c>
      <c r="V27" s="1569" t="s">
        <v>8</v>
      </c>
      <c r="W27" s="1570">
        <f>J27</f>
        <v>100</v>
      </c>
      <c r="X27" s="1571"/>
      <c r="Y27" s="335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5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5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59"/>
      <c r="Q29" s="1573">
        <f t="shared" si="11"/>
        <v>111</v>
      </c>
      <c r="R29" s="1574" t="s">
        <v>8</v>
      </c>
      <c r="S29" s="1575">
        <f t="shared" si="12"/>
        <v>100</v>
      </c>
      <c r="T29" s="1574" t="s">
        <v>8</v>
      </c>
      <c r="U29" s="1575">
        <f t="shared" si="13"/>
        <v>100</v>
      </c>
      <c r="V29" s="1574" t="s">
        <v>8</v>
      </c>
      <c r="W29" s="1575">
        <f t="shared" si="14"/>
        <v>100</v>
      </c>
      <c r="X29" s="1568"/>
      <c r="Y29" s="335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59"/>
      <c r="Q30" s="1573">
        <f t="shared" si="11"/>
        <v>111</v>
      </c>
      <c r="R30" s="1574" t="s">
        <v>8</v>
      </c>
      <c r="S30" s="1575">
        <f t="shared" si="12"/>
        <v>100</v>
      </c>
      <c r="T30" s="1574" t="s">
        <v>8</v>
      </c>
      <c r="U30" s="1575">
        <f t="shared" si="13"/>
        <v>100</v>
      </c>
      <c r="V30" s="1574" t="s">
        <v>8</v>
      </c>
      <c r="W30" s="1575">
        <f t="shared" si="14"/>
        <v>100</v>
      </c>
      <c r="X30" s="1568"/>
      <c r="Y30" s="335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59"/>
      <c r="Q31" s="1573">
        <f t="shared" si="11"/>
        <v>111</v>
      </c>
      <c r="R31" s="1574" t="s">
        <v>8</v>
      </c>
      <c r="S31" s="1575">
        <f t="shared" si="12"/>
        <v>100</v>
      </c>
      <c r="T31" s="1574" t="s">
        <v>8</v>
      </c>
      <c r="U31" s="1575">
        <f t="shared" si="13"/>
        <v>100</v>
      </c>
      <c r="V31" s="1574" t="s">
        <v>8</v>
      </c>
      <c r="W31" s="1575">
        <f t="shared" si="14"/>
        <v>100</v>
      </c>
      <c r="X31" s="1568"/>
      <c r="Y31" s="3359"/>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0" t="s">
        <v>550</v>
      </c>
      <c r="Q32" s="1573" t="str">
        <f t="shared" si="11"/>
        <v>商业类型</v>
      </c>
      <c r="R32" s="1574" t="s">
        <v>8</v>
      </c>
      <c r="S32" s="1575">
        <f t="shared" si="12"/>
        <v>100</v>
      </c>
      <c r="T32" s="1574" t="s">
        <v>8</v>
      </c>
      <c r="U32" s="1575">
        <f t="shared" si="13"/>
        <v>100</v>
      </c>
      <c r="V32" s="1574" t="s">
        <v>8</v>
      </c>
      <c r="W32" s="1575">
        <f t="shared" si="14"/>
        <v>100</v>
      </c>
      <c r="X32" s="1568"/>
      <c r="Y32" s="336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1"/>
      <c r="Q33" s="1606" t="str">
        <f t="shared" si="11"/>
        <v>项目建筑规模</v>
      </c>
      <c r="R33" s="1578" t="s">
        <v>8</v>
      </c>
      <c r="S33" s="1579" t="e">
        <f t="shared" si="12"/>
        <v>#N/A</v>
      </c>
      <c r="T33" s="1578" t="s">
        <v>8</v>
      </c>
      <c r="U33" s="1579" t="e">
        <f t="shared" si="13"/>
        <v>#N/A</v>
      </c>
      <c r="V33" s="1578" t="s">
        <v>8</v>
      </c>
      <c r="W33" s="1579" t="e">
        <f t="shared" si="14"/>
        <v>#N/A</v>
      </c>
      <c r="X33" s="1580"/>
      <c r="Y33" s="336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1"/>
      <c r="Q34" s="1573" t="str">
        <f t="shared" si="11"/>
        <v>建筑结构</v>
      </c>
      <c r="R34" s="1574" t="s">
        <v>8</v>
      </c>
      <c r="S34" s="1575">
        <f t="shared" si="12"/>
        <v>100</v>
      </c>
      <c r="T34" s="1574" t="s">
        <v>8</v>
      </c>
      <c r="U34" s="1575">
        <f t="shared" si="13"/>
        <v>100</v>
      </c>
      <c r="V34" s="1574" t="s">
        <v>8</v>
      </c>
      <c r="W34" s="1575">
        <f t="shared" si="14"/>
        <v>100</v>
      </c>
      <c r="X34" s="1568"/>
      <c r="Y34" s="336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1"/>
      <c r="Q35" s="1573" t="str">
        <f t="shared" si="11"/>
        <v>公共部分装修</v>
      </c>
      <c r="R35" s="1574" t="s">
        <v>8</v>
      </c>
      <c r="S35" s="1575">
        <f t="shared" si="12"/>
        <v>100</v>
      </c>
      <c r="T35" s="1574" t="s">
        <v>8</v>
      </c>
      <c r="U35" s="1575">
        <f t="shared" si="13"/>
        <v>100</v>
      </c>
      <c r="V35" s="1574" t="s">
        <v>8</v>
      </c>
      <c r="W35" s="1575">
        <f t="shared" si="14"/>
        <v>100</v>
      </c>
      <c r="X35" s="1568"/>
      <c r="Y35" s="336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1"/>
      <c r="Q36" s="1573" t="str">
        <f t="shared" si="11"/>
        <v>成新度</v>
      </c>
      <c r="R36" s="1574" t="s">
        <v>8</v>
      </c>
      <c r="S36" s="1575" t="e">
        <f t="shared" si="12"/>
        <v>#N/A</v>
      </c>
      <c r="T36" s="1574" t="s">
        <v>8</v>
      </c>
      <c r="U36" s="1575" t="e">
        <f t="shared" si="13"/>
        <v>#N/A</v>
      </c>
      <c r="V36" s="1574" t="s">
        <v>8</v>
      </c>
      <c r="W36" s="1575" t="e">
        <f t="shared" si="14"/>
        <v>#N/A</v>
      </c>
      <c r="X36" s="1568"/>
      <c r="Y36" s="3361"/>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1"/>
      <c r="Q37" s="1151" t="str">
        <f t="shared" si="11"/>
        <v>市政基础设施</v>
      </c>
      <c r="R37" s="1569" t="s">
        <v>8</v>
      </c>
      <c r="S37" s="1570">
        <f t="shared" si="12"/>
        <v>100</v>
      </c>
      <c r="T37" s="1569" t="s">
        <v>8</v>
      </c>
      <c r="U37" s="1570">
        <f t="shared" si="13"/>
        <v>100</v>
      </c>
      <c r="V37" s="1569" t="s">
        <v>8</v>
      </c>
      <c r="W37" s="1570">
        <f t="shared" si="14"/>
        <v>100</v>
      </c>
      <c r="X37" s="1571"/>
      <c r="Y37" s="336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1" t="s">
        <v>766</v>
      </c>
      <c r="Q38" s="1573" t="str">
        <f t="shared" si="11"/>
        <v>业态</v>
      </c>
      <c r="R38" s="1574" t="s">
        <v>8</v>
      </c>
      <c r="S38" s="1575">
        <f t="shared" si="12"/>
        <v>100</v>
      </c>
      <c r="T38" s="1574" t="s">
        <v>8</v>
      </c>
      <c r="U38" s="1575">
        <f t="shared" si="13"/>
        <v>100</v>
      </c>
      <c r="V38" s="1574" t="s">
        <v>8</v>
      </c>
      <c r="W38" s="1575">
        <f t="shared" si="14"/>
        <v>100</v>
      </c>
      <c r="X38" s="1568"/>
      <c r="Y38" s="336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1"/>
      <c r="Q39" s="1573" t="str">
        <f t="shared" si="11"/>
        <v>层高</v>
      </c>
      <c r="R39" s="1574" t="s">
        <v>8</v>
      </c>
      <c r="S39" s="1575">
        <f t="shared" si="12"/>
        <v>100</v>
      </c>
      <c r="T39" s="1574" t="s">
        <v>8</v>
      </c>
      <c r="U39" s="1575">
        <f t="shared" si="13"/>
        <v>100</v>
      </c>
      <c r="V39" s="1574" t="s">
        <v>8</v>
      </c>
      <c r="W39" s="1575">
        <f t="shared" si="14"/>
        <v>100</v>
      </c>
      <c r="X39" s="1568"/>
      <c r="Y39" s="336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1"/>
      <c r="Q40" s="1573" t="str">
        <f t="shared" si="11"/>
        <v>单套建筑面积</v>
      </c>
      <c r="R40" s="1574" t="s">
        <v>8</v>
      </c>
      <c r="S40" s="1575">
        <f t="shared" si="12"/>
        <v>100</v>
      </c>
      <c r="T40" s="1574" t="s">
        <v>8</v>
      </c>
      <c r="U40" s="1575">
        <f t="shared" si="13"/>
        <v>100</v>
      </c>
      <c r="V40" s="1574" t="s">
        <v>8</v>
      </c>
      <c r="W40" s="1575">
        <f t="shared" si="14"/>
        <v>100</v>
      </c>
      <c r="X40" s="1568"/>
      <c r="Y40" s="336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1"/>
      <c r="Q41" s="1606" t="str">
        <f t="shared" si="11"/>
        <v>进深比</v>
      </c>
      <c r="R41" s="1578" t="s">
        <v>8</v>
      </c>
      <c r="S41" s="1579">
        <f t="shared" si="12"/>
        <v>100</v>
      </c>
      <c r="T41" s="1578" t="s">
        <v>8</v>
      </c>
      <c r="U41" s="1579">
        <f t="shared" si="13"/>
        <v>100</v>
      </c>
      <c r="V41" s="1578" t="s">
        <v>8</v>
      </c>
      <c r="W41" s="1579">
        <f t="shared" si="14"/>
        <v>100</v>
      </c>
      <c r="X41" s="1580"/>
      <c r="Y41" s="336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1"/>
      <c r="Q42" s="1573" t="str">
        <f t="shared" si="11"/>
        <v>内部装修</v>
      </c>
      <c r="R42" s="1574" t="s">
        <v>8</v>
      </c>
      <c r="S42" s="1575">
        <f t="shared" si="12"/>
        <v>100</v>
      </c>
      <c r="T42" s="1574" t="s">
        <v>8</v>
      </c>
      <c r="U42" s="1575">
        <f t="shared" si="13"/>
        <v>100</v>
      </c>
      <c r="V42" s="1574" t="s">
        <v>8</v>
      </c>
      <c r="W42" s="1575">
        <f t="shared" si="14"/>
        <v>100</v>
      </c>
      <c r="X42" s="1568"/>
      <c r="Y42" s="336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1"/>
      <c r="Q43" s="1573" t="str">
        <f t="shared" si="11"/>
        <v>内部装修维护情况</v>
      </c>
      <c r="R43" s="1574" t="s">
        <v>8</v>
      </c>
      <c r="S43" s="1575">
        <f t="shared" si="12"/>
        <v>100</v>
      </c>
      <c r="T43" s="1574" t="s">
        <v>8</v>
      </c>
      <c r="U43" s="1575">
        <f t="shared" si="13"/>
        <v>100</v>
      </c>
      <c r="V43" s="1574" t="s">
        <v>8</v>
      </c>
      <c r="W43" s="1575">
        <f t="shared" si="14"/>
        <v>100</v>
      </c>
      <c r="X43" s="1568"/>
      <c r="Y43" s="336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1"/>
      <c r="Q44" s="1151">
        <f t="shared" si="11"/>
        <v>111</v>
      </c>
      <c r="R44" s="1569" t="s">
        <v>8</v>
      </c>
      <c r="S44" s="1570">
        <f t="shared" si="12"/>
        <v>100</v>
      </c>
      <c r="T44" s="1569" t="s">
        <v>8</v>
      </c>
      <c r="U44" s="1570">
        <f t="shared" si="13"/>
        <v>100</v>
      </c>
      <c r="V44" s="1569" t="s">
        <v>8</v>
      </c>
      <c r="W44" s="1570">
        <f t="shared" si="14"/>
        <v>100</v>
      </c>
      <c r="X44" s="1571"/>
      <c r="Y44" s="336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1"/>
      <c r="Q45" s="1573">
        <f t="shared" si="11"/>
        <v>111</v>
      </c>
      <c r="R45" s="1574" t="s">
        <v>8</v>
      </c>
      <c r="S45" s="1575">
        <f t="shared" si="12"/>
        <v>100</v>
      </c>
      <c r="T45" s="1574" t="s">
        <v>8</v>
      </c>
      <c r="U45" s="1575">
        <f t="shared" si="13"/>
        <v>100</v>
      </c>
      <c r="V45" s="1574" t="s">
        <v>8</v>
      </c>
      <c r="W45" s="1575">
        <f t="shared" si="14"/>
        <v>100</v>
      </c>
      <c r="X45" s="1568"/>
      <c r="Y45" s="336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58"/>
      <c r="Q46" s="1573">
        <f t="shared" si="11"/>
        <v>111</v>
      </c>
      <c r="R46" s="1574" t="s">
        <v>8</v>
      </c>
      <c r="S46" s="1575">
        <f t="shared" si="12"/>
        <v>100</v>
      </c>
      <c r="T46" s="1574" t="s">
        <v>8</v>
      </c>
      <c r="U46" s="1575">
        <f t="shared" si="13"/>
        <v>100</v>
      </c>
      <c r="V46" s="1574" t="s">
        <v>8</v>
      </c>
      <c r="W46" s="1575">
        <f t="shared" si="14"/>
        <v>100</v>
      </c>
      <c r="X46" s="1568"/>
      <c r="Y46" s="3458"/>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56" t="str">
        <f>A47</f>
        <v>成交单价（元/平方米）</v>
      </c>
      <c r="Q47" s="3356"/>
      <c r="R47" s="3457">
        <f>E47</f>
        <v>0</v>
      </c>
      <c r="S47" s="3457"/>
      <c r="T47" s="3457">
        <f>G47</f>
        <v>0</v>
      </c>
      <c r="U47" s="3457"/>
      <c r="V47" s="3457">
        <f>I47</f>
        <v>0</v>
      </c>
      <c r="W47" s="3457"/>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56" t="str">
        <f>A48</f>
        <v>比较价格（元/平方米）</v>
      </c>
      <c r="Q48" s="33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77" t="str">
        <f>A49</f>
        <v>估价对象XX用房的比较价格（楼面单价，元/平方米）</v>
      </c>
      <c r="Q49" s="3378"/>
      <c r="R49" s="3456" t="e">
        <f>IF(F1="售价",ROUND(AVERAGE(R48:V48),0),ROUND(AVERAGE(R48:V48),1))</f>
        <v>#DIV/0!</v>
      </c>
      <c r="S49" s="3456"/>
      <c r="T49" s="3456"/>
      <c r="U49" s="3456"/>
      <c r="V49" s="3456"/>
      <c r="W49" s="345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2019-1</v>
      </c>
      <c r="D58" s="2783">
        <f>EDATE(C58,-1)</f>
        <v>43435</v>
      </c>
      <c r="E58" s="2783">
        <f t="shared" ref="E58:O58" si="16">EDATE(D58,-1)</f>
        <v>43405</v>
      </c>
      <c r="F58" s="2783">
        <f t="shared" si="16"/>
        <v>43374</v>
      </c>
      <c r="G58" s="2783">
        <f t="shared" si="16"/>
        <v>43344</v>
      </c>
      <c r="H58" s="2783">
        <f t="shared" si="16"/>
        <v>43313</v>
      </c>
      <c r="I58" s="2783">
        <f t="shared" si="16"/>
        <v>43282</v>
      </c>
      <c r="J58" s="2783">
        <f t="shared" si="16"/>
        <v>43252</v>
      </c>
      <c r="K58" s="2783">
        <f t="shared" si="16"/>
        <v>43221</v>
      </c>
      <c r="L58" s="2783">
        <f t="shared" si="16"/>
        <v>43191</v>
      </c>
      <c r="M58" s="2783">
        <f t="shared" si="16"/>
        <v>43160</v>
      </c>
      <c r="N58" s="2783">
        <f t="shared" si="16"/>
        <v>43132</v>
      </c>
      <c r="O58" s="2783">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2" t="s">
        <v>522</v>
      </c>
      <c r="D4" s="3363"/>
      <c r="E4" s="3386" t="s">
        <v>523</v>
      </c>
      <c r="F4" s="3387"/>
      <c r="G4" s="3362" t="s">
        <v>524</v>
      </c>
      <c r="H4" s="3363"/>
      <c r="I4" s="3362" t="s">
        <v>525</v>
      </c>
      <c r="J4" s="3363"/>
      <c r="K4" s="514" t="s">
        <v>526</v>
      </c>
      <c r="L4" s="2134"/>
      <c r="M4" s="2135"/>
      <c r="N4" s="2135"/>
      <c r="O4" s="2135"/>
      <c r="P4" s="3459" t="s">
        <v>527</v>
      </c>
      <c r="Q4" s="3365"/>
      <c r="R4" s="3350" t="s">
        <v>523</v>
      </c>
      <c r="S4" s="3351"/>
      <c r="T4" s="3350" t="s">
        <v>524</v>
      </c>
      <c r="U4" s="3351"/>
      <c r="V4" s="3370" t="s">
        <v>525</v>
      </c>
      <c r="W4" s="3370"/>
      <c r="X4" s="1568"/>
      <c r="Y4" s="3350" t="s">
        <v>527</v>
      </c>
      <c r="Z4" s="3351"/>
      <c r="AA4" s="3345" t="s">
        <v>523</v>
      </c>
      <c r="AB4" s="3345" t="s">
        <v>524</v>
      </c>
      <c r="AC4" s="3345" t="s">
        <v>525</v>
      </c>
    </row>
    <row r="5" spans="1:29" ht="15">
      <c r="A5" s="515"/>
      <c r="B5" s="516"/>
      <c r="C5" s="3373" t="s">
        <v>2931</v>
      </c>
      <c r="D5" s="3374"/>
      <c r="E5" s="3388" t="s">
        <v>2932</v>
      </c>
      <c r="F5" s="3389"/>
      <c r="G5" s="3373" t="s">
        <v>2933</v>
      </c>
      <c r="H5" s="3374"/>
      <c r="I5" s="3373" t="s">
        <v>2934</v>
      </c>
      <c r="J5" s="3374"/>
      <c r="K5" s="514"/>
      <c r="L5" s="2134"/>
      <c r="M5" s="2135"/>
      <c r="N5" s="2135"/>
      <c r="O5" s="2135"/>
      <c r="P5" s="3460"/>
      <c r="Q5" s="3367"/>
      <c r="R5" s="3352"/>
      <c r="S5" s="3353"/>
      <c r="T5" s="3352"/>
      <c r="U5" s="3353"/>
      <c r="V5" s="3370"/>
      <c r="W5" s="3370"/>
      <c r="X5" s="1568"/>
      <c r="Y5" s="3352"/>
      <c r="Z5" s="3353"/>
      <c r="AA5" s="3346"/>
      <c r="AB5" s="3346"/>
      <c r="AC5" s="3346"/>
    </row>
    <row r="6" spans="1:29" ht="15.75" thickBot="1">
      <c r="A6" s="517"/>
      <c r="B6" s="518"/>
      <c r="C6" s="3371" t="s">
        <v>2935</v>
      </c>
      <c r="D6" s="3372"/>
      <c r="E6" s="3390" t="s">
        <v>2935</v>
      </c>
      <c r="F6" s="3391"/>
      <c r="G6" s="3371" t="s">
        <v>2935</v>
      </c>
      <c r="H6" s="3372"/>
      <c r="I6" s="3371" t="s">
        <v>2935</v>
      </c>
      <c r="J6" s="3372"/>
      <c r="K6" s="514" t="s">
        <v>528</v>
      </c>
      <c r="L6" s="2134"/>
      <c r="M6" s="2135"/>
      <c r="N6" s="2135"/>
      <c r="O6" s="2135"/>
      <c r="P6" s="3461"/>
      <c r="Q6" s="3369"/>
      <c r="R6" s="3352"/>
      <c r="S6" s="3353"/>
      <c r="T6" s="3354"/>
      <c r="U6" s="3355"/>
      <c r="V6" s="3370"/>
      <c r="W6" s="3370"/>
      <c r="X6" s="1568"/>
      <c r="Y6" s="3354"/>
      <c r="Z6" s="3355"/>
      <c r="AA6" s="3347"/>
      <c r="AB6" s="3347"/>
      <c r="AC6" s="3347"/>
    </row>
    <row r="7" spans="1:29" s="1220" customFormat="1" ht="15.75" thickBot="1">
      <c r="A7" s="2890"/>
      <c r="B7" s="2897" t="s">
        <v>529</v>
      </c>
      <c r="C7" s="519">
        <f>'数据-取费表'!B2</f>
        <v>43487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57" t="s">
        <v>530</v>
      </c>
      <c r="Q7" s="3357"/>
      <c r="R7" s="1569" t="s">
        <v>8</v>
      </c>
      <c r="S7" s="1570">
        <f t="shared" ref="S7:S15" si="0">F7</f>
        <v>0</v>
      </c>
      <c r="T7" s="1569" t="s">
        <v>8</v>
      </c>
      <c r="U7" s="1570">
        <f t="shared" ref="U7:U15" si="1">H7</f>
        <v>0</v>
      </c>
      <c r="V7" s="1569" t="s">
        <v>8</v>
      </c>
      <c r="W7" s="1570">
        <f t="shared" ref="W7:W15" si="2">J7</f>
        <v>0</v>
      </c>
      <c r="X7" s="1571"/>
      <c r="Y7" s="3348" t="s">
        <v>530</v>
      </c>
      <c r="Z7" s="3349"/>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57" t="s">
        <v>533</v>
      </c>
      <c r="Q8" s="3349"/>
      <c r="R8" s="1569" t="s">
        <v>8</v>
      </c>
      <c r="S8" s="1570">
        <f t="shared" si="0"/>
        <v>0</v>
      </c>
      <c r="T8" s="1569" t="s">
        <v>8</v>
      </c>
      <c r="U8" s="1570">
        <f t="shared" si="1"/>
        <v>0</v>
      </c>
      <c r="V8" s="1569" t="s">
        <v>8</v>
      </c>
      <c r="W8" s="1570">
        <f t="shared" si="2"/>
        <v>0</v>
      </c>
      <c r="X8" s="1571"/>
      <c r="Y8" s="3348" t="s">
        <v>533</v>
      </c>
      <c r="Z8" s="3349"/>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6" t="s">
        <v>535</v>
      </c>
      <c r="Q9" s="1151" t="str">
        <f t="shared" ref="Q9:Q15" si="6">B9</f>
        <v>用途</v>
      </c>
      <c r="R9" s="1569" t="s">
        <v>8</v>
      </c>
      <c r="S9" s="1570">
        <f t="shared" si="0"/>
        <v>100</v>
      </c>
      <c r="T9" s="1569" t="s">
        <v>8</v>
      </c>
      <c r="U9" s="1570">
        <f t="shared" si="1"/>
        <v>100</v>
      </c>
      <c r="V9" s="1569" t="s">
        <v>8</v>
      </c>
      <c r="W9" s="1570">
        <f t="shared" si="2"/>
        <v>100</v>
      </c>
      <c r="X9" s="1571"/>
      <c r="Y9" s="3313"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6"/>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6"/>
      <c r="Q11" s="1151" t="str">
        <f t="shared" si="6"/>
        <v>容积率</v>
      </c>
      <c r="R11" s="1569" t="s">
        <v>8</v>
      </c>
      <c r="S11" s="1570" t="e">
        <f t="shared" si="0"/>
        <v>#N/A</v>
      </c>
      <c r="T11" s="1569" t="s">
        <v>8</v>
      </c>
      <c r="U11" s="1570" t="e">
        <f t="shared" si="1"/>
        <v>#N/A</v>
      </c>
      <c r="V11" s="1569" t="s">
        <v>8</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6"/>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6"/>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6"/>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58" t="s">
        <v>540</v>
      </c>
      <c r="Q15" s="1573" t="str">
        <f t="shared" si="6"/>
        <v>办公集聚程度</v>
      </c>
      <c r="R15" s="1574" t="s">
        <v>8</v>
      </c>
      <c r="S15" s="1575">
        <f t="shared" si="0"/>
        <v>100</v>
      </c>
      <c r="T15" s="1574" t="s">
        <v>8</v>
      </c>
      <c r="U15" s="1575">
        <f t="shared" si="1"/>
        <v>100</v>
      </c>
      <c r="V15" s="1574" t="s">
        <v>8</v>
      </c>
      <c r="W15" s="1575">
        <f t="shared" si="2"/>
        <v>100</v>
      </c>
      <c r="X15" s="1568"/>
      <c r="Y15" s="335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59"/>
      <c r="Q16" s="1573"/>
      <c r="R16" s="1574"/>
      <c r="S16" s="1575"/>
      <c r="T16" s="1574"/>
      <c r="U16" s="1575"/>
      <c r="V16" s="1574"/>
      <c r="W16" s="1575"/>
      <c r="X16" s="1568"/>
      <c r="Y16" s="335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59"/>
      <c r="Q17" s="1573" t="str">
        <f>B17</f>
        <v>交通便捷度</v>
      </c>
      <c r="R17" s="1574" t="s">
        <v>8</v>
      </c>
      <c r="S17" s="1575">
        <f>F17</f>
        <v>100</v>
      </c>
      <c r="T17" s="1574" t="s">
        <v>8</v>
      </c>
      <c r="U17" s="1575">
        <f>H17</f>
        <v>100</v>
      </c>
      <c r="V17" s="1574" t="s">
        <v>8</v>
      </c>
      <c r="W17" s="1575">
        <f>J17</f>
        <v>100</v>
      </c>
      <c r="X17" s="1568"/>
      <c r="Y17" s="335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59"/>
      <c r="Q18" s="1573"/>
      <c r="R18" s="1574"/>
      <c r="S18" s="1575"/>
      <c r="T18" s="1574"/>
      <c r="U18" s="1575"/>
      <c r="V18" s="1574"/>
      <c r="W18" s="1575"/>
      <c r="X18" s="1568"/>
      <c r="Y18" s="3359"/>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59"/>
      <c r="Q19" s="1573" t="str">
        <f>B19</f>
        <v>公共配套设施</v>
      </c>
      <c r="R19" s="1574" t="s">
        <v>8</v>
      </c>
      <c r="S19" s="1575">
        <f>F19</f>
        <v>100</v>
      </c>
      <c r="T19" s="1574" t="s">
        <v>8</v>
      </c>
      <c r="U19" s="1575">
        <f>H19</f>
        <v>100</v>
      </c>
      <c r="V19" s="1574" t="s">
        <v>8</v>
      </c>
      <c r="W19" s="1575">
        <f>J19</f>
        <v>100</v>
      </c>
      <c r="X19" s="1568"/>
      <c r="Y19" s="335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59"/>
      <c r="Q20" s="1573"/>
      <c r="R20" s="1574"/>
      <c r="S20" s="1575"/>
      <c r="T20" s="1574"/>
      <c r="U20" s="1575"/>
      <c r="V20" s="1574"/>
      <c r="W20" s="1575"/>
      <c r="X20" s="1568"/>
      <c r="Y20" s="3359"/>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59"/>
      <c r="Q21" s="2559" t="str">
        <f>B21</f>
        <v>基础设施水平</v>
      </c>
      <c r="R21" s="1574" t="s">
        <v>8</v>
      </c>
      <c r="S21" s="1575">
        <f>F21</f>
        <v>100</v>
      </c>
      <c r="T21" s="1574" t="s">
        <v>8</v>
      </c>
      <c r="U21" s="1575">
        <f>H21</f>
        <v>100</v>
      </c>
      <c r="V21" s="1574" t="s">
        <v>8</v>
      </c>
      <c r="W21" s="1575">
        <f>J21</f>
        <v>100</v>
      </c>
      <c r="X21" s="2561"/>
      <c r="Y21" s="3359"/>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59"/>
      <c r="Q22" s="2559"/>
      <c r="R22" s="1574"/>
      <c r="S22" s="1575"/>
      <c r="T22" s="1574"/>
      <c r="U22" s="1575"/>
      <c r="V22" s="1574"/>
      <c r="W22" s="1575"/>
      <c r="X22" s="2561"/>
      <c r="Y22" s="3359"/>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59"/>
      <c r="Q23" s="1573" t="str">
        <f>B23</f>
        <v>环境质量</v>
      </c>
      <c r="R23" s="1574" t="s">
        <v>8</v>
      </c>
      <c r="S23" s="1575">
        <f>F23</f>
        <v>100</v>
      </c>
      <c r="T23" s="1574" t="s">
        <v>8</v>
      </c>
      <c r="U23" s="1575">
        <f>H23</f>
        <v>100</v>
      </c>
      <c r="V23" s="1574" t="s">
        <v>8</v>
      </c>
      <c r="W23" s="1575">
        <f>J23</f>
        <v>100</v>
      </c>
      <c r="X23" s="1568"/>
      <c r="Y23" s="335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59"/>
      <c r="Q24" s="1573"/>
      <c r="R24" s="1574"/>
      <c r="S24" s="1575"/>
      <c r="T24" s="1574"/>
      <c r="U24" s="1575"/>
      <c r="V24" s="1574"/>
      <c r="W24" s="1575"/>
      <c r="X24" s="1568"/>
      <c r="Y24" s="335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59"/>
      <c r="Q25" s="1573" t="str">
        <f>B25</f>
        <v>毗邻道路的类型与等级</v>
      </c>
      <c r="R25" s="1574" t="s">
        <v>8</v>
      </c>
      <c r="S25" s="1575">
        <f>F25</f>
        <v>100</v>
      </c>
      <c r="T25" s="1574" t="s">
        <v>8</v>
      </c>
      <c r="U25" s="1575">
        <f>H25</f>
        <v>100</v>
      </c>
      <c r="V25" s="1574" t="s">
        <v>8</v>
      </c>
      <c r="W25" s="1575">
        <f>J25</f>
        <v>100</v>
      </c>
      <c r="X25" s="1568"/>
      <c r="Y25" s="335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59"/>
      <c r="Q26" s="1573"/>
      <c r="R26" s="1574"/>
      <c r="S26" s="1575"/>
      <c r="T26" s="1574"/>
      <c r="U26" s="1575"/>
      <c r="V26" s="1574"/>
      <c r="W26" s="1575"/>
      <c r="X26" s="1568"/>
      <c r="Y26" s="335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59"/>
      <c r="Q27" s="1573" t="str">
        <f t="shared" ref="Q27:Q47" si="11">B27</f>
        <v>楼层</v>
      </c>
      <c r="R27" s="1574" t="s">
        <v>8</v>
      </c>
      <c r="S27" s="1575">
        <f>F27</f>
        <v>100</v>
      </c>
      <c r="T27" s="1574" t="s">
        <v>8</v>
      </c>
      <c r="U27" s="1575">
        <f>H27</f>
        <v>100</v>
      </c>
      <c r="V27" s="1574" t="s">
        <v>8</v>
      </c>
      <c r="W27" s="1575">
        <f>J27</f>
        <v>100</v>
      </c>
      <c r="X27" s="1568"/>
      <c r="Y27" s="335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59"/>
      <c r="Q28" s="1151" t="str">
        <f t="shared" si="11"/>
        <v>朝向</v>
      </c>
      <c r="R28" s="1569" t="s">
        <v>8</v>
      </c>
      <c r="S28" s="1570">
        <f>F28</f>
        <v>100</v>
      </c>
      <c r="T28" s="1569" t="s">
        <v>8</v>
      </c>
      <c r="U28" s="1570">
        <f>H28</f>
        <v>100</v>
      </c>
      <c r="V28" s="1569" t="s">
        <v>8</v>
      </c>
      <c r="W28" s="1570">
        <f>J28</f>
        <v>100</v>
      </c>
      <c r="X28" s="1571"/>
      <c r="Y28" s="335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59"/>
      <c r="Q29" s="1573">
        <f t="shared" si="11"/>
        <v>111</v>
      </c>
      <c r="R29" s="1574" t="s">
        <v>8</v>
      </c>
      <c r="S29" s="1575">
        <f t="shared" ref="S29:S47" si="12">F29</f>
        <v>100</v>
      </c>
      <c r="T29" s="1574" t="s">
        <v>8</v>
      </c>
      <c r="U29" s="1575">
        <f t="shared" ref="U29:U47" si="13">H29</f>
        <v>100</v>
      </c>
      <c r="V29" s="1574" t="s">
        <v>8</v>
      </c>
      <c r="W29" s="1575">
        <f t="shared" ref="W29:W47" si="14">J29</f>
        <v>100</v>
      </c>
      <c r="X29" s="1568"/>
      <c r="Y29" s="335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59"/>
      <c r="Q30" s="1573">
        <f t="shared" si="11"/>
        <v>111</v>
      </c>
      <c r="R30" s="1574" t="s">
        <v>8</v>
      </c>
      <c r="S30" s="1575">
        <f t="shared" si="12"/>
        <v>100</v>
      </c>
      <c r="T30" s="1574" t="s">
        <v>8</v>
      </c>
      <c r="U30" s="1575">
        <f t="shared" si="13"/>
        <v>100</v>
      </c>
      <c r="V30" s="1574" t="s">
        <v>8</v>
      </c>
      <c r="W30" s="1575">
        <f t="shared" si="14"/>
        <v>100</v>
      </c>
      <c r="X30" s="1568"/>
      <c r="Y30" s="335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59"/>
      <c r="Q31" s="1573">
        <f t="shared" si="11"/>
        <v>111</v>
      </c>
      <c r="R31" s="1574" t="s">
        <v>8</v>
      </c>
      <c r="S31" s="1575">
        <f t="shared" si="12"/>
        <v>100</v>
      </c>
      <c r="T31" s="1574" t="s">
        <v>8</v>
      </c>
      <c r="U31" s="1575">
        <f t="shared" si="13"/>
        <v>100</v>
      </c>
      <c r="V31" s="1574" t="s">
        <v>8</v>
      </c>
      <c r="W31" s="1575">
        <f t="shared" si="14"/>
        <v>100</v>
      </c>
      <c r="X31" s="1568"/>
      <c r="Y31" s="335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59"/>
      <c r="Q32" s="1573">
        <f t="shared" si="11"/>
        <v>111</v>
      </c>
      <c r="R32" s="1574" t="s">
        <v>8</v>
      </c>
      <c r="S32" s="1575">
        <f t="shared" si="12"/>
        <v>100</v>
      </c>
      <c r="T32" s="1574" t="s">
        <v>8</v>
      </c>
      <c r="U32" s="1575">
        <f t="shared" si="13"/>
        <v>100</v>
      </c>
      <c r="V32" s="1574" t="s">
        <v>8</v>
      </c>
      <c r="W32" s="1575">
        <f t="shared" si="14"/>
        <v>100</v>
      </c>
      <c r="X32" s="1568"/>
      <c r="Y32" s="3359"/>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0" t="s">
        <v>550</v>
      </c>
      <c r="Q33" s="1573" t="str">
        <f t="shared" si="11"/>
        <v>建筑类型</v>
      </c>
      <c r="R33" s="1574" t="s">
        <v>8</v>
      </c>
      <c r="S33" s="1575">
        <f t="shared" si="12"/>
        <v>100</v>
      </c>
      <c r="T33" s="1574" t="s">
        <v>8</v>
      </c>
      <c r="U33" s="1575">
        <f t="shared" si="13"/>
        <v>100</v>
      </c>
      <c r="V33" s="1574" t="s">
        <v>8</v>
      </c>
      <c r="W33" s="1575">
        <f t="shared" si="14"/>
        <v>100</v>
      </c>
      <c r="X33" s="1568"/>
      <c r="Y33" s="336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1"/>
      <c r="Q34" s="1606" t="str">
        <f t="shared" si="11"/>
        <v>项目建筑规模</v>
      </c>
      <c r="R34" s="1578" t="s">
        <v>8</v>
      </c>
      <c r="S34" s="1579" t="e">
        <f t="shared" si="12"/>
        <v>#N/A</v>
      </c>
      <c r="T34" s="1578" t="s">
        <v>8</v>
      </c>
      <c r="U34" s="1579" t="e">
        <f t="shared" si="13"/>
        <v>#N/A</v>
      </c>
      <c r="V34" s="1578" t="s">
        <v>8</v>
      </c>
      <c r="W34" s="1579" t="e">
        <f t="shared" si="14"/>
        <v>#N/A</v>
      </c>
      <c r="X34" s="1580"/>
      <c r="Y34" s="336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1"/>
      <c r="Q35" s="1573" t="str">
        <f t="shared" si="11"/>
        <v>建筑结构</v>
      </c>
      <c r="R35" s="1574" t="s">
        <v>8</v>
      </c>
      <c r="S35" s="1575">
        <f t="shared" si="12"/>
        <v>100</v>
      </c>
      <c r="T35" s="1574" t="s">
        <v>8</v>
      </c>
      <c r="U35" s="1575">
        <f t="shared" si="13"/>
        <v>100</v>
      </c>
      <c r="V35" s="1574" t="s">
        <v>8</v>
      </c>
      <c r="W35" s="1575">
        <f t="shared" si="14"/>
        <v>100</v>
      </c>
      <c r="X35" s="1568"/>
      <c r="Y35" s="336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1"/>
      <c r="Q36" s="1573" t="str">
        <f t="shared" si="11"/>
        <v>公共部分装修</v>
      </c>
      <c r="R36" s="1574" t="s">
        <v>8</v>
      </c>
      <c r="S36" s="1575">
        <f t="shared" si="12"/>
        <v>100</v>
      </c>
      <c r="T36" s="1574" t="s">
        <v>8</v>
      </c>
      <c r="U36" s="1575">
        <f t="shared" si="13"/>
        <v>100</v>
      </c>
      <c r="V36" s="1574" t="s">
        <v>8</v>
      </c>
      <c r="W36" s="1575">
        <f t="shared" si="14"/>
        <v>100</v>
      </c>
      <c r="X36" s="1568"/>
      <c r="Y36" s="336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1"/>
      <c r="Q37" s="1573" t="str">
        <f t="shared" si="11"/>
        <v>成新度</v>
      </c>
      <c r="R37" s="1574" t="s">
        <v>8</v>
      </c>
      <c r="S37" s="1575" t="e">
        <f t="shared" si="12"/>
        <v>#N/A</v>
      </c>
      <c r="T37" s="1574" t="s">
        <v>8</v>
      </c>
      <c r="U37" s="1575" t="e">
        <f t="shared" si="13"/>
        <v>#N/A</v>
      </c>
      <c r="V37" s="1574" t="s">
        <v>8</v>
      </c>
      <c r="W37" s="1575" t="e">
        <f t="shared" si="14"/>
        <v>#N/A</v>
      </c>
      <c r="X37" s="1568"/>
      <c r="Y37" s="336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1"/>
      <c r="Q38" s="1151" t="str">
        <f t="shared" si="11"/>
        <v>写字楼等级</v>
      </c>
      <c r="R38" s="1569" t="s">
        <v>8</v>
      </c>
      <c r="S38" s="1570">
        <f t="shared" si="12"/>
        <v>100</v>
      </c>
      <c r="T38" s="1569" t="s">
        <v>8</v>
      </c>
      <c r="U38" s="1570">
        <f t="shared" si="13"/>
        <v>100</v>
      </c>
      <c r="V38" s="1569" t="s">
        <v>8</v>
      </c>
      <c r="W38" s="1570">
        <f t="shared" si="14"/>
        <v>100</v>
      </c>
      <c r="X38" s="1571"/>
      <c r="Y38" s="336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1" t="s">
        <v>550</v>
      </c>
      <c r="Q39" s="1573" t="str">
        <f t="shared" si="11"/>
        <v>物业管理</v>
      </c>
      <c r="R39" s="1574" t="s">
        <v>8</v>
      </c>
      <c r="S39" s="1575">
        <f t="shared" si="12"/>
        <v>100</v>
      </c>
      <c r="T39" s="1574" t="s">
        <v>8</v>
      </c>
      <c r="U39" s="1575">
        <f t="shared" si="13"/>
        <v>100</v>
      </c>
      <c r="V39" s="1574" t="s">
        <v>8</v>
      </c>
      <c r="W39" s="1575">
        <f t="shared" si="14"/>
        <v>100</v>
      </c>
      <c r="X39" s="1568"/>
      <c r="Y39" s="3361"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1"/>
      <c r="Q40" s="1573" t="str">
        <f t="shared" si="11"/>
        <v>市政基础设施</v>
      </c>
      <c r="R40" s="1574" t="s">
        <v>8</v>
      </c>
      <c r="S40" s="1575">
        <f t="shared" si="12"/>
        <v>100</v>
      </c>
      <c r="T40" s="1574" t="s">
        <v>8</v>
      </c>
      <c r="U40" s="1575">
        <f t="shared" si="13"/>
        <v>100</v>
      </c>
      <c r="V40" s="1574" t="s">
        <v>8</v>
      </c>
      <c r="W40" s="1575">
        <f t="shared" si="14"/>
        <v>100</v>
      </c>
      <c r="X40" s="1568"/>
      <c r="Y40" s="336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1"/>
      <c r="Q41" s="1573" t="str">
        <f t="shared" si="11"/>
        <v>层高</v>
      </c>
      <c r="R41" s="1574" t="s">
        <v>8</v>
      </c>
      <c r="S41" s="1575">
        <f t="shared" si="12"/>
        <v>100</v>
      </c>
      <c r="T41" s="1574" t="s">
        <v>8</v>
      </c>
      <c r="U41" s="1575">
        <f t="shared" si="13"/>
        <v>100</v>
      </c>
      <c r="V41" s="1574" t="s">
        <v>8</v>
      </c>
      <c r="W41" s="1575">
        <f t="shared" si="14"/>
        <v>100</v>
      </c>
      <c r="X41" s="1568"/>
      <c r="Y41" s="336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1"/>
      <c r="Q42" s="1606" t="str">
        <f t="shared" si="11"/>
        <v>单套建筑面积</v>
      </c>
      <c r="R42" s="1578" t="s">
        <v>8</v>
      </c>
      <c r="S42" s="1579">
        <f t="shared" si="12"/>
        <v>100</v>
      </c>
      <c r="T42" s="1578" t="s">
        <v>8</v>
      </c>
      <c r="U42" s="1579">
        <f t="shared" si="13"/>
        <v>100</v>
      </c>
      <c r="V42" s="1578" t="s">
        <v>8</v>
      </c>
      <c r="W42" s="1579">
        <f t="shared" si="14"/>
        <v>100</v>
      </c>
      <c r="X42" s="1580"/>
      <c r="Y42" s="336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1"/>
      <c r="Q43" s="1573" t="str">
        <f t="shared" si="11"/>
        <v>内部装修</v>
      </c>
      <c r="R43" s="1574" t="s">
        <v>8</v>
      </c>
      <c r="S43" s="1575">
        <f t="shared" si="12"/>
        <v>100</v>
      </c>
      <c r="T43" s="1574" t="s">
        <v>8</v>
      </c>
      <c r="U43" s="1575">
        <f t="shared" si="13"/>
        <v>100</v>
      </c>
      <c r="V43" s="1574" t="s">
        <v>8</v>
      </c>
      <c r="W43" s="1575">
        <f t="shared" si="14"/>
        <v>100</v>
      </c>
      <c r="X43" s="1568"/>
      <c r="Y43" s="336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1"/>
      <c r="Q44" s="1573" t="str">
        <f t="shared" si="11"/>
        <v>内部装修维护情况</v>
      </c>
      <c r="R44" s="1574" t="s">
        <v>8</v>
      </c>
      <c r="S44" s="1575">
        <f t="shared" si="12"/>
        <v>100</v>
      </c>
      <c r="T44" s="1574" t="s">
        <v>8</v>
      </c>
      <c r="U44" s="1575">
        <f t="shared" si="13"/>
        <v>100</v>
      </c>
      <c r="V44" s="1574" t="s">
        <v>8</v>
      </c>
      <c r="W44" s="1575">
        <f t="shared" si="14"/>
        <v>100</v>
      </c>
      <c r="X44" s="1568"/>
      <c r="Y44" s="336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1"/>
      <c r="Q45" s="1151">
        <f t="shared" si="11"/>
        <v>111</v>
      </c>
      <c r="R45" s="1569" t="s">
        <v>8</v>
      </c>
      <c r="S45" s="1570">
        <f t="shared" si="12"/>
        <v>100</v>
      </c>
      <c r="T45" s="1569" t="s">
        <v>8</v>
      </c>
      <c r="U45" s="1570">
        <f t="shared" si="13"/>
        <v>100</v>
      </c>
      <c r="V45" s="1569" t="s">
        <v>8</v>
      </c>
      <c r="W45" s="1570">
        <f t="shared" si="14"/>
        <v>100</v>
      </c>
      <c r="X45" s="1571"/>
      <c r="Y45" s="336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1"/>
      <c r="Q46" s="1573">
        <f t="shared" si="11"/>
        <v>111</v>
      </c>
      <c r="R46" s="1574" t="s">
        <v>8</v>
      </c>
      <c r="S46" s="1575">
        <f t="shared" si="12"/>
        <v>100</v>
      </c>
      <c r="T46" s="1574" t="s">
        <v>8</v>
      </c>
      <c r="U46" s="1575">
        <f t="shared" si="13"/>
        <v>100</v>
      </c>
      <c r="V46" s="1574" t="s">
        <v>8</v>
      </c>
      <c r="W46" s="1575">
        <f t="shared" si="14"/>
        <v>100</v>
      </c>
      <c r="X46" s="1568"/>
      <c r="Y46" s="336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58"/>
      <c r="Q47" s="1573">
        <f t="shared" si="11"/>
        <v>111</v>
      </c>
      <c r="R47" s="1574" t="s">
        <v>8</v>
      </c>
      <c r="S47" s="1575">
        <f t="shared" si="12"/>
        <v>100</v>
      </c>
      <c r="T47" s="1574" t="s">
        <v>8</v>
      </c>
      <c r="U47" s="1575">
        <f t="shared" si="13"/>
        <v>100</v>
      </c>
      <c r="V47" s="1574" t="s">
        <v>8</v>
      </c>
      <c r="W47" s="1575">
        <f t="shared" si="14"/>
        <v>100</v>
      </c>
      <c r="X47" s="1568"/>
      <c r="Y47" s="3458"/>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78" t="str">
        <f>A48</f>
        <v>成交单价（元/平方米）</v>
      </c>
      <c r="Q48" s="3356"/>
      <c r="R48" s="3457">
        <f>E48</f>
        <v>0</v>
      </c>
      <c r="S48" s="3457"/>
      <c r="T48" s="3457">
        <f>G48</f>
        <v>0</v>
      </c>
      <c r="U48" s="3457"/>
      <c r="V48" s="3457">
        <f>I48</f>
        <v>0</v>
      </c>
      <c r="W48" s="3457"/>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78" t="str">
        <f>A49</f>
        <v>比较价格（元/平方米）</v>
      </c>
      <c r="Q49" s="33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2" t="str">
        <f>A50</f>
        <v>估价对象XX用房的比较价格（楼面单价，元/平方米）</v>
      </c>
      <c r="Q50" s="3378"/>
      <c r="R50" s="3456" t="e">
        <f>IF(F1="售价",ROUND(AVERAGE(R49:V49),0),ROUND(AVERAGE(R49:V49),1))</f>
        <v>#DIV/0!</v>
      </c>
      <c r="S50" s="3456"/>
      <c r="T50" s="3456"/>
      <c r="U50" s="3456"/>
      <c r="V50" s="3456"/>
      <c r="W50" s="345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2019-1</v>
      </c>
      <c r="D59" s="2783">
        <f>EDATE(C59,-1)</f>
        <v>43435</v>
      </c>
      <c r="E59" s="2783">
        <f t="shared" ref="E59:O59" si="16">EDATE(D59,-1)</f>
        <v>43405</v>
      </c>
      <c r="F59" s="2783">
        <f t="shared" si="16"/>
        <v>43374</v>
      </c>
      <c r="G59" s="2783">
        <f t="shared" si="16"/>
        <v>43344</v>
      </c>
      <c r="H59" s="2783">
        <f t="shared" si="16"/>
        <v>43313</v>
      </c>
      <c r="I59" s="2783">
        <f t="shared" si="16"/>
        <v>43282</v>
      </c>
      <c r="J59" s="2783">
        <f t="shared" si="16"/>
        <v>43252</v>
      </c>
      <c r="K59" s="2783">
        <f t="shared" si="16"/>
        <v>43221</v>
      </c>
      <c r="L59" s="2783">
        <f t="shared" si="16"/>
        <v>43191</v>
      </c>
      <c r="M59" s="2783">
        <f t="shared" si="16"/>
        <v>43160</v>
      </c>
      <c r="N59" s="2783">
        <f t="shared" si="16"/>
        <v>43132</v>
      </c>
      <c r="O59" s="2783">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2" t="s">
        <v>522</v>
      </c>
      <c r="D4" s="3363"/>
      <c r="E4" s="3386" t="s">
        <v>523</v>
      </c>
      <c r="F4" s="3387"/>
      <c r="G4" s="3362" t="s">
        <v>524</v>
      </c>
      <c r="H4" s="3363"/>
      <c r="I4" s="3362" t="s">
        <v>525</v>
      </c>
      <c r="J4" s="3363"/>
      <c r="K4" s="514" t="s">
        <v>526</v>
      </c>
      <c r="L4" s="2134"/>
      <c r="M4" s="2135"/>
      <c r="N4" s="2135"/>
      <c r="O4" s="2135"/>
      <c r="P4" s="3364" t="s">
        <v>527</v>
      </c>
      <c r="Q4" s="3365"/>
      <c r="R4" s="3350" t="s">
        <v>523</v>
      </c>
      <c r="S4" s="3351"/>
      <c r="T4" s="3350" t="s">
        <v>524</v>
      </c>
      <c r="U4" s="3351"/>
      <c r="V4" s="3370" t="s">
        <v>525</v>
      </c>
      <c r="W4" s="3370"/>
      <c r="X4" s="1568"/>
      <c r="Y4" s="3350" t="s">
        <v>527</v>
      </c>
      <c r="Z4" s="3351"/>
      <c r="AA4" s="3345" t="s">
        <v>523</v>
      </c>
      <c r="AB4" s="3346" t="s">
        <v>524</v>
      </c>
      <c r="AC4" s="3345" t="s">
        <v>525</v>
      </c>
    </row>
    <row r="5" spans="1:29" ht="15">
      <c r="A5" s="515"/>
      <c r="B5" s="516"/>
      <c r="C5" s="3373" t="s">
        <v>2931</v>
      </c>
      <c r="D5" s="3374"/>
      <c r="E5" s="3388" t="s">
        <v>2932</v>
      </c>
      <c r="F5" s="3389"/>
      <c r="G5" s="3373" t="s">
        <v>2933</v>
      </c>
      <c r="H5" s="3374"/>
      <c r="I5" s="3373" t="s">
        <v>2934</v>
      </c>
      <c r="J5" s="3374"/>
      <c r="K5" s="514"/>
      <c r="L5" s="2134"/>
      <c r="M5" s="2135"/>
      <c r="N5" s="2135"/>
      <c r="O5" s="2135"/>
      <c r="P5" s="3366"/>
      <c r="Q5" s="3367"/>
      <c r="R5" s="3352"/>
      <c r="S5" s="3353"/>
      <c r="T5" s="3352"/>
      <c r="U5" s="3353"/>
      <c r="V5" s="3370"/>
      <c r="W5" s="3370"/>
      <c r="X5" s="1568"/>
      <c r="Y5" s="3352"/>
      <c r="Z5" s="3353"/>
      <c r="AA5" s="3346"/>
      <c r="AB5" s="3346"/>
      <c r="AC5" s="3346"/>
    </row>
    <row r="6" spans="1:29" ht="15.75" thickBot="1">
      <c r="A6" s="517"/>
      <c r="B6" s="518"/>
      <c r="C6" s="3371" t="s">
        <v>2935</v>
      </c>
      <c r="D6" s="3372"/>
      <c r="E6" s="3390" t="s">
        <v>2935</v>
      </c>
      <c r="F6" s="3391"/>
      <c r="G6" s="3371" t="s">
        <v>2935</v>
      </c>
      <c r="H6" s="3372"/>
      <c r="I6" s="3371" t="s">
        <v>2935</v>
      </c>
      <c r="J6" s="3372"/>
      <c r="K6" s="514" t="s">
        <v>528</v>
      </c>
      <c r="L6" s="2134"/>
      <c r="M6" s="2135"/>
      <c r="N6" s="2135"/>
      <c r="O6" s="2135"/>
      <c r="P6" s="3368"/>
      <c r="Q6" s="3369"/>
      <c r="R6" s="3352"/>
      <c r="S6" s="3353"/>
      <c r="T6" s="3354"/>
      <c r="U6" s="3355"/>
      <c r="V6" s="3370"/>
      <c r="W6" s="3370"/>
      <c r="X6" s="1568"/>
      <c r="Y6" s="3354"/>
      <c r="Z6" s="3355"/>
      <c r="AA6" s="3347"/>
      <c r="AB6" s="3347"/>
      <c r="AC6" s="3347"/>
    </row>
    <row r="7" spans="1:29" s="1220" customFormat="1" ht="15.75" thickBot="1">
      <c r="A7" s="2890"/>
      <c r="B7" s="2897" t="s">
        <v>529</v>
      </c>
      <c r="C7" s="519">
        <f>'数据-取费表'!B2</f>
        <v>43487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48" t="s">
        <v>530</v>
      </c>
      <c r="Q7" s="3357"/>
      <c r="R7" s="1569" t="s">
        <v>8</v>
      </c>
      <c r="S7" s="1570">
        <f t="shared" ref="S7:S15" si="0">F7</f>
        <v>0</v>
      </c>
      <c r="T7" s="1569" t="s">
        <v>8</v>
      </c>
      <c r="U7" s="1570">
        <f t="shared" ref="U7:U15" si="1">H7</f>
        <v>0</v>
      </c>
      <c r="V7" s="1569" t="s">
        <v>8</v>
      </c>
      <c r="W7" s="1570">
        <f t="shared" ref="W7:W15" si="2">J7</f>
        <v>0</v>
      </c>
      <c r="X7" s="1571"/>
      <c r="Y7" s="3348" t="s">
        <v>530</v>
      </c>
      <c r="Z7" s="3349"/>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48" t="s">
        <v>533</v>
      </c>
      <c r="Q8" s="3349"/>
      <c r="R8" s="1569" t="s">
        <v>8</v>
      </c>
      <c r="S8" s="1570">
        <f t="shared" si="0"/>
        <v>0</v>
      </c>
      <c r="T8" s="1569" t="s">
        <v>8</v>
      </c>
      <c r="U8" s="1570">
        <f t="shared" si="1"/>
        <v>0</v>
      </c>
      <c r="V8" s="1569" t="s">
        <v>8</v>
      </c>
      <c r="W8" s="1570">
        <f t="shared" si="2"/>
        <v>0</v>
      </c>
      <c r="X8" s="1571"/>
      <c r="Y8" s="3348" t="s">
        <v>533</v>
      </c>
      <c r="Z8" s="3349"/>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6" t="s">
        <v>535</v>
      </c>
      <c r="Q9" s="1151" t="str">
        <f t="shared" ref="Q9:Q15" si="6">B9</f>
        <v>用途</v>
      </c>
      <c r="R9" s="1569" t="s">
        <v>8</v>
      </c>
      <c r="S9" s="1570">
        <f t="shared" si="0"/>
        <v>100</v>
      </c>
      <c r="T9" s="1569" t="s">
        <v>8</v>
      </c>
      <c r="U9" s="1570">
        <f t="shared" si="1"/>
        <v>100</v>
      </c>
      <c r="V9" s="1569" t="s">
        <v>8</v>
      </c>
      <c r="W9" s="1570">
        <f t="shared" si="2"/>
        <v>100</v>
      </c>
      <c r="X9" s="1571"/>
      <c r="Y9" s="3313"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6"/>
      <c r="Q11" s="1151" t="str">
        <f t="shared" si="6"/>
        <v>容积率</v>
      </c>
      <c r="R11" s="1569" t="s">
        <v>8</v>
      </c>
      <c r="S11" s="1570" t="e">
        <f t="shared" si="0"/>
        <v>#N/A</v>
      </c>
      <c r="T11" s="1569" t="s">
        <v>8</v>
      </c>
      <c r="U11" s="1570" t="e">
        <f t="shared" si="1"/>
        <v>#N/A</v>
      </c>
      <c r="V11" s="1569" t="s">
        <v>8</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6"/>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58" t="s">
        <v>540</v>
      </c>
      <c r="Q15" s="1573" t="str">
        <f t="shared" si="6"/>
        <v>产业集聚程度</v>
      </c>
      <c r="R15" s="1574" t="s">
        <v>8</v>
      </c>
      <c r="S15" s="1575">
        <f t="shared" si="0"/>
        <v>100</v>
      </c>
      <c r="T15" s="1574" t="s">
        <v>8</v>
      </c>
      <c r="U15" s="1575">
        <f t="shared" si="1"/>
        <v>100</v>
      </c>
      <c r="V15" s="1574" t="s">
        <v>8</v>
      </c>
      <c r="W15" s="1575">
        <f t="shared" si="2"/>
        <v>100</v>
      </c>
      <c r="X15" s="1568"/>
      <c r="Y15" s="335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59"/>
      <c r="Q16" s="1573"/>
      <c r="R16" s="1574"/>
      <c r="S16" s="1575"/>
      <c r="T16" s="1574"/>
      <c r="U16" s="1575"/>
      <c r="V16" s="1574"/>
      <c r="W16" s="1575"/>
      <c r="X16" s="1568"/>
      <c r="Y16" s="335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59"/>
      <c r="Q17" s="1573" t="str">
        <f>B17</f>
        <v>交通便捷度</v>
      </c>
      <c r="R17" s="1574" t="s">
        <v>8</v>
      </c>
      <c r="S17" s="1575">
        <f>F17</f>
        <v>100</v>
      </c>
      <c r="T17" s="1574" t="s">
        <v>8</v>
      </c>
      <c r="U17" s="1575">
        <f>H17</f>
        <v>100</v>
      </c>
      <c r="V17" s="1574" t="s">
        <v>8</v>
      </c>
      <c r="W17" s="1575">
        <f>J17</f>
        <v>100</v>
      </c>
      <c r="X17" s="1568"/>
      <c r="Y17" s="335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59"/>
      <c r="Q18" s="1573"/>
      <c r="R18" s="1574"/>
      <c r="S18" s="1575"/>
      <c r="T18" s="1574"/>
      <c r="U18" s="1575"/>
      <c r="V18" s="1574"/>
      <c r="W18" s="1575"/>
      <c r="X18" s="1568"/>
      <c r="Y18" s="3359"/>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59"/>
      <c r="Q19" s="1573" t="str">
        <f>B19</f>
        <v>公共配套设施</v>
      </c>
      <c r="R19" s="1574" t="s">
        <v>8</v>
      </c>
      <c r="S19" s="1575">
        <f>F19</f>
        <v>100</v>
      </c>
      <c r="T19" s="1574" t="s">
        <v>8</v>
      </c>
      <c r="U19" s="1575">
        <f>H19</f>
        <v>100</v>
      </c>
      <c r="V19" s="1574" t="s">
        <v>8</v>
      </c>
      <c r="W19" s="1575">
        <f>J19</f>
        <v>100</v>
      </c>
      <c r="X19" s="1568"/>
      <c r="Y19" s="335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59"/>
      <c r="Q20" s="1573"/>
      <c r="R20" s="1574"/>
      <c r="S20" s="1575"/>
      <c r="T20" s="1574"/>
      <c r="U20" s="1575"/>
      <c r="V20" s="1574"/>
      <c r="W20" s="1575"/>
      <c r="X20" s="1568"/>
      <c r="Y20" s="3359"/>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59"/>
      <c r="Q21" s="2559" t="str">
        <f>B21</f>
        <v>基础设施水平</v>
      </c>
      <c r="R21" s="1574" t="s">
        <v>8</v>
      </c>
      <c r="S21" s="1575">
        <f>F21</f>
        <v>100</v>
      </c>
      <c r="T21" s="1574" t="s">
        <v>8</v>
      </c>
      <c r="U21" s="1575">
        <f>H21</f>
        <v>100</v>
      </c>
      <c r="V21" s="1574" t="s">
        <v>8</v>
      </c>
      <c r="W21" s="1575">
        <f>J21</f>
        <v>100</v>
      </c>
      <c r="X21" s="2561"/>
      <c r="Y21" s="3359"/>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59"/>
      <c r="Q22" s="2559"/>
      <c r="R22" s="1574"/>
      <c r="S22" s="1575"/>
      <c r="T22" s="1574"/>
      <c r="U22" s="1575"/>
      <c r="V22" s="1574"/>
      <c r="W22" s="1575"/>
      <c r="X22" s="2561"/>
      <c r="Y22" s="3359"/>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59"/>
      <c r="Q23" s="1573" t="str">
        <f>B23</f>
        <v>环境质量</v>
      </c>
      <c r="R23" s="1574" t="s">
        <v>8</v>
      </c>
      <c r="S23" s="1575">
        <f>F23</f>
        <v>100</v>
      </c>
      <c r="T23" s="1574" t="s">
        <v>8</v>
      </c>
      <c r="U23" s="1575">
        <f>H23</f>
        <v>100</v>
      </c>
      <c r="V23" s="1574" t="s">
        <v>8</v>
      </c>
      <c r="W23" s="1575">
        <f>J23</f>
        <v>100</v>
      </c>
      <c r="X23" s="1568"/>
      <c r="Y23" s="335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59"/>
      <c r="Q24" s="1573"/>
      <c r="R24" s="1574"/>
      <c r="S24" s="1575"/>
      <c r="T24" s="1574"/>
      <c r="U24" s="1575"/>
      <c r="V24" s="1574"/>
      <c r="W24" s="1575"/>
      <c r="X24" s="1568"/>
      <c r="Y24" s="335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59"/>
      <c r="Q25" s="1573">
        <f>B25</f>
        <v>111</v>
      </c>
      <c r="R25" s="1574" t="s">
        <v>8</v>
      </c>
      <c r="S25" s="1575">
        <f>F25</f>
        <v>100</v>
      </c>
      <c r="T25" s="1574" t="s">
        <v>8</v>
      </c>
      <c r="U25" s="1575">
        <f>H25</f>
        <v>100</v>
      </c>
      <c r="V25" s="1574" t="s">
        <v>8</v>
      </c>
      <c r="W25" s="1575">
        <f>J25</f>
        <v>100</v>
      </c>
      <c r="X25" s="1568"/>
      <c r="Y25" s="335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59"/>
      <c r="Q26" s="1573">
        <f t="shared" ref="Q26:Q40" si="11">B26</f>
        <v>111</v>
      </c>
      <c r="R26" s="1574" t="s">
        <v>8</v>
      </c>
      <c r="S26" s="1575">
        <f>F26</f>
        <v>100</v>
      </c>
      <c r="T26" s="1574" t="s">
        <v>8</v>
      </c>
      <c r="U26" s="1575">
        <f>H26</f>
        <v>100</v>
      </c>
      <c r="V26" s="1574" t="s">
        <v>8</v>
      </c>
      <c r="W26" s="1575">
        <f>J26</f>
        <v>100</v>
      </c>
      <c r="X26" s="1568"/>
      <c r="Y26" s="335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59"/>
      <c r="Q27" s="1151">
        <f t="shared" si="11"/>
        <v>111</v>
      </c>
      <c r="R27" s="1569" t="s">
        <v>8</v>
      </c>
      <c r="S27" s="1570">
        <f>F27</f>
        <v>100</v>
      </c>
      <c r="T27" s="1569" t="s">
        <v>8</v>
      </c>
      <c r="U27" s="1570">
        <f>H27</f>
        <v>100</v>
      </c>
      <c r="V27" s="1569" t="s">
        <v>8</v>
      </c>
      <c r="W27" s="1570">
        <f>J27</f>
        <v>100</v>
      </c>
      <c r="X27" s="1571"/>
      <c r="Y27" s="335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59"/>
      <c r="Q28" s="1573">
        <f t="shared" si="11"/>
        <v>111</v>
      </c>
      <c r="R28" s="1574" t="s">
        <v>8</v>
      </c>
      <c r="S28" s="1575">
        <f t="shared" ref="S28:S40" si="12">F28</f>
        <v>100</v>
      </c>
      <c r="T28" s="1574" t="s">
        <v>8</v>
      </c>
      <c r="U28" s="1575">
        <f t="shared" ref="U28:U40" si="13">H28</f>
        <v>100</v>
      </c>
      <c r="V28" s="1574" t="s">
        <v>8</v>
      </c>
      <c r="W28" s="1575">
        <f t="shared" ref="W28:W40" si="14">J28</f>
        <v>100</v>
      </c>
      <c r="X28" s="1568"/>
      <c r="Y28" s="3359"/>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0" t="s">
        <v>550</v>
      </c>
      <c r="Q29" s="1573" t="str">
        <f t="shared" si="11"/>
        <v>建筑类型</v>
      </c>
      <c r="R29" s="1574" t="s">
        <v>8</v>
      </c>
      <c r="S29" s="1575">
        <f t="shared" si="12"/>
        <v>100</v>
      </c>
      <c r="T29" s="1574" t="s">
        <v>8</v>
      </c>
      <c r="U29" s="1575">
        <f t="shared" si="13"/>
        <v>100</v>
      </c>
      <c r="V29" s="1574" t="s">
        <v>8</v>
      </c>
      <c r="W29" s="1575">
        <f t="shared" si="14"/>
        <v>100</v>
      </c>
      <c r="X29" s="1568"/>
      <c r="Y29" s="336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1"/>
      <c r="Q30" s="1606" t="str">
        <f t="shared" si="11"/>
        <v>项目建筑规模</v>
      </c>
      <c r="R30" s="1578" t="s">
        <v>8</v>
      </c>
      <c r="S30" s="1579" t="e">
        <f t="shared" si="12"/>
        <v>#N/A</v>
      </c>
      <c r="T30" s="1578" t="s">
        <v>8</v>
      </c>
      <c r="U30" s="1579" t="e">
        <f t="shared" si="13"/>
        <v>#N/A</v>
      </c>
      <c r="V30" s="1578" t="s">
        <v>8</v>
      </c>
      <c r="W30" s="1579" t="e">
        <f t="shared" si="14"/>
        <v>#N/A</v>
      </c>
      <c r="X30" s="1580"/>
      <c r="Y30" s="336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1"/>
      <c r="Q31" s="1573" t="str">
        <f t="shared" si="11"/>
        <v>建筑结构</v>
      </c>
      <c r="R31" s="1574" t="s">
        <v>8</v>
      </c>
      <c r="S31" s="1575">
        <f t="shared" si="12"/>
        <v>100</v>
      </c>
      <c r="T31" s="1574" t="s">
        <v>8</v>
      </c>
      <c r="U31" s="1575">
        <f t="shared" si="13"/>
        <v>100</v>
      </c>
      <c r="V31" s="1574" t="s">
        <v>8</v>
      </c>
      <c r="W31" s="1575">
        <f t="shared" si="14"/>
        <v>100</v>
      </c>
      <c r="X31" s="1568"/>
      <c r="Y31" s="336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1"/>
      <c r="Q32" s="1573" t="str">
        <f t="shared" si="11"/>
        <v>公共部分装修</v>
      </c>
      <c r="R32" s="1574" t="s">
        <v>8</v>
      </c>
      <c r="S32" s="1575">
        <f t="shared" si="12"/>
        <v>100</v>
      </c>
      <c r="T32" s="1574" t="s">
        <v>8</v>
      </c>
      <c r="U32" s="1575">
        <f t="shared" si="13"/>
        <v>100</v>
      </c>
      <c r="V32" s="1574" t="s">
        <v>8</v>
      </c>
      <c r="W32" s="1575">
        <f t="shared" si="14"/>
        <v>100</v>
      </c>
      <c r="X32" s="1568"/>
      <c r="Y32" s="336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1"/>
      <c r="Q33" s="1573" t="str">
        <f t="shared" si="11"/>
        <v>成新度</v>
      </c>
      <c r="R33" s="1574" t="s">
        <v>8</v>
      </c>
      <c r="S33" s="1575" t="e">
        <f t="shared" si="12"/>
        <v>#N/A</v>
      </c>
      <c r="T33" s="1574" t="s">
        <v>8</v>
      </c>
      <c r="U33" s="1575" t="e">
        <f t="shared" si="13"/>
        <v>#N/A</v>
      </c>
      <c r="V33" s="1574" t="s">
        <v>8</v>
      </c>
      <c r="W33" s="1575" t="e">
        <f t="shared" si="14"/>
        <v>#N/A</v>
      </c>
      <c r="X33" s="1568"/>
      <c r="Y33" s="336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1"/>
      <c r="Q34" s="1151" t="str">
        <f t="shared" si="11"/>
        <v>物业管理</v>
      </c>
      <c r="R34" s="1569" t="s">
        <v>8</v>
      </c>
      <c r="S34" s="1570">
        <f t="shared" si="12"/>
        <v>100</v>
      </c>
      <c r="T34" s="1569" t="s">
        <v>8</v>
      </c>
      <c r="U34" s="1570">
        <f t="shared" si="13"/>
        <v>100</v>
      </c>
      <c r="V34" s="1569" t="s">
        <v>8</v>
      </c>
      <c r="W34" s="1570">
        <f t="shared" si="14"/>
        <v>100</v>
      </c>
      <c r="X34" s="1571"/>
      <c r="Y34" s="3361"/>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1" t="s">
        <v>550</v>
      </c>
      <c r="Q35" s="1573" t="str">
        <f t="shared" si="11"/>
        <v>市政基础设施</v>
      </c>
      <c r="R35" s="1574" t="s">
        <v>8</v>
      </c>
      <c r="S35" s="1575">
        <f t="shared" si="12"/>
        <v>100</v>
      </c>
      <c r="T35" s="1574" t="s">
        <v>8</v>
      </c>
      <c r="U35" s="1575">
        <f t="shared" si="13"/>
        <v>100</v>
      </c>
      <c r="V35" s="1574" t="s">
        <v>8</v>
      </c>
      <c r="W35" s="1575">
        <f t="shared" si="14"/>
        <v>100</v>
      </c>
      <c r="X35" s="1568"/>
      <c r="Y35" s="336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1"/>
      <c r="Q36" s="1573" t="str">
        <f t="shared" si="11"/>
        <v>内部装修</v>
      </c>
      <c r="R36" s="1574" t="s">
        <v>8</v>
      </c>
      <c r="S36" s="1575">
        <f t="shared" si="12"/>
        <v>100</v>
      </c>
      <c r="T36" s="1574" t="s">
        <v>8</v>
      </c>
      <c r="U36" s="1575">
        <f t="shared" si="13"/>
        <v>100</v>
      </c>
      <c r="V36" s="1574" t="s">
        <v>8</v>
      </c>
      <c r="W36" s="1575">
        <f t="shared" si="14"/>
        <v>100</v>
      </c>
      <c r="X36" s="1568"/>
      <c r="Y36" s="336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1"/>
      <c r="Q37" s="1573" t="str">
        <f t="shared" si="11"/>
        <v>内部装修状况</v>
      </c>
      <c r="R37" s="1574" t="s">
        <v>8</v>
      </c>
      <c r="S37" s="1575">
        <f t="shared" si="12"/>
        <v>100</v>
      </c>
      <c r="T37" s="1574" t="s">
        <v>8</v>
      </c>
      <c r="U37" s="1575">
        <f t="shared" si="13"/>
        <v>100</v>
      </c>
      <c r="V37" s="1574" t="s">
        <v>8</v>
      </c>
      <c r="W37" s="1575">
        <f t="shared" si="14"/>
        <v>100</v>
      </c>
      <c r="X37" s="1568"/>
      <c r="Y37" s="336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1"/>
      <c r="Q38" s="1606">
        <f t="shared" si="11"/>
        <v>111</v>
      </c>
      <c r="R38" s="1578" t="s">
        <v>8</v>
      </c>
      <c r="S38" s="1579">
        <f t="shared" si="12"/>
        <v>100</v>
      </c>
      <c r="T38" s="1578" t="s">
        <v>8</v>
      </c>
      <c r="U38" s="1579">
        <f t="shared" si="13"/>
        <v>100</v>
      </c>
      <c r="V38" s="1578" t="s">
        <v>8</v>
      </c>
      <c r="W38" s="1579">
        <f t="shared" si="14"/>
        <v>100</v>
      </c>
      <c r="X38" s="1580"/>
      <c r="Y38" s="336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1"/>
      <c r="Q39" s="1573">
        <f t="shared" si="11"/>
        <v>111</v>
      </c>
      <c r="R39" s="1574" t="s">
        <v>8</v>
      </c>
      <c r="S39" s="1575">
        <f t="shared" si="12"/>
        <v>100</v>
      </c>
      <c r="T39" s="1574" t="s">
        <v>8</v>
      </c>
      <c r="U39" s="1575">
        <f t="shared" si="13"/>
        <v>100</v>
      </c>
      <c r="V39" s="1574" t="s">
        <v>8</v>
      </c>
      <c r="W39" s="1575">
        <f t="shared" si="14"/>
        <v>100</v>
      </c>
      <c r="X39" s="1568"/>
      <c r="Y39" s="336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58"/>
      <c r="Q40" s="1573">
        <f t="shared" si="11"/>
        <v>111</v>
      </c>
      <c r="R40" s="1574" t="s">
        <v>8</v>
      </c>
      <c r="S40" s="1575">
        <f t="shared" si="12"/>
        <v>100</v>
      </c>
      <c r="T40" s="1574" t="s">
        <v>8</v>
      </c>
      <c r="U40" s="1575">
        <f t="shared" si="13"/>
        <v>100</v>
      </c>
      <c r="V40" s="1574" t="s">
        <v>8</v>
      </c>
      <c r="W40" s="1575">
        <f t="shared" si="14"/>
        <v>100</v>
      </c>
      <c r="X40" s="1568"/>
      <c r="Y40" s="3458"/>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56" t="str">
        <f>A41</f>
        <v>成交单价（元/平方米）</v>
      </c>
      <c r="Q41" s="3356"/>
      <c r="R41" s="3457">
        <f>E41</f>
        <v>0</v>
      </c>
      <c r="S41" s="3457"/>
      <c r="T41" s="3457">
        <f>G41</f>
        <v>0</v>
      </c>
      <c r="U41" s="3457"/>
      <c r="V41" s="3457">
        <f>I41</f>
        <v>0</v>
      </c>
      <c r="W41" s="3457"/>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56" t="str">
        <f>A42</f>
        <v>比较价格（元/平方米）</v>
      </c>
      <c r="Q42" s="33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77" t="str">
        <f>A43</f>
        <v>估价对象XX用房的比较价格（楼面单价，元/平方米）</v>
      </c>
      <c r="Q43" s="3378"/>
      <c r="R43" s="3456" t="e">
        <f>IF(F1="售价",ROUND(AVERAGE(R42:V42),0),ROUND(AVERAGE(R42:V42),1))</f>
        <v>#DIV/0!</v>
      </c>
      <c r="S43" s="3456"/>
      <c r="T43" s="3456"/>
      <c r="U43" s="3456"/>
      <c r="V43" s="3456"/>
      <c r="W43" s="345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2019-1</v>
      </c>
      <c r="D52" s="2783">
        <f>EDATE(C52,-1)</f>
        <v>43435</v>
      </c>
      <c r="E52" s="2783">
        <f t="shared" ref="E52:O52" si="16">EDATE(D52,-1)</f>
        <v>43405</v>
      </c>
      <c r="F52" s="2783">
        <f t="shared" si="16"/>
        <v>43374</v>
      </c>
      <c r="G52" s="2783">
        <f t="shared" si="16"/>
        <v>43344</v>
      </c>
      <c r="H52" s="2783">
        <f t="shared" si="16"/>
        <v>43313</v>
      </c>
      <c r="I52" s="2783">
        <f t="shared" si="16"/>
        <v>43282</v>
      </c>
      <c r="J52" s="2783">
        <f t="shared" si="16"/>
        <v>43252</v>
      </c>
      <c r="K52" s="2783">
        <f t="shared" si="16"/>
        <v>43221</v>
      </c>
      <c r="L52" s="2783">
        <f t="shared" si="16"/>
        <v>43191</v>
      </c>
      <c r="M52" s="2783">
        <f t="shared" si="16"/>
        <v>43160</v>
      </c>
      <c r="N52" s="2783">
        <f t="shared" si="16"/>
        <v>43132</v>
      </c>
      <c r="O52" s="2783">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2" t="s">
        <v>798</v>
      </c>
      <c r="D4" s="3363"/>
      <c r="E4" s="3362" t="s">
        <v>799</v>
      </c>
      <c r="F4" s="3363"/>
      <c r="G4" s="3362" t="s">
        <v>800</v>
      </c>
      <c r="H4" s="3363"/>
      <c r="I4" s="3362" t="s">
        <v>801</v>
      </c>
      <c r="J4" s="3363"/>
      <c r="K4" s="514" t="s">
        <v>802</v>
      </c>
      <c r="L4" s="2134"/>
      <c r="M4" s="2135"/>
      <c r="N4" s="2135"/>
      <c r="O4" s="2135"/>
      <c r="P4" s="3364" t="s">
        <v>803</v>
      </c>
      <c r="Q4" s="3365"/>
      <c r="R4" s="3350" t="s">
        <v>799</v>
      </c>
      <c r="S4" s="3351"/>
      <c r="T4" s="3350" t="s">
        <v>800</v>
      </c>
      <c r="U4" s="3351"/>
      <c r="V4" s="3370" t="s">
        <v>801</v>
      </c>
      <c r="W4" s="3370"/>
      <c r="X4" s="1568"/>
      <c r="Y4" s="3350" t="s">
        <v>803</v>
      </c>
      <c r="Z4" s="3351"/>
      <c r="AA4" s="3345" t="s">
        <v>799</v>
      </c>
      <c r="AB4" s="3346" t="s">
        <v>800</v>
      </c>
      <c r="AC4" s="3345" t="s">
        <v>801</v>
      </c>
    </row>
    <row r="5" spans="1:29" ht="15">
      <c r="A5" s="515"/>
      <c r="B5" s="516"/>
      <c r="C5" s="3373" t="s">
        <v>2931</v>
      </c>
      <c r="D5" s="3374"/>
      <c r="E5" s="3373" t="s">
        <v>2932</v>
      </c>
      <c r="F5" s="3374"/>
      <c r="G5" s="3373" t="s">
        <v>2933</v>
      </c>
      <c r="H5" s="3374"/>
      <c r="I5" s="3373" t="s">
        <v>2934</v>
      </c>
      <c r="J5" s="3374"/>
      <c r="K5" s="514"/>
      <c r="L5" s="2134"/>
      <c r="M5" s="2135"/>
      <c r="N5" s="2135"/>
      <c r="O5" s="2135"/>
      <c r="P5" s="3366"/>
      <c r="Q5" s="3367"/>
      <c r="R5" s="3352"/>
      <c r="S5" s="3353"/>
      <c r="T5" s="3352"/>
      <c r="U5" s="3353"/>
      <c r="V5" s="3370"/>
      <c r="W5" s="3370"/>
      <c r="X5" s="1568"/>
      <c r="Y5" s="3352"/>
      <c r="Z5" s="3353"/>
      <c r="AA5" s="3346"/>
      <c r="AB5" s="3346"/>
      <c r="AC5" s="3346"/>
    </row>
    <row r="6" spans="1:29" ht="15.75" thickBot="1">
      <c r="A6" s="517"/>
      <c r="B6" s="518"/>
      <c r="C6" s="3371" t="s">
        <v>2935</v>
      </c>
      <c r="D6" s="3372"/>
      <c r="E6" s="3375" t="s">
        <v>2935</v>
      </c>
      <c r="F6" s="3376"/>
      <c r="G6" s="3371" t="s">
        <v>2935</v>
      </c>
      <c r="H6" s="3372"/>
      <c r="I6" s="3371" t="s">
        <v>2935</v>
      </c>
      <c r="J6" s="3372"/>
      <c r="K6" s="514" t="s">
        <v>528</v>
      </c>
      <c r="L6" s="2134"/>
      <c r="M6" s="2135"/>
      <c r="N6" s="2135"/>
      <c r="O6" s="2135"/>
      <c r="P6" s="3368"/>
      <c r="Q6" s="3369"/>
      <c r="R6" s="3352"/>
      <c r="S6" s="3353"/>
      <c r="T6" s="3354"/>
      <c r="U6" s="3355"/>
      <c r="V6" s="3370"/>
      <c r="W6" s="3370"/>
      <c r="X6" s="1568"/>
      <c r="Y6" s="3354"/>
      <c r="Z6" s="3355"/>
      <c r="AA6" s="3347"/>
      <c r="AB6" s="3347"/>
      <c r="AC6" s="3347"/>
    </row>
    <row r="7" spans="1:29" s="1220" customFormat="1" ht="15.75" thickBot="1">
      <c r="A7" s="2890"/>
      <c r="B7" s="2897" t="s">
        <v>529</v>
      </c>
      <c r="C7" s="519">
        <f>'数据-取费表'!B2</f>
        <v>43487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48" t="s">
        <v>530</v>
      </c>
      <c r="Q7" s="3357"/>
      <c r="R7" s="1569" t="s">
        <v>8</v>
      </c>
      <c r="S7" s="1570">
        <f t="shared" ref="S7:S14" si="0">F7</f>
        <v>0</v>
      </c>
      <c r="T7" s="1569" t="s">
        <v>8</v>
      </c>
      <c r="U7" s="1570">
        <f t="shared" ref="U7:U14" si="1">H7</f>
        <v>0</v>
      </c>
      <c r="V7" s="1569" t="s">
        <v>8</v>
      </c>
      <c r="W7" s="1570">
        <f t="shared" ref="W7:W14" si="2">J7</f>
        <v>0</v>
      </c>
      <c r="X7" s="1571"/>
      <c r="Y7" s="3348" t="s">
        <v>530</v>
      </c>
      <c r="Z7" s="3349"/>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48" t="s">
        <v>533</v>
      </c>
      <c r="Q8" s="3349"/>
      <c r="R8" s="1569" t="s">
        <v>8</v>
      </c>
      <c r="S8" s="1570">
        <f t="shared" si="0"/>
        <v>0</v>
      </c>
      <c r="T8" s="1569" t="s">
        <v>8</v>
      </c>
      <c r="U8" s="1570">
        <f t="shared" si="1"/>
        <v>0</v>
      </c>
      <c r="V8" s="1569" t="s">
        <v>8</v>
      </c>
      <c r="W8" s="1570">
        <f t="shared" si="2"/>
        <v>0</v>
      </c>
      <c r="X8" s="1571"/>
      <c r="Y8" s="3348" t="s">
        <v>533</v>
      </c>
      <c r="Z8" s="3349"/>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6" t="s">
        <v>535</v>
      </c>
      <c r="Q9" s="1151" t="str">
        <f t="shared" ref="Q9:Q14" si="6">B9</f>
        <v>用途</v>
      </c>
      <c r="R9" s="1569" t="s">
        <v>8</v>
      </c>
      <c r="S9" s="1570">
        <f t="shared" si="0"/>
        <v>100</v>
      </c>
      <c r="T9" s="1569" t="s">
        <v>8</v>
      </c>
      <c r="U9" s="1570">
        <f t="shared" si="1"/>
        <v>100</v>
      </c>
      <c r="V9" s="1569" t="s">
        <v>8</v>
      </c>
      <c r="W9" s="1570">
        <f t="shared" si="2"/>
        <v>100</v>
      </c>
      <c r="X9" s="1571"/>
      <c r="Y9" s="3313"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6"/>
      <c r="Q11" s="1151">
        <f t="shared" si="6"/>
        <v>111</v>
      </c>
      <c r="R11" s="1569" t="s">
        <v>8</v>
      </c>
      <c r="S11" s="1570">
        <f t="shared" si="0"/>
        <v>100</v>
      </c>
      <c r="T11" s="1569" t="s">
        <v>8</v>
      </c>
      <c r="U11" s="1570">
        <f t="shared" si="1"/>
        <v>100</v>
      </c>
      <c r="V11" s="1569" t="s">
        <v>8</v>
      </c>
      <c r="W11" s="1570">
        <f t="shared" si="2"/>
        <v>100</v>
      </c>
      <c r="X11" s="1571"/>
      <c r="Y11" s="3313"/>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58" t="s">
        <v>540</v>
      </c>
      <c r="Q14" s="1573" t="str">
        <f t="shared" si="6"/>
        <v>交通便捷度</v>
      </c>
      <c r="R14" s="1574" t="s">
        <v>8</v>
      </c>
      <c r="S14" s="1575">
        <f t="shared" si="0"/>
        <v>100</v>
      </c>
      <c r="T14" s="1574" t="s">
        <v>8</v>
      </c>
      <c r="U14" s="1575">
        <f t="shared" si="1"/>
        <v>100</v>
      </c>
      <c r="V14" s="1574" t="s">
        <v>8</v>
      </c>
      <c r="W14" s="1575">
        <f t="shared" si="2"/>
        <v>100</v>
      </c>
      <c r="X14" s="1568"/>
      <c r="Y14" s="335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59"/>
      <c r="Q15" s="1573"/>
      <c r="R15" s="1574"/>
      <c r="S15" s="1575"/>
      <c r="T15" s="1574"/>
      <c r="U15" s="1575"/>
      <c r="V15" s="1574"/>
      <c r="W15" s="1575"/>
      <c r="X15" s="1568"/>
      <c r="Y15" s="3359"/>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59"/>
      <c r="Q16" s="1573" t="str">
        <f>B16</f>
        <v>公共配套设施</v>
      </c>
      <c r="R16" s="1574" t="s">
        <v>8</v>
      </c>
      <c r="S16" s="1575">
        <f>F16</f>
        <v>100</v>
      </c>
      <c r="T16" s="1574" t="s">
        <v>8</v>
      </c>
      <c r="U16" s="1575">
        <f>H16</f>
        <v>100</v>
      </c>
      <c r="V16" s="1574" t="s">
        <v>8</v>
      </c>
      <c r="W16" s="1575">
        <f>J16</f>
        <v>100</v>
      </c>
      <c r="X16" s="1568"/>
      <c r="Y16" s="335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59"/>
      <c r="Q17" s="1573"/>
      <c r="R17" s="1574"/>
      <c r="S17" s="1575"/>
      <c r="T17" s="1574"/>
      <c r="U17" s="1575"/>
      <c r="V17" s="1574"/>
      <c r="W17" s="1575"/>
      <c r="X17" s="1568"/>
      <c r="Y17" s="3359"/>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59"/>
      <c r="Q18" s="2559" t="str">
        <f>B18</f>
        <v>基础设施水平</v>
      </c>
      <c r="R18" s="1574" t="s">
        <v>8</v>
      </c>
      <c r="S18" s="1575">
        <f>F18</f>
        <v>100</v>
      </c>
      <c r="T18" s="1574" t="s">
        <v>8</v>
      </c>
      <c r="U18" s="1575">
        <f>H18</f>
        <v>100</v>
      </c>
      <c r="V18" s="1574" t="s">
        <v>8</v>
      </c>
      <c r="W18" s="1575">
        <f>J18</f>
        <v>100</v>
      </c>
      <c r="X18" s="2561"/>
      <c r="Y18" s="3359"/>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59"/>
      <c r="Q19" s="2559"/>
      <c r="R19" s="1574"/>
      <c r="S19" s="1575"/>
      <c r="T19" s="1574"/>
      <c r="U19" s="1575"/>
      <c r="V19" s="1574"/>
      <c r="W19" s="1575"/>
      <c r="X19" s="2561"/>
      <c r="Y19" s="3359"/>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59"/>
      <c r="Q20" s="1573" t="str">
        <f>B20</f>
        <v>自然及人文环境</v>
      </c>
      <c r="R20" s="1574" t="s">
        <v>8</v>
      </c>
      <c r="S20" s="1575">
        <f>F20</f>
        <v>100</v>
      </c>
      <c r="T20" s="1574" t="s">
        <v>8</v>
      </c>
      <c r="U20" s="1575">
        <f>H20</f>
        <v>100</v>
      </c>
      <c r="V20" s="1574" t="s">
        <v>8</v>
      </c>
      <c r="W20" s="1575">
        <f>J20</f>
        <v>100</v>
      </c>
      <c r="X20" s="1568"/>
      <c r="Y20" s="335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59"/>
      <c r="Q21" s="1573"/>
      <c r="R21" s="1574"/>
      <c r="S21" s="1575"/>
      <c r="T21" s="1574"/>
      <c r="U21" s="1575"/>
      <c r="V21" s="1574"/>
      <c r="W21" s="1575"/>
      <c r="X21" s="1568"/>
      <c r="Y21" s="335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59"/>
      <c r="Q22" s="1573" t="str">
        <f>B22</f>
        <v>楼层</v>
      </c>
      <c r="R22" s="1574" t="s">
        <v>8</v>
      </c>
      <c r="S22" s="1575">
        <f>F22</f>
        <v>100</v>
      </c>
      <c r="T22" s="1574" t="s">
        <v>8</v>
      </c>
      <c r="U22" s="1575">
        <f>H22</f>
        <v>100</v>
      </c>
      <c r="V22" s="1574" t="s">
        <v>8</v>
      </c>
      <c r="W22" s="1575">
        <f>J22</f>
        <v>100</v>
      </c>
      <c r="X22" s="1568"/>
      <c r="Y22" s="335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59"/>
      <c r="Q23" s="1573">
        <f>B23</f>
        <v>111</v>
      </c>
      <c r="R23" s="1574" t="s">
        <v>8</v>
      </c>
      <c r="S23" s="1575">
        <f>F23</f>
        <v>100</v>
      </c>
      <c r="T23" s="1574" t="s">
        <v>8</v>
      </c>
      <c r="U23" s="1575">
        <f>H23</f>
        <v>100</v>
      </c>
      <c r="V23" s="1574" t="s">
        <v>8</v>
      </c>
      <c r="W23" s="1575">
        <f>J23</f>
        <v>100</v>
      </c>
      <c r="X23" s="1568"/>
      <c r="Y23" s="335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59"/>
      <c r="Q24" s="1573">
        <f t="shared" ref="Q24:Q36" si="11">B24</f>
        <v>111</v>
      </c>
      <c r="R24" s="1574" t="s">
        <v>8</v>
      </c>
      <c r="S24" s="1575">
        <f>F24</f>
        <v>100</v>
      </c>
      <c r="T24" s="1574" t="s">
        <v>8</v>
      </c>
      <c r="U24" s="1575">
        <f>H24</f>
        <v>100</v>
      </c>
      <c r="V24" s="1574" t="s">
        <v>8</v>
      </c>
      <c r="W24" s="1575">
        <f>J24</f>
        <v>100</v>
      </c>
      <c r="X24" s="1568"/>
      <c r="Y24" s="335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59"/>
      <c r="Q25" s="1151">
        <f t="shared" si="11"/>
        <v>111</v>
      </c>
      <c r="R25" s="1569" t="s">
        <v>8</v>
      </c>
      <c r="S25" s="1570">
        <f>F25</f>
        <v>100</v>
      </c>
      <c r="T25" s="1569" t="s">
        <v>8</v>
      </c>
      <c r="U25" s="1570">
        <f>H25</f>
        <v>100</v>
      </c>
      <c r="V25" s="1569" t="s">
        <v>8</v>
      </c>
      <c r="W25" s="1570">
        <f>J25</f>
        <v>100</v>
      </c>
      <c r="X25" s="1571"/>
      <c r="Y25" s="3359"/>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1"/>
      <c r="Q27" s="1606" t="str">
        <f t="shared" si="11"/>
        <v>项目停车位配比</v>
      </c>
      <c r="R27" s="1578" t="s">
        <v>8</v>
      </c>
      <c r="S27" s="1579">
        <f t="shared" si="12"/>
        <v>100</v>
      </c>
      <c r="T27" s="1578" t="s">
        <v>8</v>
      </c>
      <c r="U27" s="1579">
        <f t="shared" si="13"/>
        <v>100</v>
      </c>
      <c r="V27" s="1578" t="s">
        <v>8</v>
      </c>
      <c r="W27" s="1579">
        <f t="shared" si="14"/>
        <v>100</v>
      </c>
      <c r="X27" s="1580"/>
      <c r="Y27" s="336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1"/>
      <c r="Q28" s="1573" t="str">
        <f t="shared" si="11"/>
        <v>公共部分装修</v>
      </c>
      <c r="R28" s="1574" t="s">
        <v>8</v>
      </c>
      <c r="S28" s="1575">
        <f t="shared" si="12"/>
        <v>100</v>
      </c>
      <c r="T28" s="1574" t="s">
        <v>8</v>
      </c>
      <c r="U28" s="1575">
        <f t="shared" si="13"/>
        <v>100</v>
      </c>
      <c r="V28" s="1574" t="s">
        <v>8</v>
      </c>
      <c r="W28" s="1575">
        <f t="shared" si="14"/>
        <v>100</v>
      </c>
      <c r="X28" s="1568"/>
      <c r="Y28" s="336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1"/>
      <c r="Q29" s="1573" t="str">
        <f t="shared" si="11"/>
        <v>成新率</v>
      </c>
      <c r="R29" s="1574" t="s">
        <v>8</v>
      </c>
      <c r="S29" s="1575" t="e">
        <f t="shared" si="12"/>
        <v>#N/A</v>
      </c>
      <c r="T29" s="1574" t="s">
        <v>8</v>
      </c>
      <c r="U29" s="1575" t="e">
        <f t="shared" si="13"/>
        <v>#N/A</v>
      </c>
      <c r="V29" s="1574" t="s">
        <v>8</v>
      </c>
      <c r="W29" s="1575" t="e">
        <f t="shared" si="14"/>
        <v>#N/A</v>
      </c>
      <c r="X29" s="1568"/>
      <c r="Y29" s="336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1"/>
      <c r="Q30" s="1573" t="str">
        <f t="shared" si="11"/>
        <v>物业等级</v>
      </c>
      <c r="R30" s="1574" t="s">
        <v>8</v>
      </c>
      <c r="S30" s="1575">
        <f t="shared" si="12"/>
        <v>100</v>
      </c>
      <c r="T30" s="1574" t="s">
        <v>8</v>
      </c>
      <c r="U30" s="1575">
        <f t="shared" si="13"/>
        <v>100</v>
      </c>
      <c r="V30" s="1574" t="s">
        <v>8</v>
      </c>
      <c r="W30" s="1575">
        <f t="shared" si="14"/>
        <v>100</v>
      </c>
      <c r="X30" s="1568"/>
      <c r="Y30" s="336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1"/>
      <c r="Q31" s="1151" t="str">
        <f t="shared" si="11"/>
        <v>停车位面积</v>
      </c>
      <c r="R31" s="1569" t="s">
        <v>8</v>
      </c>
      <c r="S31" s="1570" t="e">
        <f t="shared" si="12"/>
        <v>#N/A</v>
      </c>
      <c r="T31" s="1569" t="s">
        <v>8</v>
      </c>
      <c r="U31" s="1570" t="e">
        <f t="shared" si="13"/>
        <v>#N/A</v>
      </c>
      <c r="V31" s="1569" t="s">
        <v>8</v>
      </c>
      <c r="W31" s="1570" t="e">
        <f t="shared" si="14"/>
        <v>#N/A</v>
      </c>
      <c r="X31" s="1571"/>
      <c r="Y31" s="336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1" t="s">
        <v>550</v>
      </c>
      <c r="Q32" s="1573" t="str">
        <f t="shared" si="11"/>
        <v>车位类型</v>
      </c>
      <c r="R32" s="1574" t="s">
        <v>8</v>
      </c>
      <c r="S32" s="1575">
        <f t="shared" si="12"/>
        <v>100</v>
      </c>
      <c r="T32" s="1574" t="s">
        <v>8</v>
      </c>
      <c r="U32" s="1575">
        <f t="shared" si="13"/>
        <v>100</v>
      </c>
      <c r="V32" s="1574" t="s">
        <v>8</v>
      </c>
      <c r="W32" s="1575">
        <f t="shared" si="14"/>
        <v>100</v>
      </c>
      <c r="X32" s="1568"/>
      <c r="Y32" s="336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1"/>
      <c r="Q33" s="1573" t="str">
        <f t="shared" si="11"/>
        <v>是否直接入户</v>
      </c>
      <c r="R33" s="1574" t="s">
        <v>8</v>
      </c>
      <c r="S33" s="1575">
        <f t="shared" si="12"/>
        <v>100</v>
      </c>
      <c r="T33" s="1574" t="s">
        <v>8</v>
      </c>
      <c r="U33" s="1575">
        <f t="shared" si="13"/>
        <v>100</v>
      </c>
      <c r="V33" s="1574" t="s">
        <v>8</v>
      </c>
      <c r="W33" s="1575">
        <f t="shared" si="14"/>
        <v>100</v>
      </c>
      <c r="X33" s="1568"/>
      <c r="Y33" s="336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1"/>
      <c r="Q34" s="1573">
        <f t="shared" si="11"/>
        <v>111</v>
      </c>
      <c r="R34" s="1574" t="s">
        <v>8</v>
      </c>
      <c r="S34" s="1575">
        <f t="shared" si="12"/>
        <v>100</v>
      </c>
      <c r="T34" s="1574" t="s">
        <v>8</v>
      </c>
      <c r="U34" s="1575">
        <f t="shared" si="13"/>
        <v>100</v>
      </c>
      <c r="V34" s="1574" t="s">
        <v>8</v>
      </c>
      <c r="W34" s="1575">
        <f t="shared" si="14"/>
        <v>100</v>
      </c>
      <c r="X34" s="1568"/>
      <c r="Y34" s="336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1"/>
      <c r="Q35" s="1606">
        <f t="shared" si="11"/>
        <v>111</v>
      </c>
      <c r="R35" s="1578" t="s">
        <v>8</v>
      </c>
      <c r="S35" s="1579">
        <f t="shared" si="12"/>
        <v>100</v>
      </c>
      <c r="T35" s="1578" t="s">
        <v>8</v>
      </c>
      <c r="U35" s="1579">
        <f t="shared" si="13"/>
        <v>100</v>
      </c>
      <c r="V35" s="1578" t="s">
        <v>8</v>
      </c>
      <c r="W35" s="1579">
        <f t="shared" si="14"/>
        <v>100</v>
      </c>
      <c r="X35" s="1580"/>
      <c r="Y35" s="336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1"/>
      <c r="Q36" s="1573">
        <f t="shared" si="11"/>
        <v>111</v>
      </c>
      <c r="R36" s="1574" t="s">
        <v>8</v>
      </c>
      <c r="S36" s="1575">
        <f t="shared" si="12"/>
        <v>100</v>
      </c>
      <c r="T36" s="1574" t="s">
        <v>8</v>
      </c>
      <c r="U36" s="1575">
        <f t="shared" si="13"/>
        <v>100</v>
      </c>
      <c r="V36" s="1574" t="s">
        <v>8</v>
      </c>
      <c r="W36" s="1575">
        <f t="shared" si="14"/>
        <v>100</v>
      </c>
      <c r="X36" s="1568"/>
      <c r="Y36" s="3361"/>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56" t="str">
        <f>A37</f>
        <v>成交单价</v>
      </c>
      <c r="Q37" s="3356"/>
      <c r="R37" s="3457">
        <f>E37</f>
        <v>0</v>
      </c>
      <c r="S37" s="3457"/>
      <c r="T37" s="3457">
        <f>G37</f>
        <v>0</v>
      </c>
      <c r="U37" s="3457"/>
      <c r="V37" s="3457">
        <f>I37</f>
        <v>0</v>
      </c>
      <c r="W37" s="3457"/>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56" t="str">
        <f>A38</f>
        <v>比较价格（元/平方米）</v>
      </c>
      <c r="Q38" s="33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77" t="str">
        <f>A39</f>
        <v>估价对象XX用房的比较价格（楼面单价，元/平方米）</v>
      </c>
      <c r="Q39" s="3378"/>
      <c r="R39" s="3456" t="e">
        <f>IF(F1="售价",ROUND(AVERAGE(R38:V38),0),ROUND(AVERAGE(R38:V38),1))</f>
        <v>#DIV/0!</v>
      </c>
      <c r="S39" s="3456"/>
      <c r="T39" s="3456"/>
      <c r="U39" s="3456"/>
      <c r="V39" s="3456"/>
      <c r="W39" s="345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2019-1</v>
      </c>
      <c r="D48" s="2783">
        <f>EDATE(C48,-1)</f>
        <v>43435</v>
      </c>
      <c r="E48" s="2783">
        <f t="shared" ref="E48:O48" si="16">EDATE(D48,-1)</f>
        <v>43405</v>
      </c>
      <c r="F48" s="2783">
        <f t="shared" si="16"/>
        <v>43374</v>
      </c>
      <c r="G48" s="2783">
        <f t="shared" si="16"/>
        <v>43344</v>
      </c>
      <c r="H48" s="2783">
        <f t="shared" si="16"/>
        <v>43313</v>
      </c>
      <c r="I48" s="2783">
        <f t="shared" si="16"/>
        <v>43282</v>
      </c>
      <c r="J48" s="2783">
        <f t="shared" si="16"/>
        <v>43252</v>
      </c>
      <c r="K48" s="2783">
        <f t="shared" si="16"/>
        <v>43221</v>
      </c>
      <c r="L48" s="2783">
        <f t="shared" si="16"/>
        <v>43191</v>
      </c>
      <c r="M48" s="2783">
        <f t="shared" si="16"/>
        <v>43160</v>
      </c>
      <c r="N48" s="2783">
        <f t="shared" si="16"/>
        <v>43132</v>
      </c>
      <c r="O48" s="2783">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2" t="s">
        <v>798</v>
      </c>
      <c r="D4" s="3363"/>
      <c r="E4" s="3386" t="s">
        <v>799</v>
      </c>
      <c r="F4" s="3387"/>
      <c r="G4" s="3362" t="s">
        <v>800</v>
      </c>
      <c r="H4" s="3363"/>
      <c r="I4" s="3362" t="s">
        <v>801</v>
      </c>
      <c r="J4" s="3363"/>
      <c r="K4" s="514" t="s">
        <v>802</v>
      </c>
      <c r="L4" s="2134"/>
      <c r="M4" s="2135"/>
      <c r="N4" s="2135"/>
      <c r="O4" s="2135"/>
      <c r="P4" s="3364" t="s">
        <v>803</v>
      </c>
      <c r="Q4" s="3365"/>
      <c r="R4" s="3350" t="s">
        <v>799</v>
      </c>
      <c r="S4" s="3351"/>
      <c r="T4" s="3350" t="s">
        <v>800</v>
      </c>
      <c r="U4" s="3351"/>
      <c r="V4" s="3370" t="s">
        <v>801</v>
      </c>
      <c r="W4" s="3370"/>
      <c r="X4" s="1568"/>
      <c r="Y4" s="3350" t="s">
        <v>803</v>
      </c>
      <c r="Z4" s="3351"/>
      <c r="AA4" s="3345" t="s">
        <v>799</v>
      </c>
      <c r="AB4" s="3346" t="s">
        <v>800</v>
      </c>
      <c r="AC4" s="3345" t="s">
        <v>801</v>
      </c>
    </row>
    <row r="5" spans="1:29" ht="15">
      <c r="A5" s="515"/>
      <c r="B5" s="516"/>
      <c r="C5" s="3373" t="s">
        <v>2931</v>
      </c>
      <c r="D5" s="3374"/>
      <c r="E5" s="3388" t="s">
        <v>2932</v>
      </c>
      <c r="F5" s="3389"/>
      <c r="G5" s="3373" t="s">
        <v>2933</v>
      </c>
      <c r="H5" s="3374"/>
      <c r="I5" s="3373" t="s">
        <v>2934</v>
      </c>
      <c r="J5" s="3374"/>
      <c r="K5" s="514"/>
      <c r="L5" s="2134"/>
      <c r="M5" s="2135"/>
      <c r="N5" s="2135"/>
      <c r="O5" s="2135"/>
      <c r="P5" s="3366"/>
      <c r="Q5" s="3367"/>
      <c r="R5" s="3352"/>
      <c r="S5" s="3353"/>
      <c r="T5" s="3352"/>
      <c r="U5" s="3353"/>
      <c r="V5" s="3370"/>
      <c r="W5" s="3370"/>
      <c r="X5" s="1568"/>
      <c r="Y5" s="3352"/>
      <c r="Z5" s="3353"/>
      <c r="AA5" s="3346"/>
      <c r="AB5" s="3346"/>
      <c r="AC5" s="3346"/>
    </row>
    <row r="6" spans="1:29" ht="15.75" thickBot="1">
      <c r="A6" s="517"/>
      <c r="B6" s="518"/>
      <c r="C6" s="3371" t="s">
        <v>2935</v>
      </c>
      <c r="D6" s="3372"/>
      <c r="E6" s="3390" t="s">
        <v>2935</v>
      </c>
      <c r="F6" s="3391"/>
      <c r="G6" s="3371" t="s">
        <v>2935</v>
      </c>
      <c r="H6" s="3372"/>
      <c r="I6" s="3371" t="s">
        <v>2935</v>
      </c>
      <c r="J6" s="3372"/>
      <c r="K6" s="514" t="s">
        <v>528</v>
      </c>
      <c r="L6" s="2134"/>
      <c r="M6" s="2135"/>
      <c r="N6" s="2135"/>
      <c r="O6" s="2135"/>
      <c r="P6" s="3368"/>
      <c r="Q6" s="3369"/>
      <c r="R6" s="3352"/>
      <c r="S6" s="3353"/>
      <c r="T6" s="3354"/>
      <c r="U6" s="3355"/>
      <c r="V6" s="3370"/>
      <c r="W6" s="3370"/>
      <c r="X6" s="1568"/>
      <c r="Y6" s="3354"/>
      <c r="Z6" s="3355"/>
      <c r="AA6" s="3347"/>
      <c r="AB6" s="3347"/>
      <c r="AC6" s="3347"/>
    </row>
    <row r="7" spans="1:29" s="1220" customFormat="1" ht="15.75" thickBot="1">
      <c r="A7" s="2890"/>
      <c r="B7" s="2897" t="s">
        <v>529</v>
      </c>
      <c r="C7" s="519">
        <f>'数据-取费表'!B2</f>
        <v>43487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48" t="s">
        <v>530</v>
      </c>
      <c r="Q7" s="3357"/>
      <c r="R7" s="1569" t="s">
        <v>8</v>
      </c>
      <c r="S7" s="1570">
        <f t="shared" ref="S7:S14" si="0">F7</f>
        <v>0</v>
      </c>
      <c r="T7" s="1569" t="s">
        <v>8</v>
      </c>
      <c r="U7" s="1570">
        <f t="shared" ref="U7:U14" si="1">H7</f>
        <v>0</v>
      </c>
      <c r="V7" s="1569" t="s">
        <v>8</v>
      </c>
      <c r="W7" s="1570">
        <f t="shared" ref="W7:W14" si="2">J7</f>
        <v>0</v>
      </c>
      <c r="X7" s="1571"/>
      <c r="Y7" s="3348" t="s">
        <v>530</v>
      </c>
      <c r="Z7" s="3349"/>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48" t="s">
        <v>533</v>
      </c>
      <c r="Q8" s="3349"/>
      <c r="R8" s="1569" t="s">
        <v>8</v>
      </c>
      <c r="S8" s="1570">
        <f t="shared" si="0"/>
        <v>0</v>
      </c>
      <c r="T8" s="1569" t="s">
        <v>8</v>
      </c>
      <c r="U8" s="1570">
        <f t="shared" si="1"/>
        <v>0</v>
      </c>
      <c r="V8" s="1569" t="s">
        <v>8</v>
      </c>
      <c r="W8" s="1570">
        <f t="shared" si="2"/>
        <v>0</v>
      </c>
      <c r="X8" s="1571"/>
      <c r="Y8" s="3348" t="s">
        <v>533</v>
      </c>
      <c r="Z8" s="3349"/>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6" t="s">
        <v>535</v>
      </c>
      <c r="Q9" s="1151" t="str">
        <f t="shared" ref="Q9:Q14" si="6">B9</f>
        <v>用途</v>
      </c>
      <c r="R9" s="1569" t="s">
        <v>8</v>
      </c>
      <c r="S9" s="1570">
        <f t="shared" si="0"/>
        <v>100</v>
      </c>
      <c r="T9" s="1569" t="s">
        <v>8</v>
      </c>
      <c r="U9" s="1570">
        <f t="shared" si="1"/>
        <v>100</v>
      </c>
      <c r="V9" s="1569" t="s">
        <v>8</v>
      </c>
      <c r="W9" s="1570">
        <f t="shared" si="2"/>
        <v>100</v>
      </c>
      <c r="X9" s="1571"/>
      <c r="Y9" s="3313"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6"/>
      <c r="Q11" s="1151">
        <f t="shared" si="6"/>
        <v>111</v>
      </c>
      <c r="R11" s="1569" t="s">
        <v>8</v>
      </c>
      <c r="S11" s="1570">
        <f t="shared" si="0"/>
        <v>100</v>
      </c>
      <c r="T11" s="1569" t="s">
        <v>8</v>
      </c>
      <c r="U11" s="1570">
        <f t="shared" si="1"/>
        <v>100</v>
      </c>
      <c r="V11" s="1569" t="s">
        <v>8</v>
      </c>
      <c r="W11" s="1570">
        <f t="shared" si="2"/>
        <v>100</v>
      </c>
      <c r="X11" s="1571"/>
      <c r="Y11" s="3313"/>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58" t="s">
        <v>540</v>
      </c>
      <c r="Q14" s="1573" t="str">
        <f t="shared" si="6"/>
        <v>交通便捷度</v>
      </c>
      <c r="R14" s="1574" t="s">
        <v>8</v>
      </c>
      <c r="S14" s="1575">
        <f t="shared" si="0"/>
        <v>100</v>
      </c>
      <c r="T14" s="1574" t="s">
        <v>8</v>
      </c>
      <c r="U14" s="1575">
        <f t="shared" si="1"/>
        <v>100</v>
      </c>
      <c r="V14" s="1574" t="s">
        <v>8</v>
      </c>
      <c r="W14" s="1575">
        <f t="shared" si="2"/>
        <v>100</v>
      </c>
      <c r="X14" s="1568"/>
      <c r="Y14" s="335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59"/>
      <c r="Q15" s="1573"/>
      <c r="R15" s="1574"/>
      <c r="S15" s="1575"/>
      <c r="T15" s="1574"/>
      <c r="U15" s="1575"/>
      <c r="V15" s="1574"/>
      <c r="W15" s="1575"/>
      <c r="X15" s="1568"/>
      <c r="Y15" s="3359"/>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59"/>
      <c r="Q16" s="1573" t="str">
        <f>B16</f>
        <v>公共配套设施</v>
      </c>
      <c r="R16" s="1574" t="s">
        <v>8</v>
      </c>
      <c r="S16" s="1575">
        <f>F16</f>
        <v>100</v>
      </c>
      <c r="T16" s="1574" t="s">
        <v>8</v>
      </c>
      <c r="U16" s="1575">
        <f>H16</f>
        <v>100</v>
      </c>
      <c r="V16" s="1574" t="s">
        <v>8</v>
      </c>
      <c r="W16" s="1575">
        <f>J16</f>
        <v>100</v>
      </c>
      <c r="X16" s="1568"/>
      <c r="Y16" s="335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59"/>
      <c r="Q17" s="1573"/>
      <c r="R17" s="1574"/>
      <c r="S17" s="1575"/>
      <c r="T17" s="1574"/>
      <c r="U17" s="1575"/>
      <c r="V17" s="1574"/>
      <c r="W17" s="1575"/>
      <c r="X17" s="1568"/>
      <c r="Y17" s="3359"/>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59"/>
      <c r="Q18" s="2559" t="str">
        <f>B18</f>
        <v>基础设施水平</v>
      </c>
      <c r="R18" s="1574" t="s">
        <v>8</v>
      </c>
      <c r="S18" s="1575">
        <f>F18</f>
        <v>100</v>
      </c>
      <c r="T18" s="1574" t="s">
        <v>8</v>
      </c>
      <c r="U18" s="1575">
        <f>H18</f>
        <v>100</v>
      </c>
      <c r="V18" s="1574" t="s">
        <v>8</v>
      </c>
      <c r="W18" s="1575">
        <f>J18</f>
        <v>100</v>
      </c>
      <c r="X18" s="2561"/>
      <c r="Y18" s="3359"/>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59"/>
      <c r="Q19" s="2559"/>
      <c r="R19" s="1574"/>
      <c r="S19" s="1575"/>
      <c r="T19" s="1574"/>
      <c r="U19" s="1575"/>
      <c r="V19" s="1574"/>
      <c r="W19" s="1575"/>
      <c r="X19" s="2561"/>
      <c r="Y19" s="3359"/>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59"/>
      <c r="Q20" s="1573" t="str">
        <f>B20</f>
        <v>自然及人文环境</v>
      </c>
      <c r="R20" s="1574" t="s">
        <v>8</v>
      </c>
      <c r="S20" s="1575">
        <f>F20</f>
        <v>100</v>
      </c>
      <c r="T20" s="1574" t="s">
        <v>8</v>
      </c>
      <c r="U20" s="1575">
        <f>H20</f>
        <v>100</v>
      </c>
      <c r="V20" s="1574" t="s">
        <v>8</v>
      </c>
      <c r="W20" s="1575">
        <f>J20</f>
        <v>100</v>
      </c>
      <c r="X20" s="1568"/>
      <c r="Y20" s="335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59"/>
      <c r="Q21" s="1573"/>
      <c r="R21" s="1574"/>
      <c r="S21" s="1575"/>
      <c r="T21" s="1574"/>
      <c r="U21" s="1575"/>
      <c r="V21" s="1574"/>
      <c r="W21" s="1575"/>
      <c r="X21" s="1568"/>
      <c r="Y21" s="335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59"/>
      <c r="Q22" s="1573" t="str">
        <f>B22</f>
        <v>楼层</v>
      </c>
      <c r="R22" s="1574" t="s">
        <v>8</v>
      </c>
      <c r="S22" s="1575">
        <f>F22</f>
        <v>100</v>
      </c>
      <c r="T22" s="1574" t="s">
        <v>8</v>
      </c>
      <c r="U22" s="1575">
        <f>H22</f>
        <v>100</v>
      </c>
      <c r="V22" s="1574" t="s">
        <v>8</v>
      </c>
      <c r="W22" s="1575">
        <f>J22</f>
        <v>100</v>
      </c>
      <c r="X22" s="1568"/>
      <c r="Y22" s="335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59"/>
      <c r="Q23" s="1573">
        <f>B23</f>
        <v>111</v>
      </c>
      <c r="R23" s="1574" t="s">
        <v>8</v>
      </c>
      <c r="S23" s="1575">
        <f>F23</f>
        <v>100</v>
      </c>
      <c r="T23" s="1574" t="s">
        <v>8</v>
      </c>
      <c r="U23" s="1575">
        <f>H23</f>
        <v>100</v>
      </c>
      <c r="V23" s="1574" t="s">
        <v>8</v>
      </c>
      <c r="W23" s="1575">
        <f>J23</f>
        <v>100</v>
      </c>
      <c r="X23" s="1568"/>
      <c r="Y23" s="335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59"/>
      <c r="Q24" s="1573">
        <f t="shared" ref="Q24:Q34" si="11">B24</f>
        <v>111</v>
      </c>
      <c r="R24" s="1574" t="s">
        <v>8</v>
      </c>
      <c r="S24" s="1575">
        <f>F24</f>
        <v>100</v>
      </c>
      <c r="T24" s="1574" t="s">
        <v>8</v>
      </c>
      <c r="U24" s="1575">
        <f>H24</f>
        <v>100</v>
      </c>
      <c r="V24" s="1574" t="s">
        <v>8</v>
      </c>
      <c r="W24" s="1575">
        <f>J24</f>
        <v>100</v>
      </c>
      <c r="X24" s="1568"/>
      <c r="Y24" s="335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59"/>
      <c r="Q25" s="1151">
        <f t="shared" si="11"/>
        <v>111</v>
      </c>
      <c r="R25" s="1569" t="s">
        <v>8</v>
      </c>
      <c r="S25" s="1570">
        <f>F25</f>
        <v>100</v>
      </c>
      <c r="T25" s="1569" t="s">
        <v>8</v>
      </c>
      <c r="U25" s="1570">
        <f>H25</f>
        <v>100</v>
      </c>
      <c r="V25" s="1569" t="s">
        <v>8</v>
      </c>
      <c r="W25" s="1570">
        <f>J25</f>
        <v>100</v>
      </c>
      <c r="X25" s="1571"/>
      <c r="Y25" s="3359"/>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1"/>
      <c r="Q27" s="1606" t="str">
        <f t="shared" si="11"/>
        <v>成新率</v>
      </c>
      <c r="R27" s="1578" t="s">
        <v>8</v>
      </c>
      <c r="S27" s="1579" t="e">
        <f t="shared" si="12"/>
        <v>#N/A</v>
      </c>
      <c r="T27" s="1578" t="s">
        <v>8</v>
      </c>
      <c r="U27" s="1579" t="e">
        <f t="shared" si="13"/>
        <v>#N/A</v>
      </c>
      <c r="V27" s="1578" t="s">
        <v>8</v>
      </c>
      <c r="W27" s="1579" t="e">
        <f t="shared" si="14"/>
        <v>#N/A</v>
      </c>
      <c r="X27" s="1580"/>
      <c r="Y27" s="336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1"/>
      <c r="Q28" s="1573" t="str">
        <f t="shared" si="11"/>
        <v>物业等级</v>
      </c>
      <c r="R28" s="1574" t="s">
        <v>8</v>
      </c>
      <c r="S28" s="1575">
        <f t="shared" si="12"/>
        <v>100</v>
      </c>
      <c r="T28" s="1574" t="s">
        <v>8</v>
      </c>
      <c r="U28" s="1575">
        <f t="shared" si="13"/>
        <v>100</v>
      </c>
      <c r="V28" s="1574" t="s">
        <v>8</v>
      </c>
      <c r="W28" s="1575">
        <f t="shared" si="14"/>
        <v>100</v>
      </c>
      <c r="X28" s="1568"/>
      <c r="Y28" s="336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1"/>
      <c r="Q29" s="1573" t="str">
        <f t="shared" si="11"/>
        <v>有无电梯</v>
      </c>
      <c r="R29" s="1574" t="s">
        <v>8</v>
      </c>
      <c r="S29" s="1575">
        <f t="shared" si="12"/>
        <v>100</v>
      </c>
      <c r="T29" s="1574" t="s">
        <v>8</v>
      </c>
      <c r="U29" s="1575">
        <f t="shared" si="13"/>
        <v>100</v>
      </c>
      <c r="V29" s="1574" t="s">
        <v>8</v>
      </c>
      <c r="W29" s="1575">
        <f t="shared" si="14"/>
        <v>100</v>
      </c>
      <c r="X29" s="1568"/>
      <c r="Y29" s="336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1"/>
      <c r="Q30" s="1573" t="str">
        <f t="shared" si="11"/>
        <v>建筑面积</v>
      </c>
      <c r="R30" s="1574" t="s">
        <v>8</v>
      </c>
      <c r="S30" s="1575" t="e">
        <f t="shared" si="12"/>
        <v>#N/A</v>
      </c>
      <c r="T30" s="1574" t="s">
        <v>8</v>
      </c>
      <c r="U30" s="1575" t="e">
        <f t="shared" si="13"/>
        <v>#N/A</v>
      </c>
      <c r="V30" s="1574" t="s">
        <v>8</v>
      </c>
      <c r="W30" s="1575" t="e">
        <f t="shared" si="14"/>
        <v>#N/A</v>
      </c>
      <c r="X30" s="1568"/>
      <c r="Y30" s="336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1"/>
      <c r="Q31" s="1151" t="str">
        <f t="shared" si="11"/>
        <v>是否封闭</v>
      </c>
      <c r="R31" s="1569" t="s">
        <v>8</v>
      </c>
      <c r="S31" s="1570">
        <f t="shared" si="12"/>
        <v>100</v>
      </c>
      <c r="T31" s="1569" t="s">
        <v>8</v>
      </c>
      <c r="U31" s="1570">
        <f t="shared" si="13"/>
        <v>100</v>
      </c>
      <c r="V31" s="1569" t="s">
        <v>8</v>
      </c>
      <c r="W31" s="1570">
        <f t="shared" si="14"/>
        <v>100</v>
      </c>
      <c r="X31" s="1571"/>
      <c r="Y31" s="336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1" t="s">
        <v>550</v>
      </c>
      <c r="Q32" s="1573">
        <f t="shared" si="11"/>
        <v>111</v>
      </c>
      <c r="R32" s="1574" t="s">
        <v>8</v>
      </c>
      <c r="S32" s="1575">
        <f t="shared" si="12"/>
        <v>100</v>
      </c>
      <c r="T32" s="1574" t="s">
        <v>8</v>
      </c>
      <c r="U32" s="1575">
        <f t="shared" si="13"/>
        <v>100</v>
      </c>
      <c r="V32" s="1574" t="s">
        <v>8</v>
      </c>
      <c r="W32" s="1575">
        <f t="shared" si="14"/>
        <v>100</v>
      </c>
      <c r="X32" s="1568"/>
      <c r="Y32" s="336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1"/>
      <c r="Q33" s="1573">
        <f t="shared" si="11"/>
        <v>111</v>
      </c>
      <c r="R33" s="1574" t="s">
        <v>8</v>
      </c>
      <c r="S33" s="1575">
        <f t="shared" si="12"/>
        <v>100</v>
      </c>
      <c r="T33" s="1574" t="s">
        <v>8</v>
      </c>
      <c r="U33" s="1575">
        <f t="shared" si="13"/>
        <v>100</v>
      </c>
      <c r="V33" s="1574" t="s">
        <v>8</v>
      </c>
      <c r="W33" s="1575">
        <f t="shared" si="14"/>
        <v>100</v>
      </c>
      <c r="X33" s="1568"/>
      <c r="Y33" s="336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1"/>
      <c r="Q34" s="1573">
        <f t="shared" si="11"/>
        <v>111</v>
      </c>
      <c r="R34" s="1574" t="s">
        <v>8</v>
      </c>
      <c r="S34" s="1575">
        <f t="shared" si="12"/>
        <v>100</v>
      </c>
      <c r="T34" s="1574" t="s">
        <v>8</v>
      </c>
      <c r="U34" s="1575">
        <f t="shared" si="13"/>
        <v>100</v>
      </c>
      <c r="V34" s="1574" t="s">
        <v>8</v>
      </c>
      <c r="W34" s="1575">
        <f t="shared" si="14"/>
        <v>100</v>
      </c>
      <c r="X34" s="1568"/>
      <c r="Y34" s="3361"/>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56" t="str">
        <f>A35</f>
        <v>成交单价（元/平方米）</v>
      </c>
      <c r="Q35" s="3356"/>
      <c r="R35" s="3457">
        <f>E35</f>
        <v>0</v>
      </c>
      <c r="S35" s="3457"/>
      <c r="T35" s="3457">
        <f>G35</f>
        <v>0</v>
      </c>
      <c r="U35" s="3457"/>
      <c r="V35" s="3457">
        <f>I35</f>
        <v>0</v>
      </c>
      <c r="W35" s="3457"/>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56" t="str">
        <f>A36</f>
        <v>比较价格（元/平方米）</v>
      </c>
      <c r="Q36" s="33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77" t="str">
        <f>A37</f>
        <v>估价对象XX用房的比较价格（楼面单价，元/平方米）</v>
      </c>
      <c r="Q37" s="3378"/>
      <c r="R37" s="3456" t="e">
        <f>IF(F1="售价",ROUND(AVERAGE(R36:V36),0),ROUND(AVERAGE(R36:V36),1))</f>
        <v>#DIV/0!</v>
      </c>
      <c r="S37" s="3456"/>
      <c r="T37" s="3456"/>
      <c r="U37" s="3456"/>
      <c r="V37" s="3456"/>
      <c r="W37" s="345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2019-1</v>
      </c>
      <c r="D46" s="2783">
        <f>EDATE(C46,-1)</f>
        <v>43435</v>
      </c>
      <c r="E46" s="2783">
        <f t="shared" ref="E46:O46" si="16">EDATE(D46,-1)</f>
        <v>43405</v>
      </c>
      <c r="F46" s="2783">
        <f t="shared" si="16"/>
        <v>43374</v>
      </c>
      <c r="G46" s="2783">
        <f t="shared" si="16"/>
        <v>43344</v>
      </c>
      <c r="H46" s="2783">
        <f t="shared" si="16"/>
        <v>43313</v>
      </c>
      <c r="I46" s="2783">
        <f t="shared" si="16"/>
        <v>43282</v>
      </c>
      <c r="J46" s="2783">
        <f t="shared" si="16"/>
        <v>43252</v>
      </c>
      <c r="K46" s="2783">
        <f t="shared" si="16"/>
        <v>43221</v>
      </c>
      <c r="L46" s="2783">
        <f t="shared" si="16"/>
        <v>43191</v>
      </c>
      <c r="M46" s="2783">
        <f t="shared" si="16"/>
        <v>43160</v>
      </c>
      <c r="N46" s="2783">
        <f t="shared" si="16"/>
        <v>43132</v>
      </c>
      <c r="O46" s="2783">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103456.5平方米。根据《建设工程规划许可证》[]、《出让合同》[]，估价对象规划建筑面积为310569.6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2019年1月22日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根据《国有土地使用证》[]，估价对象（分摊）出让国有建设用地使用权面积为103456.5平方米。根据《建设工程规划许可证》[]、《出让合同》[]，估价对象规划建筑面积为310569.6平方米。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1月22日，在规划利用条件下、设定土地开发程度为红线外“七通”、宗地内场地，设定用途为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66" t="s">
        <v>2305</v>
      </c>
      <c r="D1" s="3467"/>
      <c r="E1" s="3467"/>
      <c r="F1" s="3467"/>
      <c r="G1" s="3467"/>
      <c r="H1" s="3467"/>
      <c r="I1" s="3467"/>
      <c r="J1" s="3467"/>
      <c r="K1" s="3467"/>
      <c r="L1" s="3467"/>
      <c r="M1" s="3467"/>
      <c r="N1" s="3467"/>
      <c r="O1" s="3467"/>
      <c r="P1" s="3467"/>
      <c r="Q1" s="3467"/>
      <c r="R1" s="3467"/>
      <c r="S1" s="3468"/>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3" t="s">
        <v>20</v>
      </c>
      <c r="D22" s="3464"/>
      <c r="E22" s="3464"/>
      <c r="F22" s="3464"/>
      <c r="G22" s="3464"/>
      <c r="H22" s="3464"/>
      <c r="I22" s="3464"/>
      <c r="J22" s="3464"/>
      <c r="K22" s="3464"/>
      <c r="L22" s="3464"/>
      <c r="M22" s="3464"/>
      <c r="N22" s="3464"/>
      <c r="O22" s="3464"/>
      <c r="P22" s="3464"/>
      <c r="Q22" s="346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43487</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8" sqref="A8"/>
    </sheetView>
  </sheetViews>
  <sheetFormatPr defaultRowHeight="13.5"/>
  <cols>
    <col min="1" max="1" width="35.625" customWidth="1"/>
  </cols>
  <sheetData>
    <row r="1" spans="1:1">
      <c r="A1" s="3485" t="s">
        <v>3186</v>
      </c>
    </row>
    <row r="2" spans="1:1">
      <c r="A2" s="3485" t="s">
        <v>3187</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0" t="s">
        <v>2039</v>
      </c>
      <c r="B1" s="3180"/>
      <c r="C1" s="3180"/>
      <c r="D1" s="3180"/>
      <c r="E1" s="3180"/>
      <c r="F1" s="3180"/>
      <c r="G1" s="3180"/>
      <c r="H1" s="3180"/>
      <c r="I1" s="3180"/>
      <c r="J1" s="3180"/>
      <c r="K1" s="3180"/>
      <c r="L1" s="3180"/>
      <c r="M1" s="3180"/>
      <c r="N1" s="3180"/>
      <c r="O1" s="3180"/>
      <c r="P1" s="3180"/>
      <c r="Q1" s="3180"/>
      <c r="R1" s="3180"/>
    </row>
    <row r="2" spans="1:18">
      <c r="A2" s="1808" t="s">
        <v>2041</v>
      </c>
      <c r="B2" s="1808"/>
      <c r="C2" s="1808"/>
      <c r="D2" s="1808"/>
      <c r="E2" s="1808"/>
      <c r="F2" s="1808"/>
      <c r="G2" s="1808"/>
      <c r="H2" s="1808"/>
      <c r="I2" s="1809"/>
      <c r="J2" s="1809"/>
      <c r="K2" s="1810" t="str">
        <f>"估价期日："&amp;TEXT(项目基本情况!D3,"yyyy年m月d日;;")</f>
        <v>估价期日：2019年1月22日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1" t="s">
        <v>2030</v>
      </c>
      <c r="B3" s="3181" t="s">
        <v>2732</v>
      </c>
      <c r="C3" s="3182" t="s">
        <v>2031</v>
      </c>
      <c r="D3" s="3181" t="s">
        <v>2736</v>
      </c>
      <c r="E3" s="3176" t="s">
        <v>2032</v>
      </c>
      <c r="F3" s="3176"/>
      <c r="G3" s="3176"/>
      <c r="H3" s="3176" t="s">
        <v>2033</v>
      </c>
      <c r="I3" s="3176"/>
      <c r="J3" s="3176"/>
      <c r="K3" s="3182" t="s">
        <v>2034</v>
      </c>
      <c r="L3" s="3182" t="s">
        <v>2035</v>
      </c>
      <c r="M3" s="3181" t="s">
        <v>2733</v>
      </c>
      <c r="N3" s="3183" t="str">
        <f>"（分摊）"&amp;项目基本情况!B16&amp;"国有建设用地使用权面积/㎡"</f>
        <v>（分摊）出让国有建设用地使用权面积/㎡</v>
      </c>
      <c r="O3" s="3181" t="s">
        <v>2064</v>
      </c>
      <c r="P3" s="3182" t="s">
        <v>2044</v>
      </c>
      <c r="Q3" s="3182" t="s">
        <v>2065</v>
      </c>
      <c r="R3" s="3182" t="s">
        <v>2036</v>
      </c>
    </row>
    <row r="4" spans="1:18" ht="36.75" customHeight="1">
      <c r="A4" s="3181"/>
      <c r="B4" s="3181"/>
      <c r="C4" s="3182"/>
      <c r="D4" s="3181"/>
      <c r="E4" s="2629" t="s">
        <v>2043</v>
      </c>
      <c r="F4" s="2629" t="s">
        <v>2745</v>
      </c>
      <c r="G4" s="2629" t="s">
        <v>2037</v>
      </c>
      <c r="H4" s="2629" t="s">
        <v>2038</v>
      </c>
      <c r="I4" s="2629" t="s">
        <v>2746</v>
      </c>
      <c r="J4" s="2629" t="s">
        <v>2037</v>
      </c>
      <c r="K4" s="3182"/>
      <c r="L4" s="3182"/>
      <c r="M4" s="3181"/>
      <c r="N4" s="3183"/>
      <c r="O4" s="3181"/>
      <c r="P4" s="3182"/>
      <c r="Q4" s="3182"/>
      <c r="R4" s="3182"/>
    </row>
    <row r="5" spans="1:18" ht="135" customHeight="1">
      <c r="A5" s="1944" t="s">
        <v>2656</v>
      </c>
      <c r="B5" s="2846" t="s">
        <v>2654</v>
      </c>
      <c r="C5" s="2628">
        <v>22</v>
      </c>
      <c r="D5" s="2627" t="s">
        <v>2655</v>
      </c>
      <c r="E5" s="1811" t="str">
        <f>项目基本情况!B12</f>
        <v>商业</v>
      </c>
      <c r="F5" s="2627">
        <v>258</v>
      </c>
      <c r="G5" s="1811" t="str">
        <f>项目基本情况!B13</f>
        <v>商业</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103456.5</v>
      </c>
      <c r="O5" s="1811">
        <f>项目基本情况!C21</f>
        <v>310569.59999999998</v>
      </c>
      <c r="P5" s="1811">
        <f ca="1">结果表!E42</f>
        <v>2535</v>
      </c>
      <c r="Q5" s="1811">
        <f ca="1">结果表!D42</f>
        <v>845</v>
      </c>
      <c r="R5" s="1812">
        <f ca="1">结果表!C42</f>
        <v>26229</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1813">
        <f ca="1">结果表!O39</f>
        <v>26229</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1813" t="str">
        <f>结果表!O40</f>
        <v>——</v>
      </c>
    </row>
    <row r="8" spans="1:18">
      <c r="A8" s="3177">
        <f>IF(项目基本情况!B9="市场价格","——",项目基本情况!E9)</f>
        <v>0</v>
      </c>
      <c r="B8" s="3178"/>
      <c r="C8" s="3178"/>
      <c r="D8" s="3178"/>
      <c r="E8" s="3178"/>
      <c r="F8" s="3178"/>
      <c r="G8" s="3178"/>
      <c r="H8" s="3178"/>
      <c r="I8" s="3178"/>
      <c r="J8" s="3178"/>
      <c r="K8" s="3178"/>
      <c r="L8" s="3178"/>
      <c r="M8" s="3178"/>
      <c r="N8" s="3178"/>
      <c r="O8" s="3178"/>
      <c r="P8" s="3178"/>
      <c r="Q8" s="317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4" t="s">
        <v>2066</v>
      </c>
      <c r="B1" s="3184"/>
      <c r="C1" s="3184"/>
      <c r="D1" s="3184"/>
    </row>
    <row r="2" spans="1:4" ht="47.25" customHeight="1">
      <c r="A2" s="3188" t="str">
        <f>"1.权利限制："&amp;项目基本情况!L24&amp;"未设定租赁等其他他项权利。"</f>
        <v>1.权利限制：根据估价对象《不动产权证书》原件、《国有土地使用权》复印件，截至估价期日，估价对象抵押权未见登记。未设定租赁等其他他项权利。</v>
      </c>
      <c r="B2" s="3188"/>
      <c r="C2" s="3188"/>
      <c r="D2" s="3188"/>
    </row>
    <row r="3" spans="1:4" ht="48" customHeight="1">
      <c r="A3" s="31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4"/>
      <c r="C3" s="3184"/>
      <c r="D3" s="3184"/>
    </row>
    <row r="4" spans="1:4" ht="36.75" customHeight="1">
      <c r="A4" s="3184" t="str">
        <f>"3.估价规划限制条件：详见"&amp;项目基本情况!E21&amp;"。"</f>
        <v>3.估价规划限制条件：详见《建设工程规划许可证》[]、《出让合同》[]。</v>
      </c>
      <c r="B4" s="3184"/>
      <c r="C4" s="3184"/>
      <c r="D4" s="3184"/>
    </row>
    <row r="5" spans="1:4">
      <c r="A5" s="3187" t="s">
        <v>2067</v>
      </c>
      <c r="B5" s="3187"/>
      <c r="C5" s="3187"/>
      <c r="D5" s="3187"/>
    </row>
    <row r="6" spans="1:4">
      <c r="A6" s="3184" t="s">
        <v>2045</v>
      </c>
      <c r="B6" s="3184"/>
      <c r="C6" s="3184"/>
      <c r="D6" s="3184"/>
    </row>
    <row r="7" spans="1:4" ht="33" customHeight="1">
      <c r="A7" s="3184" t="s">
        <v>2576</v>
      </c>
      <c r="B7" s="3184"/>
      <c r="C7" s="3184"/>
      <c r="D7" s="3184"/>
    </row>
    <row r="8" spans="1:4" ht="32.25" customHeight="1">
      <c r="A8" s="31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4"/>
      <c r="C8" s="3184"/>
      <c r="D8" s="3184"/>
    </row>
    <row r="9" spans="1:4" ht="33.75" customHeight="1">
      <c r="A9" s="31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4"/>
      <c r="C9" s="3184"/>
      <c r="D9" s="3184"/>
    </row>
    <row r="10" spans="1:4">
      <c r="A10" s="3184" t="str">
        <f>IF(项目基本情况!B8="抵押","4.估价师所知悉的法定优先受偿款情况为：","——")</f>
        <v>4.估价师所知悉的法定优先受偿款情况为：</v>
      </c>
      <c r="B10" s="3184"/>
      <c r="C10" s="3184"/>
      <c r="D10" s="3184"/>
    </row>
    <row r="11" spans="1:4" ht="37.5" customHeight="1">
      <c r="A11" s="31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6"/>
      <c r="C11" s="3186"/>
      <c r="D11" s="3186"/>
    </row>
    <row r="12" spans="1:4" ht="168" customHeight="1">
      <c r="A12" s="3187" t="s">
        <v>2069</v>
      </c>
      <c r="B12" s="3187"/>
      <c r="C12" s="3187"/>
      <c r="D12" s="3187"/>
    </row>
    <row r="13" spans="1:4">
      <c r="A13" s="3185" t="s">
        <v>2747</v>
      </c>
      <c r="B13" s="3185"/>
      <c r="C13" s="3185"/>
      <c r="D13" s="3185"/>
    </row>
    <row r="14" spans="1:4">
      <c r="A14" s="3186" t="str">
        <f>IF(项目基本情况!B8="抵押","综上，"&amp;结果表!K47,"——")</f>
        <v>综上，本次评估不存在估价师知悉的法定优先受偿款</v>
      </c>
      <c r="B14" s="3186"/>
      <c r="C14" s="3186"/>
      <c r="D14" s="3186"/>
    </row>
    <row r="15" spans="1:4" ht="58.5" customHeight="1">
      <c r="A15" s="31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4"/>
      <c r="C15" s="3184"/>
      <c r="D15" s="3184"/>
    </row>
    <row r="16" spans="1:4" ht="70.5" customHeight="1">
      <c r="A16" s="31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4"/>
      <c r="C16" s="3184"/>
      <c r="D16" s="3184"/>
    </row>
    <row r="17" spans="1:4">
      <c r="A17" s="3184" t="s">
        <v>2703</v>
      </c>
      <c r="B17" s="3184"/>
      <c r="C17" s="3184"/>
      <c r="D17" s="3184"/>
    </row>
    <row r="18" spans="1:4">
      <c r="A18" s="3184" t="s">
        <v>2695</v>
      </c>
      <c r="B18" s="3184"/>
      <c r="C18" s="3184"/>
      <c r="D18" s="3184"/>
    </row>
    <row r="19" spans="1:4">
      <c r="A19" s="2847" t="s">
        <v>2696</v>
      </c>
      <c r="B19" s="2847" t="s">
        <v>2697</v>
      </c>
      <c r="C19" s="2847" t="s">
        <v>2698</v>
      </c>
      <c r="D19" s="2847" t="s">
        <v>2699</v>
      </c>
    </row>
    <row r="20" spans="1:4">
      <c r="A20" s="2847" t="str">
        <f>项目基本情况!B4</f>
        <v>苏海</v>
      </c>
      <c r="B20" s="2847">
        <f ca="1">项目基本情况!C4</f>
        <v>98030020</v>
      </c>
      <c r="C20" s="2849"/>
      <c r="D20" s="1801" t="s">
        <v>2704</v>
      </c>
    </row>
    <row r="21" spans="1:4">
      <c r="A21" s="2847" t="str">
        <f>项目基本情况!D4</f>
        <v>郑燚</v>
      </c>
      <c r="B21" s="2847">
        <f ca="1">项目基本情况!E4</f>
        <v>2014110011</v>
      </c>
      <c r="C21" s="2849"/>
      <c r="D21" s="1801" t="s">
        <v>2705</v>
      </c>
    </row>
    <row r="23" spans="1:4">
      <c r="A23" s="3184" t="s">
        <v>2700</v>
      </c>
      <c r="B23" s="3184"/>
      <c r="C23" s="3184"/>
      <c r="D23" s="3184"/>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6" t="s">
        <v>53</v>
      </c>
      <c r="B15" s="3197" t="s">
        <v>846</v>
      </c>
      <c r="C15" s="3193"/>
    </row>
    <row r="16" spans="1:7" ht="14.25">
      <c r="A16" s="3196"/>
      <c r="B16" s="3194" t="s">
        <v>54</v>
      </c>
      <c r="C16" s="1172" t="s">
        <v>53</v>
      </c>
    </row>
    <row r="17" spans="1:3" ht="14.25">
      <c r="A17" s="3196"/>
      <c r="B17" s="3194"/>
      <c r="C17" s="1172" t="s">
        <v>55</v>
      </c>
    </row>
    <row r="18" spans="1:3" ht="14.25">
      <c r="A18" s="3196"/>
      <c r="B18" s="3194"/>
      <c r="C18" s="1172" t="s">
        <v>56</v>
      </c>
    </row>
    <row r="19" spans="1:3" ht="14.25">
      <c r="A19" s="3196"/>
      <c r="B19" s="3192" t="s">
        <v>57</v>
      </c>
      <c r="C19" s="3193"/>
    </row>
    <row r="20" spans="1:3" ht="14.25">
      <c r="A20" s="1173" t="s">
        <v>58</v>
      </c>
      <c r="B20" s="1174"/>
      <c r="C20" s="1175"/>
    </row>
    <row r="21" spans="1:3" ht="14.25">
      <c r="A21" s="3195" t="s">
        <v>59</v>
      </c>
      <c r="B21" s="3192" t="s">
        <v>60</v>
      </c>
      <c r="C21" s="3193"/>
    </row>
    <row r="22" spans="1:3" ht="14.25">
      <c r="A22" s="3195"/>
      <c r="B22" s="3192" t="s">
        <v>61</v>
      </c>
      <c r="C22" s="3193"/>
    </row>
    <row r="23" spans="1:3" ht="14.25">
      <c r="A23" s="3195"/>
      <c r="B23" s="3192" t="s">
        <v>62</v>
      </c>
      <c r="C23" s="3193"/>
    </row>
    <row r="24" spans="1:3" ht="14.25">
      <c r="A24" s="3195"/>
      <c r="B24" s="3198" t="s">
        <v>63</v>
      </c>
      <c r="C24" s="1176" t="s">
        <v>837</v>
      </c>
    </row>
    <row r="25" spans="1:3" ht="14.25">
      <c r="A25" s="3195"/>
      <c r="B25" s="3199"/>
      <c r="C25" s="1176" t="s">
        <v>838</v>
      </c>
    </row>
    <row r="26" spans="1:3" ht="14.25">
      <c r="A26" s="3195"/>
      <c r="B26" s="3199"/>
      <c r="C26" s="1176" t="s">
        <v>839</v>
      </c>
    </row>
    <row r="27" spans="1:3" ht="14.25">
      <c r="A27" s="3195"/>
      <c r="B27" s="3199"/>
      <c r="C27" s="1176" t="s">
        <v>840</v>
      </c>
    </row>
    <row r="28" spans="1:3" ht="14.25">
      <c r="A28" s="3195"/>
      <c r="B28" s="3199"/>
      <c r="C28" s="1176" t="s">
        <v>841</v>
      </c>
    </row>
    <row r="29" spans="1:3" ht="14.25">
      <c r="A29" s="3195"/>
      <c r="B29" s="3199"/>
      <c r="C29" s="1176" t="s">
        <v>842</v>
      </c>
    </row>
    <row r="30" spans="1:3" ht="14.25">
      <c r="A30" s="3195"/>
      <c r="B30" s="3199"/>
      <c r="C30" s="1176" t="s">
        <v>843</v>
      </c>
    </row>
    <row r="31" spans="1:3" ht="14.25">
      <c r="A31" s="3195"/>
      <c r="B31" s="3199"/>
      <c r="C31" s="1176" t="s">
        <v>844</v>
      </c>
    </row>
    <row r="32" spans="1:3" ht="14.25">
      <c r="A32" s="3195"/>
      <c r="B32" s="3199"/>
      <c r="C32" s="1176" t="s">
        <v>1647</v>
      </c>
    </row>
    <row r="33" spans="1:3" ht="14.25">
      <c r="A33" s="3195"/>
      <c r="B33" s="3189" t="s">
        <v>1653</v>
      </c>
      <c r="C33" s="1176" t="s">
        <v>1648</v>
      </c>
    </row>
    <row r="34" spans="1:3" ht="14.25">
      <c r="A34" s="3195"/>
      <c r="B34" s="3190"/>
      <c r="C34" s="1181" t="s">
        <v>1649</v>
      </c>
    </row>
    <row r="35" spans="1:3" ht="14.25">
      <c r="A35" s="3195"/>
      <c r="B35" s="3190"/>
      <c r="C35" s="1182" t="s">
        <v>1650</v>
      </c>
    </row>
    <row r="36" spans="1:3" ht="14.25">
      <c r="A36" s="3195"/>
      <c r="B36" s="3190"/>
      <c r="C36" s="1182" t="s">
        <v>1651</v>
      </c>
    </row>
    <row r="37" spans="1:3" ht="14.25">
      <c r="A37" s="3195"/>
      <c r="B37" s="319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43487</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2985</v>
      </c>
      <c r="B14" s="3156">
        <f ca="1">IF(C14&lt;B2,"已过期",1120040230)</f>
        <v>1120040230</v>
      </c>
      <c r="C14" s="3160">
        <v>43835</v>
      </c>
      <c r="D14" s="3161" t="s">
        <v>2986</v>
      </c>
      <c r="E14" s="3156">
        <f ca="1">IF(F14&lt;B2,"已过期",98030020)</f>
        <v>98030020</v>
      </c>
      <c r="F14" s="3159">
        <v>47118</v>
      </c>
    </row>
    <row r="15" spans="1:6" ht="20.25" customHeight="1">
      <c r="A15" s="3156" t="s">
        <v>2575</v>
      </c>
      <c r="B15" s="3156">
        <f ca="1">IF(C15&lt;B2,"已过期",1120070085)</f>
        <v>1120070085</v>
      </c>
      <c r="C15" s="3160">
        <v>43814</v>
      </c>
      <c r="D15" s="3156" t="s">
        <v>2987</v>
      </c>
      <c r="E15" s="3156">
        <f ca="1">IF(F15&lt;B2,"已过期",2004110128)</f>
        <v>2004110128</v>
      </c>
      <c r="F15" s="3162">
        <v>47118</v>
      </c>
    </row>
    <row r="16" spans="1:6" ht="20.25" customHeight="1">
      <c r="A16" s="3156" t="s">
        <v>1924</v>
      </c>
      <c r="B16" s="3156">
        <f ca="1">IF(C16&lt;B2,"已过期",1120140022)</f>
        <v>1120140022</v>
      </c>
      <c r="C16" s="3158">
        <v>44029</v>
      </c>
      <c r="D16" s="3156" t="s">
        <v>2988</v>
      </c>
      <c r="E16" s="3156">
        <f ca="1">IF(F16&lt;B2,"已过期",2008110059)</f>
        <v>2008110059</v>
      </c>
      <c r="F16" s="3159">
        <v>47177</v>
      </c>
    </row>
    <row r="17" spans="1:7" ht="20.25" customHeight="1">
      <c r="A17" s="3156"/>
      <c r="B17" s="3156"/>
      <c r="C17" s="3158"/>
      <c r="D17" s="3161" t="s">
        <v>2989</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200" t="s">
        <v>1927</v>
      </c>
      <c r="B25" s="3200"/>
      <c r="C25" s="3200"/>
      <c r="D25" s="3200"/>
      <c r="E25" s="3200"/>
      <c r="F25" s="3200"/>
      <c r="G25" s="3200"/>
    </row>
    <row r="26" spans="1:7" ht="20.25" customHeight="1">
      <c r="A26" s="3201" t="s">
        <v>1928</v>
      </c>
      <c r="B26" s="3201"/>
      <c r="C26" s="3201"/>
      <c r="D26" s="3201" t="s">
        <v>1929</v>
      </c>
      <c r="E26" s="3201"/>
      <c r="F26" s="3201"/>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2947</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2959</v>
      </c>
      <c r="C18" s="1555"/>
    </row>
    <row r="19" spans="1:3">
      <c r="A19" s="8" t="s">
        <v>120</v>
      </c>
      <c r="B19" s="3088"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22日，在规划利用条件下、设定土地开发程度为红线外“七通”、宗地内场地，设定用途为商业，剩余土地使用年限为的出让国有建设用地使用权价格。</v>
      </c>
      <c r="D53" s="1768"/>
      <c r="E53" s="1768"/>
    </row>
    <row r="54" spans="1:5">
      <c r="A54" s="320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2019-01-22T05:43:33Z</dcterms:modified>
</cp:coreProperties>
</file>