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29"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面积" sheetId="68" r:id="rId41"/>
    <sheet name="市场案例" sheetId="69" r:id="rId42"/>
    <sheet name="土地案例"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2" i="39"/>
  <c r="C13"/>
  <c r="C11" i="21"/>
  <c r="B26" i="31" l="1"/>
  <c r="B25"/>
  <c r="B24"/>
  <c r="E4" i="68"/>
  <c r="E5"/>
  <c r="E3"/>
  <c r="D22"/>
  <c r="G48" i="39" l="1"/>
  <c r="E48"/>
  <c r="I48"/>
  <c r="I40"/>
  <c r="G40"/>
  <c r="E40"/>
  <c r="C40"/>
  <c r="C33" i="21"/>
  <c r="I33"/>
  <c r="G33"/>
  <c r="E33"/>
  <c r="C6"/>
  <c r="K14" i="3"/>
  <c r="G20" i="6" s="1"/>
  <c r="I13" i="3"/>
  <c r="F19" i="6" s="1"/>
  <c r="D5" i="68"/>
  <c r="D8"/>
  <c r="D4"/>
  <c r="D3"/>
  <c r="B8"/>
  <c r="B6"/>
  <c r="C5" s="1"/>
  <c r="C4" l="1"/>
  <c r="C3"/>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B9" i="67"/>
  <c r="F14"/>
  <c r="F9"/>
  <c r="E9"/>
  <c r="B10"/>
  <c r="B11"/>
  <c r="E8"/>
  <c r="F11"/>
  <c r="F13"/>
  <c r="B14"/>
  <c r="F12"/>
  <c r="E12"/>
  <c r="B8"/>
  <c r="B13"/>
  <c r="B12"/>
  <c r="E11"/>
  <c r="E10"/>
  <c r="F8"/>
  <c r="E14"/>
  <c r="E13"/>
  <c r="F10"/>
  <c r="K75" i="9" l="1"/>
  <c r="K6" i="4"/>
  <c r="O76" i="9" s="1"/>
  <c r="L76" l="1"/>
  <c r="K76"/>
  <c r="K77" s="1"/>
  <c r="K79"/>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I7" i="65"/>
  <c r="J7"/>
  <c r="N4"/>
  <c r="J4"/>
  <c r="I5"/>
  <c r="I4"/>
  <c r="I3"/>
  <c r="N3"/>
  <c r="N6"/>
  <c r="J5"/>
  <c r="J6"/>
  <c r="N5"/>
  <c r="J3"/>
  <c r="I6"/>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A2" i="9" s="1"/>
  <c r="K1" i="4"/>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AP11" s="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7" i="31"/>
  <c r="S27" s="1"/>
  <c r="R28"/>
  <c r="S28" s="1"/>
  <c r="R29"/>
  <c r="S29" s="1"/>
  <c r="R30"/>
  <c r="S30" s="1"/>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S78" s="1"/>
  <c r="R79"/>
  <c r="S79" s="1"/>
  <c r="R80"/>
  <c r="S80" s="1"/>
  <c r="R81"/>
  <c r="R82"/>
  <c r="S82" s="1"/>
  <c r="R83"/>
  <c r="S83" s="1"/>
  <c r="R84"/>
  <c r="S84" s="1"/>
  <c r="R85"/>
  <c r="R86"/>
  <c r="S86" s="1"/>
  <c r="R87"/>
  <c r="S87" s="1"/>
  <c r="R88"/>
  <c r="S88" s="1"/>
  <c r="R89"/>
  <c r="R90"/>
  <c r="S90" s="1"/>
  <c r="R91"/>
  <c r="S91" s="1"/>
  <c r="R92"/>
  <c r="S92" s="1"/>
  <c r="R93"/>
  <c r="R94"/>
  <c r="S94" s="1"/>
  <c r="R95"/>
  <c r="S95" s="1"/>
  <c r="R96"/>
  <c r="S96" s="1"/>
  <c r="R97"/>
  <c r="R98"/>
  <c r="S98" s="1"/>
  <c r="R99"/>
  <c r="R100"/>
  <c r="S100" s="1"/>
  <c r="R101"/>
  <c r="S101" s="1"/>
  <c r="R102"/>
  <c r="S102" s="1"/>
  <c r="R103"/>
  <c r="R104"/>
  <c r="S104" s="1"/>
  <c r="R105"/>
  <c r="S105" s="1"/>
  <c r="R106"/>
  <c r="S106" s="1"/>
  <c r="R107"/>
  <c r="R108"/>
  <c r="S108" s="1"/>
  <c r="R109"/>
  <c r="S109" s="1"/>
  <c r="R110"/>
  <c r="S110" s="1"/>
  <c r="R111"/>
  <c r="R112"/>
  <c r="S112" s="1"/>
  <c r="R113"/>
  <c r="S113" s="1"/>
  <c r="R114"/>
  <c r="S114" s="1"/>
  <c r="R115"/>
  <c r="R116"/>
  <c r="S116" s="1"/>
  <c r="R117"/>
  <c r="S117" s="1"/>
  <c r="R118"/>
  <c r="S118" s="1"/>
  <c r="R119"/>
  <c r="R120"/>
  <c r="S120" s="1"/>
  <c r="R121"/>
  <c r="S121" s="1"/>
  <c r="R122"/>
  <c r="S122" s="1"/>
  <c r="R123"/>
  <c r="S123" s="1"/>
  <c r="R124"/>
  <c r="S124" s="1"/>
  <c r="R125"/>
  <c r="R126"/>
  <c r="S126" s="1"/>
  <c r="R127"/>
  <c r="S127" s="1"/>
  <c r="R128"/>
  <c r="S128" s="1"/>
  <c r="R129"/>
  <c r="R130"/>
  <c r="S130" s="1"/>
  <c r="R131"/>
  <c r="S131" s="1"/>
  <c r="R132"/>
  <c r="S132" s="1"/>
  <c r="R133"/>
  <c r="R134"/>
  <c r="S134" s="1"/>
  <c r="R135"/>
  <c r="S135" s="1"/>
  <c r="R136"/>
  <c r="S136" s="1"/>
  <c r="R137"/>
  <c r="R138"/>
  <c r="S138" s="1"/>
  <c r="R139"/>
  <c r="S139" s="1"/>
  <c r="R140"/>
  <c r="S140" s="1"/>
  <c r="R141"/>
  <c r="R142"/>
  <c r="S142" s="1"/>
  <c r="R143"/>
  <c r="S143" s="1"/>
  <c r="R144"/>
  <c r="S144" s="1"/>
  <c r="R145"/>
  <c r="R146"/>
  <c r="S146" s="1"/>
  <c r="R147"/>
  <c r="S147" s="1"/>
  <c r="R148"/>
  <c r="S148" s="1"/>
  <c r="R149"/>
  <c r="R150"/>
  <c r="S150" s="1"/>
  <c r="R151"/>
  <c r="S151" s="1"/>
  <c r="R152"/>
  <c r="S152" s="1"/>
  <c r="R153"/>
  <c r="R154"/>
  <c r="S154" s="1"/>
  <c r="R155"/>
  <c r="S155" s="1"/>
  <c r="R156"/>
  <c r="S156" s="1"/>
  <c r="R157"/>
  <c r="R158"/>
  <c r="S158" s="1"/>
  <c r="R159"/>
  <c r="S159" s="1"/>
  <c r="R160"/>
  <c r="S160" s="1"/>
  <c r="R161"/>
  <c r="R162"/>
  <c r="S162" s="1"/>
  <c r="R163"/>
  <c r="S163" s="1"/>
  <c r="R164"/>
  <c r="S164" s="1"/>
  <c r="R165"/>
  <c r="R166"/>
  <c r="S166" s="1"/>
  <c r="R167"/>
  <c r="S167" s="1"/>
  <c r="R168"/>
  <c r="S168" s="1"/>
  <c r="R169"/>
  <c r="R170"/>
  <c r="S170" s="1"/>
  <c r="R171"/>
  <c r="S171" s="1"/>
  <c r="R172"/>
  <c r="S172" s="1"/>
  <c r="R173"/>
  <c r="R174"/>
  <c r="S174" s="1"/>
  <c r="R175"/>
  <c r="S175" s="1"/>
  <c r="R176"/>
  <c r="S176" s="1"/>
  <c r="R177"/>
  <c r="R178"/>
  <c r="S178" s="1"/>
  <c r="R179"/>
  <c r="S179" s="1"/>
  <c r="R180"/>
  <c r="S180" s="1"/>
  <c r="R181"/>
  <c r="R182"/>
  <c r="S182" s="1"/>
  <c r="R183"/>
  <c r="S183" s="1"/>
  <c r="R184"/>
  <c r="S184" s="1"/>
  <c r="R185"/>
  <c r="R186"/>
  <c r="S186" s="1"/>
  <c r="R187"/>
  <c r="S187" s="1"/>
  <c r="R188"/>
  <c r="S188" s="1"/>
  <c r="R189"/>
  <c r="R190"/>
  <c r="S190" s="1"/>
  <c r="R191"/>
  <c r="S191" s="1"/>
  <c r="R192"/>
  <c r="S192" s="1"/>
  <c r="R193"/>
  <c r="R194"/>
  <c r="S194" s="1"/>
  <c r="R195"/>
  <c r="S195" s="1"/>
  <c r="R196"/>
  <c r="S196" s="1"/>
  <c r="R197"/>
  <c r="R198"/>
  <c r="S198" s="1"/>
  <c r="R199"/>
  <c r="S199" s="1"/>
  <c r="R200"/>
  <c r="S200" s="1"/>
  <c r="R201"/>
  <c r="R202"/>
  <c r="S202" s="1"/>
  <c r="R203"/>
  <c r="S203" s="1"/>
  <c r="R204"/>
  <c r="S204" s="1"/>
  <c r="R205"/>
  <c r="R206"/>
  <c r="S206" s="1"/>
  <c r="R207"/>
  <c r="S207" s="1"/>
  <c r="R208"/>
  <c r="S208" s="1"/>
  <c r="R209"/>
  <c r="R210"/>
  <c r="S210" s="1"/>
  <c r="R211"/>
  <c r="S211" s="1"/>
  <c r="R212"/>
  <c r="S212" s="1"/>
  <c r="R213"/>
  <c r="R214"/>
  <c r="S214" s="1"/>
  <c r="R215"/>
  <c r="S215" s="1"/>
  <c r="R216"/>
  <c r="S216" s="1"/>
  <c r="R217"/>
  <c r="R218"/>
  <c r="S218" s="1"/>
  <c r="R219"/>
  <c r="S219" s="1"/>
  <c r="R220"/>
  <c r="S220" s="1"/>
  <c r="R221"/>
  <c r="R222"/>
  <c r="S222" s="1"/>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R256"/>
  <c r="S256" s="1"/>
  <c r="R257"/>
  <c r="R258"/>
  <c r="S258" s="1"/>
  <c r="R259"/>
  <c r="R260"/>
  <c r="S260" s="1"/>
  <c r="R261"/>
  <c r="R262"/>
  <c r="S262" s="1"/>
  <c r="R263"/>
  <c r="R264"/>
  <c r="S264" s="1"/>
  <c r="R265"/>
  <c r="R266"/>
  <c r="S266" s="1"/>
  <c r="R267"/>
  <c r="R268"/>
  <c r="S268" s="1"/>
  <c r="R269"/>
  <c r="R270"/>
  <c r="S270" s="1"/>
  <c r="R271"/>
  <c r="R272"/>
  <c r="S272" s="1"/>
  <c r="R273"/>
  <c r="R274"/>
  <c r="S274" s="1"/>
  <c r="R275"/>
  <c r="R276"/>
  <c r="S276" s="1"/>
  <c r="R277"/>
  <c r="R278"/>
  <c r="S278" s="1"/>
  <c r="R279"/>
  <c r="R280"/>
  <c r="S280" s="1"/>
  <c r="R281"/>
  <c r="R282"/>
  <c r="S282" s="1"/>
  <c r="R283"/>
  <c r="R284"/>
  <c r="S284" s="1"/>
  <c r="R285"/>
  <c r="R286"/>
  <c r="S286" s="1"/>
  <c r="R287"/>
  <c r="R288"/>
  <c r="S288" s="1"/>
  <c r="R289"/>
  <c r="R290"/>
  <c r="S290" s="1"/>
  <c r="R291"/>
  <c r="R292"/>
  <c r="S292" s="1"/>
  <c r="R293"/>
  <c r="R294"/>
  <c r="S294" s="1"/>
  <c r="R295"/>
  <c r="R296"/>
  <c r="S296" s="1"/>
  <c r="R297"/>
  <c r="R298"/>
  <c r="S298" s="1"/>
  <c r="R299"/>
  <c r="R300"/>
  <c r="S300" s="1"/>
  <c r="R301"/>
  <c r="R302"/>
  <c r="S302" s="1"/>
  <c r="R303"/>
  <c r="R304"/>
  <c r="S304" s="1"/>
  <c r="R305"/>
  <c r="R306"/>
  <c r="S306" s="1"/>
  <c r="R307"/>
  <c r="R308"/>
  <c r="S308" s="1"/>
  <c r="R309"/>
  <c r="R310"/>
  <c r="S310" s="1"/>
  <c r="R311"/>
  <c r="R312"/>
  <c r="S312" s="1"/>
  <c r="R313"/>
  <c r="R314"/>
  <c r="S314" s="1"/>
  <c r="R315"/>
  <c r="R316"/>
  <c r="S316" s="1"/>
  <c r="R317"/>
  <c r="R318"/>
  <c r="S318" s="1"/>
  <c r="R319"/>
  <c r="R320"/>
  <c r="S320" s="1"/>
  <c r="R321"/>
  <c r="R322"/>
  <c r="S322" s="1"/>
  <c r="R323"/>
  <c r="R324"/>
  <c r="S324" s="1"/>
  <c r="R325"/>
  <c r="R326"/>
  <c r="S326" s="1"/>
  <c r="R327"/>
  <c r="R328"/>
  <c r="S328" s="1"/>
  <c r="R329"/>
  <c r="R330"/>
  <c r="S330" s="1"/>
  <c r="R331"/>
  <c r="R332"/>
  <c r="S332" s="1"/>
  <c r="R333"/>
  <c r="R334"/>
  <c r="S334" s="1"/>
  <c r="R335"/>
  <c r="R336"/>
  <c r="S336" s="1"/>
  <c r="R337"/>
  <c r="R338"/>
  <c r="S338" s="1"/>
  <c r="R339"/>
  <c r="R340"/>
  <c r="S340" s="1"/>
  <c r="R341"/>
  <c r="R342"/>
  <c r="S342" s="1"/>
  <c r="R343"/>
  <c r="R344"/>
  <c r="S344" s="1"/>
  <c r="R345"/>
  <c r="R346"/>
  <c r="S346" s="1"/>
  <c r="R347"/>
  <c r="R348"/>
  <c r="S348" s="1"/>
  <c r="R349"/>
  <c r="R350"/>
  <c r="S350" s="1"/>
  <c r="R351"/>
  <c r="R352"/>
  <c r="S352" s="1"/>
  <c r="R353"/>
  <c r="R354"/>
  <c r="S354" s="1"/>
  <c r="R355"/>
  <c r="R356"/>
  <c r="S356" s="1"/>
  <c r="R357"/>
  <c r="R358"/>
  <c r="S358" s="1"/>
  <c r="R359"/>
  <c r="R360"/>
  <c r="S360" s="1"/>
  <c r="R361"/>
  <c r="R362"/>
  <c r="S362" s="1"/>
  <c r="R363"/>
  <c r="R364"/>
  <c r="S364" s="1"/>
  <c r="R365"/>
  <c r="R366"/>
  <c r="S366" s="1"/>
  <c r="R367"/>
  <c r="R368"/>
  <c r="S368" s="1"/>
  <c r="R369"/>
  <c r="R370"/>
  <c r="S370" s="1"/>
  <c r="R371"/>
  <c r="R372"/>
  <c r="S372" s="1"/>
  <c r="R373"/>
  <c r="R374"/>
  <c r="S374" s="1"/>
  <c r="R375"/>
  <c r="R376"/>
  <c r="S376" s="1"/>
  <c r="R377"/>
  <c r="R378"/>
  <c r="S378" s="1"/>
  <c r="R379"/>
  <c r="R380"/>
  <c r="S380" s="1"/>
  <c r="R381"/>
  <c r="R382"/>
  <c r="S382" s="1"/>
  <c r="R383"/>
  <c r="R384"/>
  <c r="S384" s="1"/>
  <c r="R385"/>
  <c r="R386"/>
  <c r="S386" s="1"/>
  <c r="R387"/>
  <c r="R388"/>
  <c r="S388" s="1"/>
  <c r="R389"/>
  <c r="R390"/>
  <c r="S390" s="1"/>
  <c r="R391"/>
  <c r="R392"/>
  <c r="S392" s="1"/>
  <c r="R393"/>
  <c r="R394"/>
  <c r="S394" s="1"/>
  <c r="R395"/>
  <c r="R396"/>
  <c r="S396" s="1"/>
  <c r="R397"/>
  <c r="R398"/>
  <c r="S398" s="1"/>
  <c r="R399"/>
  <c r="R400"/>
  <c r="S400" s="1"/>
  <c r="R401"/>
  <c r="R402"/>
  <c r="S402" s="1"/>
  <c r="R403"/>
  <c r="R404"/>
  <c r="S404" s="1"/>
  <c r="R405"/>
  <c r="R406"/>
  <c r="S406" s="1"/>
  <c r="R407"/>
  <c r="R408"/>
  <c r="S408" s="1"/>
  <c r="R409"/>
  <c r="R410"/>
  <c r="S410" s="1"/>
  <c r="R411"/>
  <c r="R412"/>
  <c r="S412" s="1"/>
  <c r="R413"/>
  <c r="R414"/>
  <c r="S414" s="1"/>
  <c r="R415"/>
  <c r="R416"/>
  <c r="S416" s="1"/>
  <c r="R417"/>
  <c r="R418"/>
  <c r="S418" s="1"/>
  <c r="R419"/>
  <c r="R420"/>
  <c r="S420" s="1"/>
  <c r="R421"/>
  <c r="R422"/>
  <c r="S422" s="1"/>
  <c r="R423"/>
  <c r="R424"/>
  <c r="S424" s="1"/>
  <c r="R425"/>
  <c r="S425" s="1"/>
  <c r="R426"/>
  <c r="S426" s="1"/>
  <c r="R427"/>
  <c r="R428"/>
  <c r="S428" s="1"/>
  <c r="R429"/>
  <c r="S429" s="1"/>
  <c r="R430"/>
  <c r="S430" s="1"/>
  <c r="R431"/>
  <c r="R432"/>
  <c r="S432" s="1"/>
  <c r="R433"/>
  <c r="S433" s="1"/>
  <c r="R434"/>
  <c r="S434" s="1"/>
  <c r="R435"/>
  <c r="R436"/>
  <c r="S436" s="1"/>
  <c r="R437"/>
  <c r="S437" s="1"/>
  <c r="R438"/>
  <c r="S438" s="1"/>
  <c r="R439"/>
  <c r="R440"/>
  <c r="S440" s="1"/>
  <c r="R441"/>
  <c r="S441" s="1"/>
  <c r="R442"/>
  <c r="S442" s="1"/>
  <c r="R443"/>
  <c r="R444"/>
  <c r="S444" s="1"/>
  <c r="R445"/>
  <c r="S445" s="1"/>
  <c r="R446"/>
  <c r="S446" s="1"/>
  <c r="R447"/>
  <c r="R448"/>
  <c r="S448" s="1"/>
  <c r="R449"/>
  <c r="S449" s="1"/>
  <c r="R450"/>
  <c r="S450" s="1"/>
  <c r="R451"/>
  <c r="R452"/>
  <c r="S452" s="1"/>
  <c r="R453"/>
  <c r="S453" s="1"/>
  <c r="R454"/>
  <c r="S454" s="1"/>
  <c r="R455"/>
  <c r="R456"/>
  <c r="S456" s="1"/>
  <c r="R457"/>
  <c r="S457" s="1"/>
  <c r="R458"/>
  <c r="S458" s="1"/>
  <c r="R459"/>
  <c r="R460"/>
  <c r="S460" s="1"/>
  <c r="R461"/>
  <c r="S461" s="1"/>
  <c r="R462"/>
  <c r="S462" s="1"/>
  <c r="R463"/>
  <c r="R464"/>
  <c r="S464" s="1"/>
  <c r="R465"/>
  <c r="S465" s="1"/>
  <c r="R466"/>
  <c r="S466" s="1"/>
  <c r="R467"/>
  <c r="R468"/>
  <c r="S468" s="1"/>
  <c r="R469"/>
  <c r="S469" s="1"/>
  <c r="R470"/>
  <c r="S470" s="1"/>
  <c r="R471"/>
  <c r="R472"/>
  <c r="S472" s="1"/>
  <c r="R473"/>
  <c r="S473" s="1"/>
  <c r="R474"/>
  <c r="S474" s="1"/>
  <c r="R475"/>
  <c r="S475" s="1"/>
  <c r="R476"/>
  <c r="S476" s="1"/>
  <c r="R477"/>
  <c r="S477" s="1"/>
  <c r="R478"/>
  <c r="S478" s="1"/>
  <c r="R479"/>
  <c r="S479" s="1"/>
  <c r="R480"/>
  <c r="S480" s="1"/>
  <c r="R481"/>
  <c r="S481" s="1"/>
  <c r="R482"/>
  <c r="S482" s="1"/>
  <c r="R483"/>
  <c r="S483" s="1"/>
  <c r="R484"/>
  <c r="R485"/>
  <c r="S485" s="1"/>
  <c r="R486"/>
  <c r="S486" s="1"/>
  <c r="R487"/>
  <c r="S487" s="1"/>
  <c r="R488"/>
  <c r="S488" s="1"/>
  <c r="R489"/>
  <c r="S489" s="1"/>
  <c r="R490"/>
  <c r="S490" s="1"/>
  <c r="R491"/>
  <c r="S491" s="1"/>
  <c r="R492"/>
  <c r="S492" s="1"/>
  <c r="R493"/>
  <c r="R494"/>
  <c r="S494" s="1"/>
  <c r="R495"/>
  <c r="R496"/>
  <c r="S496" s="1"/>
  <c r="R497"/>
  <c r="R498"/>
  <c r="S498" s="1"/>
  <c r="R499"/>
  <c r="S499" s="1"/>
  <c r="R500"/>
  <c r="S500" s="1"/>
  <c r="R501"/>
  <c r="R502"/>
  <c r="S502" s="1"/>
  <c r="R503"/>
  <c r="S503" s="1"/>
  <c r="R504"/>
  <c r="S504" s="1"/>
  <c r="R505"/>
  <c r="R506"/>
  <c r="S506" s="1"/>
  <c r="R507"/>
  <c r="R508"/>
  <c r="S508" s="1"/>
  <c r="R509"/>
  <c r="S509" s="1"/>
  <c r="R510"/>
  <c r="S510" s="1"/>
  <c r="R511"/>
  <c r="R512"/>
  <c r="S512" s="1"/>
  <c r="R513"/>
  <c r="S513" s="1"/>
  <c r="R514"/>
  <c r="S514" s="1"/>
  <c r="R515"/>
  <c r="S515" s="1"/>
  <c r="R516"/>
  <c r="S516" s="1"/>
  <c r="R517"/>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C35" i="4"/>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1"/>
  <c r="S419"/>
  <c r="S417"/>
  <c r="S415"/>
  <c r="S413"/>
  <c r="S411"/>
  <c r="S409"/>
  <c r="S407"/>
  <c r="S405"/>
  <c r="S403"/>
  <c r="S401"/>
  <c r="S399"/>
  <c r="S397"/>
  <c r="S395"/>
  <c r="S393"/>
  <c r="S391"/>
  <c r="S389"/>
  <c r="S387"/>
  <c r="S385"/>
  <c r="S383"/>
  <c r="S381"/>
  <c r="S379"/>
  <c r="S377"/>
  <c r="S375"/>
  <c r="S373"/>
  <c r="S371"/>
  <c r="S369"/>
  <c r="S367"/>
  <c r="S365"/>
  <c r="S363"/>
  <c r="S361"/>
  <c r="S359"/>
  <c r="S357"/>
  <c r="S355"/>
  <c r="S353"/>
  <c r="S351"/>
  <c r="S349"/>
  <c r="S347"/>
  <c r="S345"/>
  <c r="S343"/>
  <c r="S341"/>
  <c r="S339"/>
  <c r="S337"/>
  <c r="S335"/>
  <c r="S333"/>
  <c r="S331"/>
  <c r="S329"/>
  <c r="S327"/>
  <c r="S325"/>
  <c r="S323"/>
  <c r="S321"/>
  <c r="S423"/>
  <c r="S319"/>
  <c r="S317"/>
  <c r="S315"/>
  <c r="S313"/>
  <c r="S311"/>
  <c r="S309"/>
  <c r="S307"/>
  <c r="S305"/>
  <c r="S303"/>
  <c r="S301"/>
  <c r="S299"/>
  <c r="S297"/>
  <c r="S295"/>
  <c r="S293"/>
  <c r="S291"/>
  <c r="S289"/>
  <c r="S287"/>
  <c r="S285"/>
  <c r="S283"/>
  <c r="S281"/>
  <c r="S279"/>
  <c r="S277"/>
  <c r="S275"/>
  <c r="S273"/>
  <c r="S271"/>
  <c r="S269"/>
  <c r="S267"/>
  <c r="S265"/>
  <c r="S263"/>
  <c r="S261"/>
  <c r="S259"/>
  <c r="S257"/>
  <c r="S255"/>
  <c r="S253"/>
  <c r="S251"/>
  <c r="S249"/>
  <c r="S247"/>
  <c r="S245"/>
  <c r="S243"/>
  <c r="S241"/>
  <c r="S239"/>
  <c r="S237"/>
  <c r="S235"/>
  <c r="S233"/>
  <c r="S231"/>
  <c r="S229"/>
  <c r="S227"/>
  <c r="S225"/>
  <c r="S223"/>
  <c r="S427"/>
  <c r="S221"/>
  <c r="S217"/>
  <c r="S213"/>
  <c r="S209"/>
  <c r="S205"/>
  <c r="S201"/>
  <c r="S197"/>
  <c r="S193"/>
  <c r="S189"/>
  <c r="S185"/>
  <c r="S181"/>
  <c r="S177"/>
  <c r="S173"/>
  <c r="S169"/>
  <c r="S165"/>
  <c r="S161"/>
  <c r="S157"/>
  <c r="S153"/>
  <c r="S149"/>
  <c r="S145"/>
  <c r="S141"/>
  <c r="S137"/>
  <c r="S133"/>
  <c r="S129"/>
  <c r="S125"/>
  <c r="S497"/>
  <c r="S495"/>
  <c r="S493"/>
  <c r="S484"/>
  <c r="S471"/>
  <c r="S443"/>
  <c r="S439"/>
  <c r="S435"/>
  <c r="S431"/>
  <c r="S119"/>
  <c r="S115"/>
  <c r="S467"/>
  <c r="S463"/>
  <c r="S459"/>
  <c r="S455"/>
  <c r="S451"/>
  <c r="S51"/>
  <c r="S47"/>
  <c r="S43"/>
  <c r="S39"/>
  <c r="S35"/>
  <c r="S77"/>
  <c r="S73"/>
  <c r="S69"/>
  <c r="S65"/>
  <c r="S61"/>
  <c r="S57"/>
  <c r="S97"/>
  <c r="S93"/>
  <c r="S89"/>
  <c r="S85"/>
  <c r="S81"/>
  <c r="S31"/>
  <c r="S99"/>
  <c r="S103"/>
  <c r="S107"/>
  <c r="S111"/>
  <c r="S447"/>
  <c r="S507"/>
  <c r="S511"/>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7" i="31"/>
  <c r="S521"/>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H14" s="1"/>
  <c r="AB14" s="1"/>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C40" i="21"/>
  <c r="AA38"/>
  <c r="AB36"/>
  <c r="C29" i="39"/>
  <c r="C23"/>
  <c r="U36"/>
  <c r="H32" i="33"/>
  <c r="AB32"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1"/>
  <c r="F72"/>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U34"/>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J51" i="15"/>
  <c r="B11" i="1"/>
  <c r="E11" s="1"/>
  <c r="K11"/>
  <c r="M11" s="1"/>
  <c r="B9"/>
  <c r="E9" s="1"/>
  <c r="K9"/>
  <c r="M9" s="1"/>
  <c r="B7"/>
  <c r="E7" s="1"/>
  <c r="K7"/>
  <c r="M7" s="1"/>
  <c r="O7" s="1"/>
  <c r="P7" s="1"/>
  <c r="C20" i="43"/>
  <c r="E2" i="65"/>
  <c r="W14" i="39" l="1"/>
  <c r="AC33"/>
  <c r="AA33"/>
  <c r="F42"/>
  <c r="J42"/>
  <c r="AC42" s="1"/>
  <c r="H41"/>
  <c r="AB41" s="1"/>
  <c r="H42"/>
  <c r="AB42" s="1"/>
  <c r="AB44"/>
  <c r="W43"/>
  <c r="U39" i="21"/>
  <c r="U17"/>
  <c r="AB29" i="39"/>
  <c r="U27"/>
  <c r="W27"/>
  <c r="C18" i="9"/>
  <c r="A30" i="51"/>
  <c r="A30" i="64"/>
  <c r="AB25" i="39"/>
  <c r="F91"/>
  <c r="G91" s="1"/>
  <c r="F17"/>
  <c r="AA17" s="1"/>
  <c r="J17"/>
  <c r="W17" s="1"/>
  <c r="H17"/>
  <c r="U17" s="1"/>
  <c r="S23"/>
  <c r="AB17"/>
  <c r="S17"/>
  <c r="G123" i="21"/>
  <c r="H123" s="1"/>
  <c r="I123" s="1"/>
  <c r="J123" s="1"/>
  <c r="K123" s="1"/>
  <c r="L123" s="1"/>
  <c r="M123" s="1"/>
  <c r="H42"/>
  <c r="AB42" s="1"/>
  <c r="J42"/>
  <c r="AC42" s="1"/>
  <c r="AC35"/>
  <c r="U43"/>
  <c r="U42"/>
  <c r="W42"/>
  <c r="S10"/>
  <c r="G14" i="3"/>
  <c r="A2" i="55"/>
  <c r="B55" i="63" s="1"/>
  <c r="A11" i="55"/>
  <c r="B62" i="63" s="1"/>
  <c r="J57" i="39"/>
  <c r="N67" i="9"/>
  <c r="D38" i="4"/>
  <c r="C39" s="1"/>
  <c r="G19" i="4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42"/>
  <c r="F26"/>
  <c r="M24"/>
  <c r="L49" i="44"/>
  <c r="M26"/>
  <c r="F40" i="15"/>
  <c r="M29"/>
  <c r="F8" i="44"/>
  <c r="F45"/>
  <c r="M23" i="15"/>
  <c r="F7"/>
  <c r="M31" i="44"/>
  <c r="F11"/>
  <c r="M6" i="15"/>
  <c r="F28" i="44"/>
  <c r="F8" i="15"/>
  <c r="M30" i="44"/>
  <c r="M25"/>
  <c r="F13" i="15"/>
  <c r="F37"/>
  <c r="M28"/>
  <c r="M8" i="44"/>
  <c r="L48" i="15"/>
  <c r="J17" i="44"/>
  <c r="M9" i="15"/>
  <c r="F40" i="44"/>
  <c r="F18"/>
  <c r="F15"/>
  <c r="L48"/>
  <c r="F43" i="15"/>
  <c r="M28" i="44"/>
  <c r="M24"/>
  <c r="F39"/>
  <c r="J15" i="15"/>
  <c r="L47"/>
  <c r="M8"/>
  <c r="F38" i="44"/>
  <c r="F36" i="15"/>
  <c r="M11" i="44"/>
  <c r="F9"/>
  <c r="J36" i="15"/>
  <c r="F9"/>
  <c r="F43" i="44"/>
  <c r="F6" i="15"/>
  <c r="F10" i="44"/>
  <c r="F38" i="15"/>
  <c r="M26"/>
  <c r="M10" i="44"/>
  <c r="M29"/>
  <c r="F16" i="15"/>
  <c r="M27"/>
  <c r="M22"/>
  <c r="AA42" i="39" l="1"/>
  <c r="S42"/>
  <c r="AC23" i="21"/>
  <c r="G6" i="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C105"/>
  <c r="F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M19" i="44"/>
  <c r="M17" i="15"/>
  <c r="F58"/>
  <c r="F33" i="44"/>
  <c r="F31" i="15"/>
  <c r="C18" i="44"/>
  <c r="F46"/>
  <c r="AE7" i="1"/>
  <c r="C16" i="15"/>
  <c r="F13" i="39" l="1"/>
  <c r="H13"/>
  <c r="J13"/>
  <c r="K104" i="46"/>
  <c r="J109"/>
  <c r="J105"/>
  <c r="K107"/>
  <c r="F103"/>
  <c r="F106"/>
  <c r="C107"/>
  <c r="C104"/>
  <c r="J107"/>
  <c r="F7" i="36"/>
  <c r="AA7" s="1"/>
  <c r="R36" s="1"/>
  <c r="E36" s="1"/>
  <c r="E40" s="1"/>
  <c r="F40" s="1"/>
  <c r="F7" i="35"/>
  <c r="S7" s="1"/>
  <c r="J7" i="34"/>
  <c r="H7" i="36"/>
  <c r="AB7" s="1"/>
  <c r="T36" s="1"/>
  <c r="G36" s="1"/>
  <c r="G40" s="1"/>
  <c r="H40" s="1"/>
  <c r="J7" i="35"/>
  <c r="AC7" s="1"/>
  <c r="V38" s="1"/>
  <c r="I38" s="1"/>
  <c r="I42" s="1"/>
  <c r="J42" s="1"/>
  <c r="F7" i="34"/>
  <c r="S7" s="1"/>
  <c r="J7" i="36"/>
  <c r="W7" s="1"/>
  <c r="H7" i="35"/>
  <c r="AB7" s="1"/>
  <c r="T38" s="1"/>
  <c r="G38" s="1"/>
  <c r="G42" s="1"/>
  <c r="H42" s="1"/>
  <c r="H7" i="34"/>
  <c r="AB7" s="1"/>
  <c r="T49" s="1"/>
  <c r="G49" s="1"/>
  <c r="G53" s="1"/>
  <c r="H53" s="1"/>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i="35"/>
  <c r="R38" s="1"/>
  <c r="R39" s="1"/>
  <c r="C38" s="1"/>
  <c r="W7" i="34"/>
  <c r="AC7"/>
  <c r="V49" s="1"/>
  <c r="I49" s="1"/>
  <c r="AA7"/>
  <c r="R49" s="1"/>
  <c r="F7" i="21"/>
  <c r="J7"/>
  <c r="H7"/>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41" i="15"/>
  <c r="L52" i="44"/>
  <c r="F7" i="67"/>
  <c r="F68" i="15" l="1"/>
  <c r="B70" i="63"/>
  <c r="B72"/>
  <c r="AC13" i="39"/>
  <c r="W13"/>
  <c r="S13"/>
  <c r="AA13"/>
  <c r="AB13"/>
  <c r="U13"/>
  <c r="S6" i="46"/>
  <c r="T6" s="1"/>
  <c r="V6" s="1"/>
  <c r="S7"/>
  <c r="T7" s="1"/>
  <c r="V7" s="1"/>
  <c r="S4"/>
  <c r="T4" s="1"/>
  <c r="V4" s="1"/>
  <c r="S5"/>
  <c r="T5" s="1"/>
  <c r="V5" s="1"/>
  <c r="S2"/>
  <c r="T2" s="1"/>
  <c r="V2" s="1"/>
  <c r="S3"/>
  <c r="T3" s="1"/>
  <c r="V3" s="1"/>
  <c r="AC7" i="37"/>
  <c r="V42" s="1"/>
  <c r="I42" s="1"/>
  <c r="I46" s="1"/>
  <c r="J46" s="1"/>
  <c r="G43" i="35"/>
  <c r="H43" s="1"/>
  <c r="G54" i="34"/>
  <c r="H54" s="1"/>
  <c r="W7" i="35"/>
  <c r="C34" i="44"/>
  <c r="U7" i="37"/>
  <c r="AB7"/>
  <c r="T42" s="1"/>
  <c r="G42" s="1"/>
  <c r="S12" i="40"/>
  <c r="S12" i="39"/>
  <c r="E6" i="3"/>
  <c r="Q69" i="44"/>
  <c r="L58"/>
  <c r="L61" s="1"/>
  <c r="D113" i="46"/>
  <c r="J22" s="1"/>
  <c r="W12" i="39"/>
  <c r="U12" i="40"/>
  <c r="E4" i="67"/>
  <c r="E41" i="36"/>
  <c r="F41" s="1"/>
  <c r="G47" i="3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E7" i="67"/>
  <c r="C19" i="44"/>
  <c r="C17" i="15"/>
  <c r="I47" i="37" l="1"/>
  <c r="J47" s="1"/>
  <c r="G46"/>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6" i="44"/>
  <c r="C14" i="15"/>
  <c r="C18"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F37"/>
  <c r="F35" i="15"/>
  <c r="M21"/>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F11" i="21" l="1"/>
  <c r="J11"/>
  <c r="H11"/>
  <c r="C33" i="44"/>
  <c r="J21"/>
  <c r="J19" s="1"/>
  <c r="Q51"/>
  <c r="C15"/>
  <c r="C38"/>
  <c r="J16"/>
  <c r="J15" s="1"/>
  <c r="J25" s="1"/>
  <c r="J19" i="15"/>
  <c r="J17" s="1"/>
  <c r="J14"/>
  <c r="J22" s="1"/>
  <c r="C56"/>
  <c r="C63" s="1"/>
  <c r="Q50"/>
  <c r="C13"/>
  <c r="J35" s="1"/>
  <c r="C36"/>
  <c r="C25" i="43"/>
  <c r="C24" s="1"/>
  <c r="C28" s="1"/>
  <c r="C30" s="1"/>
  <c r="L72" i="39"/>
  <c r="M70"/>
  <c r="M65" i="40"/>
  <c r="L67"/>
  <c r="C33" i="15"/>
  <c r="W11" i="21" l="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G53" i="21" l="1"/>
  <c r="H53" s="1"/>
  <c r="G52"/>
  <c r="H52" s="1"/>
  <c r="R49"/>
  <c r="E48"/>
  <c r="I53" s="1"/>
  <c r="J53" s="1"/>
  <c r="I52"/>
  <c r="J52" s="1"/>
  <c r="C44" i="44"/>
  <c r="C45" s="1"/>
  <c r="B2" s="1"/>
  <c r="B4" s="1"/>
  <c r="C30" i="15"/>
  <c r="C39" s="1"/>
  <c r="Q70" s="1"/>
  <c r="Q69" s="1"/>
  <c r="C58"/>
  <c r="C57" s="1"/>
  <c r="C66" s="1"/>
  <c r="C67" s="1"/>
  <c r="C70" s="1"/>
  <c r="Q70" i="44"/>
  <c r="Q49"/>
  <c r="Q55" s="1"/>
  <c r="Q58"/>
  <c r="Q64" s="1"/>
  <c r="B3" i="43"/>
  <c r="B5"/>
  <c r="B4"/>
  <c r="J9" i="40"/>
  <c r="F9"/>
  <c r="H9"/>
  <c r="J9" i="39"/>
  <c r="H9"/>
  <c r="F9"/>
  <c r="E52" i="21" l="1"/>
  <c r="F52" s="1"/>
  <c r="E53"/>
  <c r="F53" s="1"/>
  <c r="C49"/>
  <c r="B3" s="1"/>
  <c r="C48"/>
  <c r="C40" i="15"/>
  <c r="J39"/>
  <c r="J40" s="1"/>
  <c r="B5" i="44"/>
  <c r="B3"/>
  <c r="S9" i="39"/>
  <c r="AA9"/>
  <c r="R49" s="1"/>
  <c r="W9"/>
  <c r="AC9"/>
  <c r="V49" s="1"/>
  <c r="I49" s="1"/>
  <c r="AA9" i="40"/>
  <c r="R44" s="1"/>
  <c r="S9"/>
  <c r="U9" i="39"/>
  <c r="AB9"/>
  <c r="T49" s="1"/>
  <c r="G49" s="1"/>
  <c r="AB9" i="40"/>
  <c r="T44" s="1"/>
  <c r="G44" s="1"/>
  <c r="U9"/>
  <c r="AC9"/>
  <c r="V44" s="1"/>
  <c r="I44" s="1"/>
  <c r="W9"/>
  <c r="L51" i="15"/>
  <c r="Q48" l="1"/>
  <c r="Q54" s="1"/>
  <c r="D10" i="12"/>
  <c r="C8"/>
  <c r="B2" i="21"/>
  <c r="C10" i="12" s="1"/>
  <c r="C46" i="15"/>
  <c r="Q66"/>
  <c r="L57"/>
  <c r="L60" s="1"/>
  <c r="Q67" s="1"/>
  <c r="Q68"/>
  <c r="Q57"/>
  <c r="C43"/>
  <c r="D8" i="12" s="1"/>
  <c r="J42" i="15"/>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35" s="1"/>
  <c r="C33" s="1"/>
  <c r="F68" i="39"/>
  <c r="B2" s="1"/>
  <c r="F63" i="40"/>
  <c r="B2" s="1"/>
  <c r="D19" i="9"/>
  <c r="L44" l="1"/>
  <c r="C28" i="12"/>
  <c r="C26" s="1"/>
  <c r="C31" s="1"/>
  <c r="C30" s="1"/>
  <c r="C36" s="1"/>
  <c r="B2" s="1"/>
  <c r="B3" i="40"/>
  <c r="B4"/>
  <c r="B5"/>
  <c r="B3" i="39"/>
  <c r="B4"/>
  <c r="B5"/>
  <c r="D21" i="9"/>
  <c r="C19"/>
  <c r="D20"/>
  <c r="D22" l="1"/>
  <c r="L43"/>
  <c r="G19"/>
  <c r="C32" s="1"/>
  <c r="B3" i="12"/>
  <c r="B4"/>
  <c r="B5"/>
  <c r="C45" i="9"/>
  <c r="H14" i="66" s="1"/>
  <c r="B7" s="1"/>
  <c r="C20" i="9"/>
  <c r="C21"/>
  <c r="N43" l="1"/>
  <c r="G22"/>
  <c r="G20"/>
  <c r="G21"/>
  <c r="D7" i="66"/>
  <c r="C7"/>
  <c r="C42" i="9"/>
  <c r="O38"/>
  <c r="K25" s="1"/>
  <c r="C34"/>
  <c r="R24" i="31" s="1"/>
  <c r="C33" i="9"/>
  <c r="O43"/>
  <c r="C35"/>
  <c r="F42" s="1"/>
  <c r="R26" i="31" l="1"/>
  <c r="S26" s="1"/>
  <c r="B15" i="68" s="1"/>
  <c r="S24" i="31"/>
  <c r="B13" i="68" s="1"/>
  <c r="R25" i="31"/>
  <c r="S25" s="1"/>
  <c r="B14" i="68" s="1"/>
  <c r="C44" i="9"/>
  <c r="G14" i="66" s="1"/>
  <c r="B6" s="1"/>
  <c r="D14"/>
  <c r="F14" s="1"/>
  <c r="R5" i="54"/>
  <c r="M38" i="9"/>
  <c r="K27" s="1"/>
  <c r="E42"/>
  <c r="N68"/>
  <c r="D63"/>
  <c r="C111" s="1"/>
  <c r="N38"/>
  <c r="K28" s="1"/>
  <c r="D42"/>
  <c r="K26"/>
  <c r="D45"/>
  <c r="E45"/>
  <c r="O40"/>
  <c r="F45"/>
  <c r="C14" i="68" l="1"/>
  <c r="D14"/>
  <c r="C15"/>
  <c r="D15"/>
  <c r="C13"/>
  <c r="D13"/>
  <c r="S22" i="31"/>
  <c r="B48" i="63"/>
  <c r="C96" i="9"/>
  <c r="C91" s="1"/>
  <c r="C103"/>
  <c r="D71"/>
  <c r="D66" s="1"/>
  <c r="N72" s="1"/>
  <c r="C90"/>
  <c r="D77"/>
  <c r="N75" s="1"/>
  <c r="D70"/>
  <c r="E14" i="66"/>
  <c r="B5"/>
  <c r="C5" s="1"/>
  <c r="D6"/>
  <c r="C6"/>
  <c r="K31" i="9"/>
  <c r="K32" s="1"/>
  <c r="R7" i="54"/>
  <c r="Q5"/>
  <c r="P5"/>
  <c r="N69" i="9"/>
  <c r="O39"/>
  <c r="K29" s="1"/>
  <c r="D44"/>
  <c r="E44"/>
  <c r="F44"/>
  <c r="C82"/>
  <c r="C104"/>
  <c r="B20" i="31" l="1"/>
  <c r="R22"/>
  <c r="B21" s="1"/>
  <c r="B46" i="63"/>
  <c r="B52"/>
  <c r="B47"/>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K34" s="1"/>
  <c r="O80"/>
  <c r="I14" i="66"/>
  <c r="B8" s="1"/>
  <c r="E46" i="9"/>
  <c r="D46"/>
  <c r="O81"/>
  <c r="C8" i="66"/>
  <c r="D8"/>
  <c r="R8" i="54" l="1"/>
  <c r="B54" i="63" s="1"/>
  <c r="B16" i="68" l="1"/>
  <c r="B17" s="1"/>
  <c r="D17" l="1"/>
  <c r="C1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<sst xmlns="http://schemas.openxmlformats.org/spreadsheetml/2006/main" count="7092" uniqueCount="3149">
  <si>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</si>
  <si>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</si>
  <si>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</si>
  <si>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</si>
  <si>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</si>
  <si>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</si>
  <si>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</si>
  <si>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</si>
  <si>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</si>
  <si>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</si>
  <si>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</si>
  <si>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</si>
  <si>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</si>
  <si>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</si>
  <si>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</si>
  <si>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</si>
  <si>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</si>
  <si>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</si>
  <si>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</si>
  <si>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</si>
  <si>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</si>
  <si>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</si>
  <si>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</si>
  <si>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</si>
  <si>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</si>
  <si>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</si>
  <si>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</si>
  <si>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</si>
  <si>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</si>
  <si>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</si>
  <si>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</si>
  <si>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</si>
  <si>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</si>
  <si>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</si>
  <si>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</si>
  <si>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</si>
  <si>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</si>
  <si>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</si>
  <si>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</si>
  <si>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</si>
  <si>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</si>
  <si>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</si>
  <si>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</si>
  <si>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</si>
  <si>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</si>
  <si>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</si>
  <si>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</si>
  <si>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</si>
  <si>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</si>
  <si>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</si>
  <si>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</si>
  <si>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</si>
  <si>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</si>
  <si>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</si>
  <si>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</si>
  <si>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</si>
  <si>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</si>
  <si>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</si>
  <si>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</si>
  <si>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</si>
  <si>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</si>
  <si>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</si>
  <si>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</si>
  <si>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</si>
  <si>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</si>
  <si>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</si>
  <si>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</si>
  <si>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</si>
  <si>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</si>
  <si>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</si>
  <si>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</si>
  <si>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</si>
  <si>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</si>
  <si>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</si>
  <si>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</si>
  <si>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</si>
  <si>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</si>
  <si>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</si>
  <si>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</si>
  <si>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</si>
  <si>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</si>
  <si>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</si>
  <si>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</si>
  <si>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</si>
  <si>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</si>
  <si>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</si>
  <si>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</si>
  <si>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</si>
  <si>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</si>
  <si>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</si>
  <si>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</si>
  <si>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</si>
  <si>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</si>
  <si>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</si>
  <si>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</si>
  <si>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</si>
  <si>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</si>
  <si>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</si>
  <si>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</si>
  <si>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</si>
  <si>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</si>
  <si>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</si>
  <si>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</si>
  <si>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</si>
  <si>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</si>
  <si>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</si>
  <si>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</si>
  <si>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</si>
  <si>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</si>
  <si>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</si>
  <si>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</si>
  <si>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</si>
  <si>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</si>
  <si>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</si>
  <si>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</si>
  <si>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</si>
  <si>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</si>
  <si>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</si>
  <si>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</si>
  <si>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</si>
  <si>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</si>
  <si>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</si>
  <si>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</si>
  <si>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</si>
  <si>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</si>
  <si>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</si>
  <si>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</si>
  <si>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</si>
  <si>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</si>
  <si>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</si>
  <si>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</si>
  <si>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</si>
  <si>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</si>
  <si>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</si>
  <si>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</si>
  <si>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</si>
  <si>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</si>
  <si>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</si>
  <si>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</si>
  <si>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</si>
  <si>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</si>
  <si>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</si>
  <si>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</si>
  <si>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</si>
  <si>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</si>
  <si>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</si>
  <si>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</si>
  <si>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</si>
  <si>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</si>
  <si>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</si>
  <si>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</si>
  <si>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</si>
  <si>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</si>
  <si>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</si>
  <si>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</si>
  <si>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</si>
  <si>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</si>
  <si>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</si>
  <si>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</si>
  <si>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</si>
  <si>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</si>
  <si>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</si>
  <si>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</si>
  <si>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</si>
  <si>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</si>
  <si>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</si>
  <si>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</si>
  <si>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</si>
  <si>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</si>
  <si>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</si>
  <si>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</si>
  <si>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</si>
  <si>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</si>
  <si>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</si>
  <si>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</si>
  <si>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</si>
  <si>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</si>
  <si>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</si>
  <si>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</si>
  <si>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</si>
  <si>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</si>
  <si>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</si>
  <si>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</si>
  <si>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</si>
  <si>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</si>
  <si>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</si>
  <si>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</si>
  <si>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</si>
  <si>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</si>
  <si>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</si>
  <si>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</si>
  <si>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</si>
  <si>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</si>
  <si>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</si>
  <si>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</si>
  <si>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</si>
  <si>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</si>
  <si>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</si>
  <si>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</si>
  <si>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</si>
  <si>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</si>
  <si>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</si>
  <si>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</si>
  <si>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</si>
  <si>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</si>
  <si>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</si>
  <si>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</si>
  <si>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</si>
  <si>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</si>
  <si>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</si>
  <si>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</si>
  <si>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</si>
  <si>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</si>
  <si>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</si>
  <si>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</si>
  <si>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</si>
  <si>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</si>
  <si>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</si>
  <si>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</si>
  <si>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</si>
  <si>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</si>
  <si>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</si>
  <si>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</si>
  <si>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</si>
  <si>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</si>
  <si>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</si>
  <si>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</si>
  <si>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</si>
  <si>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</si>
  <si>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</si>
  <si>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</si>
  <si>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</si>
  <si>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</si>
  <si>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</si>
  <si>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</si>
  <si>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</si>
  <si>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</si>
  <si>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</si>
  <si>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</si>
  <si>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</si>
  <si>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</si>
  <si>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</si>
  <si>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</si>
  <si>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</si>
  <si>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</si>
  <si>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</si>
  <si>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</si>
  <si>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</si>
  <si>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</si>
  <si>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</si>
  <si>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</si>
  <si>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</si>
  <si>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</si>
  <si>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</si>
  <si>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</si>
  <si>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</si>
  <si>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</si>
  <si>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</si>
  <si>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</si>
  <si>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</si>
  <si>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</si>
  <si>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</si>
  <si>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</si>
  <si>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</si>
  <si>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</si>
  <si>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</si>
  <si>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</si>
  <si>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</si>
  <si>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</si>
  <si>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</si>
  <si>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</si>
  <si>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</si>
  <si>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</si>
  <si>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</si>
  <si>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</si>
  <si>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</si>
  <si>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</si>
  <si>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</si>
  <si>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</si>
  <si>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</si>
  <si>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</si>
  <si>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</si>
  <si>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</si>
  <si>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</si>
  <si>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</si>
  <si>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</si>
  <si>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</si>
  <si>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</si>
  <si>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</si>
  <si>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</si>
  <si>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</si>
  <si>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</si>
  <si>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</si>
  <si>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</si>
  <si>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</si>
  <si>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</si>
  <si>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</si>
  <si>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</si>
  <si>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</si>
  <si>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</si>
  <si>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</si>
  <si>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</si>
  <si>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</si>
  <si>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</si>
  <si>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</si>
  <si>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</si>
  <si>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</si>
  <si>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</si>
  <si>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</si>
  <si>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</si>
  <si>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</si>
  <si>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</si>
  <si>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</si>
  <si>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</si>
  <si>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</si>
  <si>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</si>
  <si>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</si>
  <si>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</si>
  <si>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</si>
  <si>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</si>
  <si>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</si>
  <si>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</si>
  <si>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</si>
  <si>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</si>
  <si>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</si>
  <si>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</si>
  <si>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</si>
  <si>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</si>
  <si>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</si>
  <si>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</si>
  <si>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</si>
  <si>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</si>
  <si>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</si>
  <si>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</si>
  <si>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</si>
  <si>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</si>
  <si>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</si>
  <si>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</si>
  <si>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</si>
  <si>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</si>
  <si>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</si>
  <si>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</si>
  <si>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</si>
  <si>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</si>
  <si>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</si>
  <si>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</si>
  <si>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</si>
  <si>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</si>
  <si>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</si>
  <si>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</si>
  <si>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</si>
  <si>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</si>
  <si>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</si>
  <si>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</si>
  <si>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</si>
  <si>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</si>
  <si>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</si>
  <si>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</si>
  <si>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</si>
  <si>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</si>
  <si>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</si>
  <si>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</si>
  <si>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</si>
  <si>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</si>
  <si>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</si>
  <si>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</si>
  <si>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</si>
  <si>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</si>
  <si>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</si>
  <si>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</si>
  <si>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</si>
  <si>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</si>
  <si>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</si>
  <si>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</si>
  <si>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</si>
  <si>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</si>
  <si>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</si>
  <si>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</si>
  <si>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</si>
  <si>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</si>
  <si>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</si>
  <si>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</si>
  <si>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</si>
  <si>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</si>
  <si>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</si>
  <si>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</si>
  <si>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</si>
  <si>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</si>
  <si>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</si>
  <si>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</si>
  <si>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</si>
  <si>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</si>
  <si>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</si>
  <si>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</si>
  <si>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</si>
  <si>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</si>
  <si>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</si>
  <si>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</si>
  <si>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</si>
  <si>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</si>
  <si>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</si>
  <si>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</si>
  <si>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</si>
  <si>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</si>
  <si>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</si>
  <si>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</si>
  <si>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</si>
  <si>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</si>
  <si>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</si>
  <si>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</si>
  <si>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</si>
  <si>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</si>
  <si>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</si>
  <si>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</si>
  <si>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</si>
  <si>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</si>
  <si>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</si>
  <si>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</si>
  <si>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</si>
  <si>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</si>
  <si>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</si>
  <si>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</si>
  <si>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</si>
  <si>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</si>
  <si>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</si>
  <si>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</si>
  <si>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</si>
  <si>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</si>
  <si>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</si>
  <si>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</si>
  <si>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</si>
  <si>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</si>
  <si>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</si>
  <si>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</si>
  <si>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</si>
  <si>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</si>
  <si>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</si>
  <si>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</si>
  <si>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</si>
  <si>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</si>
  <si>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</si>
  <si>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</si>
  <si>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</si>
  <si>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</si>
  <si>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</si>
  <si>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</si>
  <si>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</si>
  <si>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</si>
  <si>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</si>
  <si>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</si>
  <si>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</si>
  <si>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</si>
  <si>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</si>
  <si>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</si>
  <si>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</si>
  <si>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</si>
  <si>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</si>
  <si>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</si>
  <si>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</si>
  <si>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</si>
  <si>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</si>
  <si>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</si>
  <si>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</si>
  <si>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</si>
  <si>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</si>
  <si>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</si>
  <si>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</si>
  <si>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</si>
  <si>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</si>
  <si>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</si>
  <si>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</si>
  <si>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</si>
  <si>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</si>
  <si>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</si>
  <si>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</si>
  <si>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</si>
  <si>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</si>
  <si>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</si>
  <si>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</si>
  <si>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</si>
  <si>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</si>
  <si>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</si>
  <si>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</si>
  <si>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</si>
  <si>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</si>
  <si>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</si>
  <si>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</si>
  <si>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</si>
  <si>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</si>
  <si>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</si>
  <si>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</si>
  <si>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</si>
  <si>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</si>
  <si>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</si>
  <si>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</si>
  <si>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</si>
  <si>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</si>
  <si>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</si>
  <si>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</si>
  <si>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</si>
  <si>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</si>
  <si>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</si>
  <si>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</si>
  <si>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</si>
  <si>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</si>
  <si>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</si>
  <si>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</si>
  <si>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</si>
  <si>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</si>
  <si>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</si>
  <si>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</si>
  <si>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</si>
  <si>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</si>
  <si>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</si>
  <si>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</si>
  <si>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</si>
  <si>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</si>
  <si>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</si>
  <si>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</si>
  <si>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</si>
  <si>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</si>
  <si>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</si>
  <si>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</si>
  <si>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</si>
  <si>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</si>
  <si>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</si>
  <si>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</si>
  <si>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</si>
  <si>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</si>
  <si>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</si>
  <si>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</si>
  <si>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</si>
  <si>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</si>
  <si>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</si>
  <si>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</si>
  <si>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</si>
  <si>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</si>
  <si>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</si>
  <si>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</si>
  <si>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</si>
  <si>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</si>
  <si>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</si>
  <si>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</si>
  <si>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</si>
  <si>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</si>
  <si>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</si>
  <si>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</si>
  <si>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</si>
  <si>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</si>
  <si>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</si>
  <si>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</si>
  <si>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</si>
  <si>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</si>
  <si>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</si>
  <si>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</si>
  <si>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</si>
  <si>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</si>
  <si>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</si>
  <si>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</si>
  <si>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</si>
  <si>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</si>
  <si>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</si>
  <si>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</si>
  <si>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</si>
  <si>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</si>
  <si>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</si>
  <si>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</si>
  <si>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</si>
  <si>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</si>
  <si>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</si>
  <si>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</si>
  <si>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</si>
  <si>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</si>
  <si>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</si>
  <si>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</si>
  <si>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</si>
  <si>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</si>
  <si>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</si>
  <si>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</si>
  <si>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</si>
  <si>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</si>
  <si>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</si>
  <si>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</si>
  <si>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</si>
  <si>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</si>
  <si>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</si>
  <si>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</si>
  <si>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</si>
  <si>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</si>
  <si>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</si>
  <si>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</si>
  <si>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</si>
  <si>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</si>
  <si>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</si>
  <si>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</si>
  <si>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</si>
  <si>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</si>
  <si>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</si>
  <si>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</si>
  <si>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</si>
  <si>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</si>
  <si>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</si>
  <si>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</si>
  <si>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</si>
  <si>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</si>
  <si>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</si>
  <si>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</si>
  <si>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</si>
  <si>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</si>
  <si>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</si>
  <si>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</si>
  <si>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</si>
  <si>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</si>
  <si>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</si>
  <si>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</si>
  <si>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</si>
  <si>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</si>
  <si>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</si>
  <si>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</si>
  <si>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</si>
  <si>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</si>
  <si>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</si>
  <si>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</si>
  <si>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</si>
  <si>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</si>
  <si>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</si>
  <si>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</si>
  <si>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</si>
  <si>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</si>
  <si>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</si>
  <si>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</si>
  <si>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</si>
  <si>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</si>
  <si>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</si>
  <si>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</si>
  <si>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</si>
  <si>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</si>
  <si>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</si>
  <si>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</si>
  <si>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</si>
  <si>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</si>
  <si>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</si>
  <si>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</si>
  <si>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</si>
  <si>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</si>
  <si>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</si>
  <si>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</si>
  <si>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</si>
  <si>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</si>
  <si>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</si>
  <si>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</si>
  <si>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</si>
  <si>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</si>
  <si>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</si>
  <si>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</si>
  <si>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</si>
  <si>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</si>
  <si>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</si>
  <si>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</si>
  <si>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</si>
  <si>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</si>
  <si>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</si>
  <si>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</si>
  <si>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</si>
  <si>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</si>
  <si>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</si>
  <si>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</si>
  <si>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</si>
  <si>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</si>
  <si>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</si>
  <si>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</si>
  <si>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</si>
  <si>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</si>
  <si>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</si>
  <si>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</si>
  <si>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</si>
  <si>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</si>
  <si>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</si>
  <si>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</si>
  <si>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</si>
  <si>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</si>
  <si>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</si>
  <si>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</si>
  <si>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</si>
  <si>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</si>
  <si>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</si>
  <si>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</si>
  <si>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</si>
  <si>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</si>
  <si>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</si>
  <si>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</si>
  <si>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</si>
  <si>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</si>
  <si>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</si>
  <si>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</si>
  <si>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</si>
  <si>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</si>
  <si>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</si>
  <si>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</si>
  <si>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</si>
  <si>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</si>
  <si>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</si>
  <si>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</si>
  <si>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</si>
  <si>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</si>
  <si>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</si>
  <si>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</si>
  <si>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</si>
  <si>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</si>
  <si>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</si>
  <si>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</si>
  <si>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</si>
  <si>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</si>
  <si>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</si>
  <si>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</si>
  <si>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</si>
  <si>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</si>
  <si>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</si>
  <si>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</si>
  <si>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</si>
  <si>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</si>
  <si>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</si>
  <si>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</si>
  <si>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</si>
  <si>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</si>
  <si>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</si>
  <si>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</si>
  <si>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</si>
  <si>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</si>
  <si>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</si>
  <si>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</si>
  <si>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</si>
  <si>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</si>
  <si>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</si>
  <si>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</si>
  <si>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</si>
  <si>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</si>
  <si>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</si>
  <si>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</si>
  <si>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</si>
  <si>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</si>
  <si>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</si>
  <si>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</si>
  <si>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</si>
  <si>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</si>
  <si>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</si>
  <si>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</si>
  <si>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</si>
  <si>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</si>
  <si>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</si>
  <si>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</si>
  <si>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</si>
  <si>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</si>
  <si>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</si>
  <si>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</si>
  <si>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</si>
  <si>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</si>
  <si>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</si>
  <si>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</si>
  <si>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</si>
  <si>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</si>
  <si>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</si>
  <si>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</si>
  <si>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</si>
  <si>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</si>
  <si>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</si>
  <si>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</si>
  <si>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</si>
  <si>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</si>
  <si>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</si>
  <si>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</si>
  <si>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</si>
  <si>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</si>
  <si>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</si>
  <si>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</si>
  <si>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</si>
  <si>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</si>
  <si>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</si>
  <si>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</si>
  <si>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</si>
  <si>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</si>
  <si>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</si>
  <si>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</si>
  <si>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</si>
  <si>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</si>
  <si>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</si>
  <si>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</si>
  <si>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</si>
  <si>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</si>
  <si>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</si>
  <si>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</si>
  <si>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</si>
  <si>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</si>
  <si>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</si>
  <si>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</si>
  <si>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</si>
  <si>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</si>
  <si>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</si>
  <si>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</si>
  <si>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</si>
  <si>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</si>
  <si>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</si>
  <si>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</si>
  <si>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</si>
  <si>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</si>
  <si>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</si>
  <si>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</si>
  <si>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</si>
  <si>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</si>
  <si>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</si>
  <si>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</si>
  <si>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</si>
  <si>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</si>
  <si>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</si>
  <si>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</si>
  <si>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</si>
  <si>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</si>
  <si>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</si>
  <si>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</si>
  <si>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</si>
  <si>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</si>
  <si>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</si>
  <si>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</si>
  <si>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</si>
  <si>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</si>
  <si>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</si>
  <si>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</si>
  <si>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</si>
  <si>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</si>
  <si>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</si>
  <si>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</si>
  <si>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</si>
  <si>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</si>
  <si>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</si>
  <si>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</si>
  <si>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</si>
  <si>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</si>
  <si>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</si>
  <si>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</si>
  <si>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</si>
  <si>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</si>
  <si>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</si>
  <si>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</si>
  <si>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</si>
  <si>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</si>
  <si>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</si>
  <si>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</si>
  <si>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</si>
  <si>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</si>
  <si>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</si>
  <si>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</si>
  <si>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</si>
  <si>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</si>
  <si>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</si>
  <si>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</si>
  <si>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</si>
  <si>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</si>
  <si>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</si>
  <si>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</si>
  <si>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</si>
  <si>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</si>
  <si>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</si>
  <si>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</si>
  <si>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</si>
  <si>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</si>
  <si>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</si>
  <si>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</si>
  <si>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</si>
  <si>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</si>
  <si>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</si>
  <si>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</si>
  <si>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</si>
  <si>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</si>
  <si>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</si>
  <si>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</si>
  <si>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</si>
  <si>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</si>
  <si>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</si>
  <si>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</si>
  <si>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</si>
  <si>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</si>
  <si>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</si>
  <si>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</si>
  <si>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</si>
  <si>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</si>
  <si>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</si>
  <si>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</si>
  <si>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</si>
  <si>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</si>
  <si>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</si>
  <si>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</si>
  <si>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</si>
  <si>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</si>
  <si>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</si>
  <si>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</si>
  <si>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</si>
  <si>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</si>
  <si>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</si>
  <si>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</si>
  <si>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</si>
  <si>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</si>
  <si>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</si>
  <si>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</si>
  <si>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</si>
  <si>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</si>
  <si>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</si>
  <si>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</si>
  <si>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</si>
  <si>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</si>
  <si>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</si>
  <si>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</si>
  <si>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</si>
  <si>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</si>
  <si>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</si>
  <si>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</si>
  <si>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</si>
  <si>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</si>
  <si>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</si>
  <si>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</si>
  <si>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</si>
  <si>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</si>
  <si>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</si>
  <si>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</si>
  <si>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</si>
  <si>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</si>
  <si>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</si>
  <si>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</si>
  <si>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</si>
  <si>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</si>
  <si>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</si>
  <si>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</si>
  <si>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</si>
  <si>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</si>
  <si>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</si>
  <si>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</si>
  <si>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</si>
  <si>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</si>
  <si>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</si>
  <si>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</si>
  <si>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</si>
  <si>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</si>
  <si>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</si>
  <si>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</si>
  <si>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</si>
  <si>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</si>
  <si>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</si>
  <si>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</si>
  <si>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</si>
  <si>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</si>
  <si>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</si>
  <si>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</si>
  <si>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</si>
  <si>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</si>
  <si>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</si>
  <si>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</si>
  <si>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</si>
  <si>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</si>
  <si>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</si>
  <si>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</si>
  <si>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</si>
  <si>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</si>
  <si>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</si>
  <si>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</si>
  <si>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</si>
  <si>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</si>
  <si>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</si>
  <si>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</si>
  <si>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</si>
  <si>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</si>
  <si>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</si>
  <si>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</si>
  <si>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</si>
  <si>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</si>
  <si>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</si>
  <si>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</si>
  <si>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</si>
  <si>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</si>
  <si>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</si>
  <si>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</si>
  <si>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</si>
  <si>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</si>
  <si>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</si>
  <si>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</si>
  <si>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</si>
  <si>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</si>
  <si>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</si>
  <si>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</si>
  <si>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</si>
  <si>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</si>
  <si>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</si>
  <si>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</si>
  <si>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</si>
  <si>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</si>
  <si>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</si>
  <si>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</si>
  <si>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</si>
  <si>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</si>
  <si>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</si>
  <si>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</si>
  <si>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</si>
  <si>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</si>
  <si>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</si>
  <si>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</si>
  <si>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</si>
  <si>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</si>
  <si>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</si>
  <si>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</si>
  <si>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</si>
  <si>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</si>
  <si>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</si>
  <si>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</si>
  <si>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</si>
  <si>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</si>
  <si>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</si>
  <si>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</si>
  <si>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</si>
  <si>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</si>
  <si>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</si>
  <si>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</si>
  <si>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</si>
  <si>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</si>
  <si>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</si>
  <si>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</si>
  <si>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</si>
  <si>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</si>
  <si>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</si>
  <si>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</si>
  <si>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</si>
  <si>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</si>
  <si>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</si>
  <si>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</si>
  <si>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</si>
  <si>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</si>
  <si>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</si>
  <si>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</si>
  <si>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</si>
  <si>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</si>
  <si>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</si>
  <si>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</si>
  <si>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</si>
  <si>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</si>
  <si>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</si>
  <si>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</si>
  <si>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</si>
  <si>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</si>
  <si>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</si>
  <si>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</si>
  <si>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</si>
  <si>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</si>
  <si>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</si>
  <si>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</si>
  <si>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</si>
  <si>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</si>
  <si>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</si>
  <si>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</si>
  <si>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</si>
  <si>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</si>
  <si>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</si>
  <si>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</si>
  <si>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</si>
  <si>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</si>
  <si>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</si>
  <si>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</si>
  <si>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</si>
  <si>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</si>
  <si>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</si>
  <si>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</si>
  <si>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</si>
  <si>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</si>
  <si>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</si>
  <si>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</si>
  <si>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</si>
  <si>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</si>
  <si>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</si>
  <si>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</si>
  <si>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</si>
  <si>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</si>
  <si>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</si>
  <si>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</si>
  <si>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</si>
  <si>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</si>
  <si>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</si>
  <si>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</si>
  <si>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</si>
  <si>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</si>
  <si>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</si>
  <si>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</si>
  <si>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</si>
  <si>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</si>
  <si>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</si>
  <si>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</si>
  <si>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</si>
  <si>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</si>
  <si>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</si>
  <si>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</si>
  <si>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</si>
  <si>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</si>
  <si>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</si>
  <si>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</si>
  <si>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</si>
  <si>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</si>
  <si>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</si>
  <si>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</si>
  <si>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</si>
  <si>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</si>
  <si>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</si>
  <si>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</si>
  <si>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</si>
  <si>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</si>
  <si>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</si>
  <si>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</si>
  <si>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</si>
  <si>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</si>
  <si>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</si>
  <si>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</si>
  <si>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</si>
  <si>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</si>
  <si>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</si>
  <si>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</si>
  <si>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</si>
  <si>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</si>
  <si>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</si>
  <si>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</si>
  <si>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</si>
  <si>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</si>
  <si>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</si>
  <si>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</si>
  <si>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</si>
  <si>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</si>
  <si>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</si>
  <si>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</si>
  <si>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</si>
  <si>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</si>
  <si>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</si>
  <si>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</si>
  <si>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</si>
  <si>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</si>
  <si>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</si>
  <si>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</si>
  <si>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</si>
  <si>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</si>
  <si>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</si>
  <si>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</si>
  <si>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</si>
  <si>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</si>
  <si>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</si>
  <si>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</si>
  <si>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</si>
  <si>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</si>
  <si>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</si>
  <si>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</si>
  <si>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</si>
  <si>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</si>
  <si>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</si>
  <si>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</si>
  <si>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</si>
  <si>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</si>
  <si>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</si>
  <si>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</si>
  <si>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</si>
  <si>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</si>
  <si>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</si>
  <si>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</si>
  <si>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</si>
  <si>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</si>
  <si>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</si>
  <si>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</si>
  <si>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</si>
  <si>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</si>
  <si>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</si>
  <si>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</si>
  <si>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</si>
  <si>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</si>
  <si>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</si>
  <si>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</si>
  <si>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</si>
  <si>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</si>
  <si>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</si>
  <si>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</si>
  <si>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</si>
  <si>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</si>
  <si>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</si>
  <si>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</si>
  <si>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</si>
  <si>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</si>
  <si>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</si>
  <si>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</si>
  <si>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</si>
  <si>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</si>
  <si>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</si>
  <si>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</si>
  <si>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</si>
  <si>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</si>
  <si>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</si>
  <si>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</si>
  <si>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</si>
  <si>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</si>
  <si>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</si>
  <si>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</si>
  <si>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</si>
  <si>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</si>
  <si>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</si>
  <si>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</si>
  <si>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</si>
  <si>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</si>
  <si>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</si>
  <si>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</si>
  <si>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</si>
  <si>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</si>
  <si>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</si>
  <si>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</si>
  <si>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</si>
  <si>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</si>
  <si>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</si>
  <si>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</si>
  <si>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</si>
  <si>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</si>
  <si>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</si>
  <si>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</si>
  <si>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</si>
  <si>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</si>
  <si>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</si>
  <si>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</si>
  <si>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</si>
  <si>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</si>
  <si>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</si>
  <si>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</si>
  <si>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</si>
  <si>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</si>
  <si>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</si>
  <si>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</si>
  <si>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</si>
  <si>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</si>
  <si>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</si>
  <si>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</si>
  <si>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</si>
  <si>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</si>
  <si>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</si>
  <si>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</si>
  <si>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</si>
  <si>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</si>
  <si>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</si>
  <si>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</si>
  <si>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</si>
  <si>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</si>
  <si>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</si>
  <si>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</si>
  <si>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</si>
  <si>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</si>
  <si>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</si>
  <si>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</si>
  <si>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</si>
  <si>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</si>
  <si>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</si>
  <si>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</si>
  <si>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</si>
  <si>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</si>
  <si>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</si>
  <si>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</si>
  <si>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</si>
  <si>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</si>
  <si>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</si>
  <si>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</si>
  <si>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</si>
  <si>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</si>
  <si>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</si>
  <si>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</si>
  <si>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</si>
  <si>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</si>
  <si>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</si>
  <si>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</si>
  <si>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</si>
  <si>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</si>
  <si>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</si>
  <si>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</si>
  <si>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</si>
  <si>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</si>
  <si>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</si>
  <si>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</si>
  <si>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</si>
  <si>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</si>
  <si>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</si>
  <si>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</si>
  <si>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</si>
  <si>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</si>
  <si>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</si>
  <si>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</si>
  <si>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</si>
  <si>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</si>
  <si>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</si>
  <si>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</si>
  <si>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</si>
  <si>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</si>
  <si>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</si>
  <si>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</si>
  <si>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</si>
  <si>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</si>
  <si>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</si>
  <si>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</si>
  <si>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</si>
  <si>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</si>
  <si>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</si>
  <si>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</si>
  <si>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</si>
  <si>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</si>
  <si>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</si>
  <si>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</si>
  <si>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</si>
  <si>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</si>
  <si>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</si>
  <si>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</si>
  <si>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</si>
  <si>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</si>
  <si>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</si>
  <si>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</si>
  <si>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</si>
  <si>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</si>
  <si>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</si>
  <si>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</si>
  <si>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</si>
  <si>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</si>
  <si>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</si>
  <si>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</si>
  <si>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</si>
  <si>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</si>
  <si>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</si>
  <si>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</si>
  <si>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</si>
  <si>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</si>
  <si>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</si>
  <si>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</si>
  <si>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</si>
  <si>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</si>
  <si>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</si>
  <si>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</si>
  <si>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</si>
  <si>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</si>
  <si>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</si>
  <si>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</si>
  <si>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</si>
  <si>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</si>
  <si>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</si>
  <si>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</si>
  <si>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</si>
  <si>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</si>
  <si>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</si>
  <si>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</si>
  <si>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</si>
  <si>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</si>
  <si>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</si>
  <si>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</si>
  <si>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</si>
  <si>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</si>
  <si>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</si>
  <si>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</si>
  <si>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</si>
  <si>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</si>
  <si>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</si>
  <si>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</si>
  <si>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</si>
  <si>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</si>
  <si>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</si>
  <si>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</si>
  <si>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</si>
  <si>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</si>
  <si>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</si>
  <si>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</si>
  <si>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</si>
  <si>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</si>
  <si>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</si>
  <si>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</si>
  <si>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</si>
  <si>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</si>
  <si>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</si>
  <si>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</si>
  <si>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</si>
  <si>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</si>
  <si>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</si>
  <si>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</si>
  <si>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</si>
  <si>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</si>
  <si>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</si>
  <si>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</si>
  <si>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</si>
  <si>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</si>
  <si>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</si>
  <si>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</si>
  <si>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</si>
  <si>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</si>
  <si>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</si>
  <si>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</si>
  <si>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</si>
  <si>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</si>
  <si>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</si>
  <si>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</si>
  <si>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</si>
  <si>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</si>
  <si>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</si>
  <si>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</si>
  <si>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</si>
  <si>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</si>
  <si>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</si>
  <si>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</si>
  <si>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</si>
  <si>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</si>
  <si>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</si>
  <si>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</si>
  <si>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</si>
  <si>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</si>
  <si>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</si>
  <si>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</si>
  <si>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</si>
  <si>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</si>
  <si>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</si>
  <si>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</si>
  <si>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</si>
  <si>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</si>
  <si>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</si>
  <si>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</si>
  <si>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</si>
  <si>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</si>
  <si>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</si>
  <si>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</si>
  <si>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</si>
  <si>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</si>
  <si>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</si>
  <si>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</si>
  <si>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</si>
  <si>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</si>
  <si>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</si>
  <si>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</si>
  <si>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</si>
  <si>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</si>
  <si>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</si>
  <si>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</si>
  <si>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</si>
  <si>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</si>
  <si>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</si>
  <si>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</si>
  <si>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</si>
  <si>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</si>
  <si>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</si>
  <si>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</si>
  <si>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</si>
  <si>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</si>
  <si>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</si>
  <si>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</si>
  <si>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</si>
  <si>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</si>
  <si>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</si>
  <si>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</si>
  <si>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</si>
  <si>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</si>
  <si>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</si>
  <si>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</si>
  <si>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</si>
  <si>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</si>
  <si>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</si>
  <si>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</si>
  <si>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</si>
  <si>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</si>
  <si>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</si>
  <si>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</si>
  <si>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</si>
  <si>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</si>
  <si>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</si>
  <si>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</si>
  <si>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</si>
  <si>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</si>
  <si>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</si>
  <si>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</si>
  <si>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</si>
  <si>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</si>
  <si>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</si>
  <si>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</si>
  <si>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</si>
  <si>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</si>
  <si>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</si>
  <si>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</si>
  <si>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</si>
  <si>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</si>
  <si>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</si>
  <si>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</si>
  <si>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</si>
  <si>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</si>
  <si>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</si>
  <si>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</si>
  <si>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</si>
  <si>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</si>
  <si>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</si>
  <si>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</si>
  <si>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</si>
  <si>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</si>
  <si>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</si>
  <si>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</si>
  <si>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</si>
  <si>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</si>
  <si>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</si>
  <si>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</si>
  <si>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</si>
  <si>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</si>
  <si>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</si>
  <si>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</si>
  <si>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</si>
  <si>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</si>
  <si>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</si>
  <si>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</si>
  <si>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</si>
  <si>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</si>
  <si>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</si>
  <si>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</si>
  <si>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</si>
  <si>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</si>
  <si>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</si>
  <si>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</si>
  <si>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</si>
  <si>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</si>
  <si>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</si>
  <si>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</si>
  <si>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</si>
  <si>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</si>
  <si>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</si>
  <si>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</si>
  <si>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</si>
  <si>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</si>
  <si>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</si>
  <si>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</si>
  <si>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</si>
  <si>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</si>
  <si>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</si>
  <si>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</si>
  <si>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</si>
  <si>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</si>
  <si>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</si>
  <si>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</si>
  <si>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</si>
  <si>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</si>
  <si>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</si>
  <si>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</si>
  <si>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</si>
  <si>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</si>
  <si>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</si>
  <si>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</si>
  <si>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</si>
  <si>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</si>
  <si>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</si>
  <si>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</si>
  <si>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</si>
  <si>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</si>
  <si>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</si>
  <si>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</si>
  <si>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</si>
  <si>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</si>
  <si>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</si>
  <si>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</si>
  <si>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</si>
  <si>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</si>
  <si>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</si>
  <si>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</si>
  <si>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</si>
  <si>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</si>
  <si>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</si>
  <si>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</si>
  <si>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</si>
  <si>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</si>
  <si>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</si>
  <si>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</si>
  <si>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</si>
  <si>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</si>
  <si>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</si>
  <si>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</si>
  <si>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</si>
  <si>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</si>
  <si>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</si>
  <si>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</si>
  <si>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</si>
  <si>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</si>
  <si>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</si>
  <si>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</si>
  <si>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</si>
  <si>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</si>
  <si>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</si>
  <si>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</si>
  <si>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</si>
  <si>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</si>
  <si>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</si>
  <si>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</si>
  <si>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</si>
  <si>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</si>
  <si>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</si>
  <si>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</si>
  <si>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</si>
  <si>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</si>
  <si>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</si>
  <si>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</si>
  <si>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</si>
  <si>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</si>
  <si>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</si>
  <si>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</si>
  <si>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</si>
  <si>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</si>
  <si>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</si>
  <si>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</si>
  <si>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</si>
  <si>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</si>
  <si>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</si>
  <si>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</si>
  <si>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</si>
  <si>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</si>
  <si>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</si>
  <si>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</si>
  <si>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</si>
  <si>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</si>
  <si>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</si>
  <si>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</si>
  <si>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</si>
  <si>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</si>
  <si>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</si>
  <si>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</si>
  <si>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</si>
  <si>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</si>
  <si>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</si>
  <si>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</si>
  <si>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</si>
  <si>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</si>
  <si>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</si>
  <si>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</si>
  <si>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</si>
  <si>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</si>
  <si>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</si>
  <si>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</si>
  <si>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</si>
  <si>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</si>
  <si>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</si>
  <si>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</si>
  <si>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</si>
  <si>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</si>
  <si>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</si>
  <si>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</si>
  <si>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</si>
  <si>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</si>
  <si>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</si>
  <si>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</si>
  <si>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</si>
  <si>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</si>
  <si>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</si>
  <si>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</si>
  <si>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</si>
  <si>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</si>
  <si>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</si>
  <si>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</si>
  <si>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</si>
  <si>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</si>
  <si>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</si>
  <si>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</si>
  <si>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</si>
  <si>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</si>
  <si>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</si>
  <si>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</si>
  <si>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</si>
  <si>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</si>
  <si>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</si>
  <si>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</si>
  <si>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</si>
  <si>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</si>
  <si>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</si>
  <si>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</si>
  <si>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</si>
  <si>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</si>
  <si>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</si>
  <si>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</si>
  <si>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</si>
  <si>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</si>
  <si>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</si>
  <si>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</si>
  <si>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</si>
  <si>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</si>
  <si>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</si>
  <si>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</si>
  <si>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</si>
  <si>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</si>
  <si>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</si>
  <si>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</si>
  <si>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</si>
  <si>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</si>
  <si>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</si>
  <si>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</si>
  <si>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</si>
  <si>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</si>
  <si>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</si>
  <si>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</si>
  <si>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</si>
  <si>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</si>
  <si>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</si>
  <si>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</si>
  <si>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</si>
  <si>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</si>
  <si>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</si>
  <si>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</si>
  <si>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</si>
  <si>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</si>
  <si>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</si>
  <si>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</si>
  <si>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</si>
  <si>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</si>
  <si>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</si>
  <si>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</si>
  <si>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</si>
  <si>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</si>
  <si>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</si>
  <si>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</si>
  <si>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</si>
  <si>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</si>
  <si>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</si>
  <si>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</si>
  <si>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</si>
  <si>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</si>
  <si>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</si>
  <si>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</si>
  <si>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</si>
  <si>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</si>
  <si>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</si>
  <si>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</si>
  <si>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</si>
  <si>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</si>
  <si>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</si>
  <si>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</si>
  <si>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</si>
  <si>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</si>
  <si>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</si>
  <si>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</si>
  <si>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</si>
  <si>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</si>
  <si>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</si>
  <si>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</si>
  <si>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</si>
  <si>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</si>
  <si>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</si>
  <si>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</si>
  <si>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</si>
  <si>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</si>
  <si>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</si>
  <si>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</si>
  <si>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</si>
  <si>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</si>
  <si>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</si>
  <si>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</si>
  <si>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</si>
  <si>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</si>
  <si>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</si>
  <si>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</si>
  <si>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</si>
  <si>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</si>
  <si>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</si>
  <si>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</si>
  <si>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</si>
  <si>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</si>
  <si>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</si>
  <si>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</si>
  <si>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</si>
  <si>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</si>
  <si>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</si>
  <si>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</si>
  <si>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</si>
  <si>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</si>
  <si>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</si>
  <si>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</si>
  <si>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</si>
  <si>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</si>
  <si>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</si>
  <si>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</si>
  <si>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</si>
  <si>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</si>
  <si>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</si>
  <si>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</si>
  <si>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</si>
  <si>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</si>
  <si>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</si>
  <si>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</si>
  <si>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</si>
  <si>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</si>
  <si>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</si>
  <si>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</si>
  <si>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</si>
  <si>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</si>
  <si>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</si>
  <si>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</si>
  <si>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</si>
  <si>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</si>
  <si>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</si>
  <si>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</si>
  <si>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</si>
  <si>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</si>
  <si>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</si>
  <si>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</si>
  <si>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</si>
  <si>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</si>
  <si>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</si>
  <si>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</si>
  <si>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</si>
  <si>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</si>
  <si>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</si>
  <si>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</si>
  <si>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</si>
  <si>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</si>
  <si>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</si>
  <si>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</si>
  <si>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</si>
  <si>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</si>
  <si>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</si>
  <si>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</si>
  <si>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</si>
  <si>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</si>
  <si>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</si>
  <si>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</si>
  <si>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</si>
  <si>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</si>
  <si>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</si>
  <si>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</si>
  <si>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</si>
  <si>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</si>
  <si>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</si>
  <si>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</si>
  <si>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</si>
  <si>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</si>
  <si>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</si>
  <si>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</si>
  <si>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</si>
  <si>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</si>
  <si>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</si>
  <si>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</si>
  <si>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</si>
  <si>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</si>
  <si>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</si>
  <si>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</si>
  <si>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</si>
  <si>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</si>
  <si>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</si>
  <si>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</si>
  <si>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</si>
  <si>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</si>
  <si>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</si>
  <si>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</si>
  <si>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</si>
  <si>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</si>
  <si>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</si>
  <si>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</si>
  <si>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</si>
  <si>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</si>
  <si>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</si>
  <si>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</si>
  <si>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</si>
  <si>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</si>
  <si>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</si>
  <si>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</si>
  <si>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</si>
  <si>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</si>
  <si>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</si>
  <si>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</si>
  <si>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</si>
  <si>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</si>
  <si>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</si>
  <si>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</si>
  <si>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</si>
  <si>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</si>
  <si>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</si>
  <si>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</si>
  <si>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</si>
  <si>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</si>
  <si>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</si>
  <si>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</si>
  <si>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</si>
  <si>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</si>
  <si>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</si>
  <si>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</si>
  <si>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</si>
  <si>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</si>
  <si>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</si>
  <si>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</si>
  <si>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</si>
  <si>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</si>
  <si>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</si>
  <si>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</si>
  <si>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</si>
  <si>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</si>
  <si>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</si>
  <si>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</si>
  <si>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</si>
  <si>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</si>
  <si>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</si>
  <si>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</si>
  <si>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</si>
  <si>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</si>
  <si>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</si>
  <si>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</si>
  <si>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</si>
  <si>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</si>
  <si>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</si>
  <si>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</si>
  <si>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</si>
  <si>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</si>
  <si>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</si>
  <si>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</si>
  <si>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</si>
  <si>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</si>
  <si>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</si>
  <si>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</si>
  <si>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</si>
  <si>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</si>
  <si>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</si>
  <si>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</si>
  <si>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</si>
  <si>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</si>
  <si>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</si>
  <si>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</si>
  <si>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</si>
  <si>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</si>
  <si>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</si>
  <si>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</si>
  <si>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</si>
  <si>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</si>
  <si>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</si>
  <si>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</si>
  <si>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</si>
  <si>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</si>
  <si>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</si>
  <si>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</si>
  <si>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</si>
  <si>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</si>
  <si>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</si>
  <si>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</si>
  <si>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</si>
  <si>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</si>
  <si>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</si>
  <si>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</si>
  <si>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</si>
  <si>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</si>
  <si>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</si>
  <si>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</si>
  <si>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</si>
  <si>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</si>
  <si>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</si>
  <si>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</si>
  <si>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</si>
  <si>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</si>
  <si>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</si>
  <si>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</si>
  <si>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</si>
  <si>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</si>
  <si>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</si>
  <si>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</si>
  <si>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</si>
  <si>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</si>
  <si>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</si>
  <si>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</si>
  <si>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</si>
  <si>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</si>
  <si>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</si>
  <si>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</si>
  <si>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</si>
  <si>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</si>
  <si>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</si>
  <si>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</si>
  <si>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</si>
  <si>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</si>
  <si>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</si>
  <si>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</si>
  <si>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</si>
  <si>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</si>
  <si>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</si>
  <si>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</si>
  <si>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</si>
  <si>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</si>
  <si>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</si>
  <si>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</si>
  <si>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</si>
  <si>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</si>
  <si>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</si>
  <si>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</si>
  <si>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</si>
  <si>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</si>
  <si>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</si>
  <si>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</si>
  <si>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</si>
  <si>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</si>
  <si>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</si>
  <si>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</si>
  <si>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</si>
  <si>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</si>
  <si>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</si>
  <si>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</si>
  <si>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</si>
  <si>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</si>
  <si>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</si>
  <si>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</si>
  <si>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</si>
  <si>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</si>
  <si>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</si>
  <si>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</si>
  <si>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</si>
  <si>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</si>
  <si>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</si>
  <si>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</si>
  <si>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</si>
  <si>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</si>
  <si>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</si>
  <si>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</si>
  <si>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</si>
  <si>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</si>
  <si>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</si>
  <si>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</si>
  <si>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</si>
  <si>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</si>
  <si>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</si>
  <si>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</si>
  <si>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</si>
  <si>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</si>
  <si>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</si>
  <si>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</si>
  <si>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</si>
  <si>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</si>
  <si>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</si>
  <si>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</si>
  <si>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</si>
  <si>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</si>
  <si>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</si>
  <si>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</si>
  <si>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</si>
  <si>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</si>
  <si>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</si>
  <si>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</si>
  <si>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</si>
  <si>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</si>
  <si>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</si>
  <si>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</si>
  <si>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</si>
  <si>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</si>
  <si>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</si>
  <si>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</si>
  <si>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</si>
  <si>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</si>
  <si>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</si>
  <si>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</si>
  <si>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</si>
  <si>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</si>
  <si>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</si>
  <si>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</si>
  <si>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</si>
  <si>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</si>
  <si>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</si>
  <si>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</si>
  <si>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</si>
  <si>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</si>
  <si>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</si>
  <si>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</si>
  <si>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</si>
  <si>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</si>
  <si>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</si>
  <si>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</si>
  <si>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</si>
  <si>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</si>
  <si>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</si>
  <si>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</si>
  <si>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</si>
  <si>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</si>
  <si>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</si>
  <si>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</si>
  <si>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</si>
  <si>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</si>
  <si>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</si>
  <si>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</si>
  <si>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</si>
  <si>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</si>
  <si>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</si>
  <si>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</si>
  <si>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</si>
  <si>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</si>
  <si>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</si>
  <si>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</si>
  <si>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</si>
  <si>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</si>
  <si>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</si>
  <si>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</si>
  <si>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</si>
  <si>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</si>
  <si>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</si>
  <si>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</si>
  <si>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</si>
  <si>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</si>
  <si>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</si>
  <si>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</si>
  <si>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</si>
  <si>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</si>
  <si>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</si>
  <si>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</si>
  <si>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</si>
  <si>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</si>
  <si>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</si>
  <si>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</si>
  <si>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</si>
  <si>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</si>
  <si>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</si>
  <si>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</si>
  <si>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</si>
  <si>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</si>
  <si>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</si>
  <si>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</si>
  <si>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</si>
  <si>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</si>
  <si>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</si>
  <si>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</si>
  <si>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</si>
  <si>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</si>
  <si>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</si>
  <si>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</si>
  <si>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</si>
  <si>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</si>
  <si>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</si>
  <si>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</si>
  <si>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</si>
  <si>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</si>
  <si>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</si>
  <si>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</si>
  <si>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</si>
  <si>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</si>
  <si>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</si>
  <si>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</si>
  <si>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</si>
  <si>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</si>
  <si>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</si>
  <si>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</si>
  <si>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</si>
  <si>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</si>
  <si>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</si>
  <si>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</si>
  <si>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</si>
  <si>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</si>
  <si>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</si>
  <si>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</si>
  <si>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</si>
  <si>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</si>
  <si>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</si>
  <si>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</si>
  <si>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</si>
  <si>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</si>
  <si>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</si>
  <si>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</si>
  <si>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</si>
  <si>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</si>
  <si>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</si>
  <si>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</si>
  <si>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</si>
  <si>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</si>
  <si>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</si>
  <si>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</si>
  <si>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</si>
  <si>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</si>
  <si>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</si>
  <si>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</si>
  <si>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</si>
  <si>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</si>
  <si>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</si>
  <si>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</si>
  <si>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</si>
  <si>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</si>
  <si>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</si>
  <si>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</si>
  <si>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</si>
  <si>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</si>
  <si>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</si>
  <si>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</si>
  <si>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</si>
  <si>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</si>
  <si>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</si>
  <si>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</si>
  <si>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</si>
  <si>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</si>
  <si>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</si>
  <si>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</si>
  <si>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</si>
  <si>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</si>
  <si>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</si>
  <si>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</si>
  <si>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</si>
  <si>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</si>
  <si>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</si>
  <si>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</si>
  <si>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</si>
  <si>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</si>
  <si>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</si>
  <si>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</si>
  <si>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</si>
  <si>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</si>
  <si>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</si>
  <si>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</si>
  <si>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</si>
  <si>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</si>
  <si>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</si>
  <si>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</si>
  <si>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</si>
  <si>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</si>
  <si>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</si>
  <si>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</si>
  <si>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</si>
  <si>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</si>
  <si>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</si>
  <si>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</si>
  <si>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</si>
  <si>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</si>
  <si>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</si>
  <si>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</si>
  <si>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</si>
  <si>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</si>
  <si>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</si>
  <si>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</si>
  <si>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</si>
  <si>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</si>
  <si>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</si>
  <si>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</si>
  <si>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</si>
  <si>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</si>
  <si>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</si>
  <si>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</si>
  <si>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</si>
  <si>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</si>
  <si>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</si>
  <si>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</si>
  <si>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</si>
  <si>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</si>
  <si>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</si>
  <si>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</si>
  <si>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</si>
  <si>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</si>
  <si>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</si>
  <si>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</si>
  <si>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</si>
  <si>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</si>
  <si>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</si>
  <si>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</si>
  <si>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</si>
  <si>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</si>
  <si>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</si>
  <si>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</si>
  <si>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</si>
  <si>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</si>
  <si>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</si>
  <si>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</si>
  <si>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</si>
  <si>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</si>
  <si>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</si>
  <si>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</si>
  <si>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</si>
  <si>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</si>
  <si>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</si>
  <si>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</si>
  <si>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</si>
  <si>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</si>
  <si>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</si>
  <si>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</si>
  <si>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</si>
  <si>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</si>
  <si>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</si>
  <si>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</si>
  <si>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</si>
  <si>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</si>
  <si>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</si>
  <si>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</si>
  <si>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</si>
  <si>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</si>
  <si>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</si>
  <si>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</si>
  <si>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</si>
  <si>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</si>
  <si>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</si>
  <si>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</si>
  <si>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</si>
  <si>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</si>
  <si>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</si>
  <si>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</si>
  <si>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</si>
  <si>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</si>
  <si>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</si>
  <si>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</si>
  <si>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</si>
  <si>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</si>
  <si>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</si>
  <si>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</si>
  <si>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</si>
  <si>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</si>
  <si>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</si>
  <si>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</si>
  <si>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</si>
  <si>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</si>
  <si>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</si>
  <si>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</si>
  <si>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</si>
  <si>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</si>
  <si>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</si>
  <si>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</si>
  <si>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</si>
  <si>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</si>
  <si>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</si>
  <si>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</si>
  <si>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</si>
  <si>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</si>
  <si>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</si>
  <si>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</si>
  <si>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</si>
  <si>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</si>
  <si>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</si>
  <si>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</si>
  <si>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</si>
  <si>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</si>
  <si>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</si>
  <si>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</si>
  <si>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</si>
  <si>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</si>
  <si>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</si>
  <si>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</si>
  <si>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</si>
  <si>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</si>
  <si>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</si>
  <si>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</si>
  <si>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</si>
  <si>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</si>
  <si>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</si>
  <si>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</si>
  <si>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</si>
  <si>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</si>
  <si>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</si>
  <si>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</si>
  <si>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</si>
  <si>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</si>
  <si>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</si>
  <si>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</si>
  <si>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</si>
  <si>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</si>
  <si>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</si>
  <si>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</si>
  <si>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</si>
  <si>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</si>
  <si>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</si>
  <si>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</si>
  <si>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</si>
  <si>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</si>
  <si>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</si>
  <si>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</si>
  <si>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</si>
  <si>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</si>
  <si>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</si>
  <si>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</si>
  <si>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</si>
  <si>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</si>
  <si>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</si>
  <si>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</si>
  <si>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</si>
  <si>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</si>
  <si>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</si>
  <si>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</si>
  <si>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</si>
  <si>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</si>
  <si>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</si>
  <si>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</si>
  <si>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</si>
  <si>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</si>
  <si>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</si>
  <si>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</si>
  <si>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</si>
  <si>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</si>
  <si>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</si>
  <si>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</si>
  <si>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</si>
  <si>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</si>
  <si>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</si>
  <si>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</si>
  <si>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</si>
  <si>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</si>
  <si>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</si>
  <si>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</si>
  <si>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</si>
  <si>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</si>
  <si>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</si>
  <si>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</si>
  <si>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</si>
  <si>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</si>
  <si>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</si>
  <si>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</si>
  <si>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</si>
  <si>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</si>
  <si>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</si>
  <si>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</si>
  <si>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</si>
  <si>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</si>
  <si>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</si>
  <si>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</si>
  <si>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</si>
  <si>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</si>
  <si>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</si>
  <si>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</si>
  <si>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</si>
  <si>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</si>
  <si>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</si>
  <si>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</si>
  <si>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</si>
  <si>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</si>
  <si>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</si>
  <si>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</si>
  <si>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</si>
  <si>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</si>
  <si>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</si>
  <si>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</si>
  <si>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</si>
  <si>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</si>
  <si>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</si>
  <si>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</si>
  <si>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</si>
  <si>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</si>
  <si>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</si>
  <si>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</si>
  <si>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</si>
  <si>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</si>
  <si>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</si>
  <si>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</si>
  <si>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</si>
  <si>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</si>
  <si>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</si>
  <si>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</si>
  <si>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</si>
  <si>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</si>
  <si>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</si>
  <si>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</si>
  <si>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</si>
  <si>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</si>
  <si>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</si>
  <si>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</si>
  <si>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</si>
  <si>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</si>
  <si>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</si>
  <si>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</si>
  <si>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</si>
  <si>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</si>
  <si>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</si>
  <si>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</si>
  <si>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</si>
  <si>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</si>
  <si>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</si>
  <si>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</si>
  <si>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</si>
  <si>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</si>
  <si>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</si>
  <si>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</si>
  <si>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</si>
  <si>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</si>
  <si>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</si>
  <si>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</si>
  <si>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</si>
  <si>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</si>
  <si>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</si>
  <si>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</si>
  <si>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</si>
  <si>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</si>
  <si>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</si>
  <si>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</si>
  <si>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</si>
  <si>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</si>
  <si>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</si>
  <si>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</si>
  <si>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</si>
  <si>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</si>
  <si>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</si>
  <si>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</si>
  <si>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</si>
  <si>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</si>
  <si>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</si>
  <si>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</si>
  <si>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</si>
  <si>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</si>
  <si>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</si>
  <si>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</si>
  <si>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</si>
  <si>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</si>
  <si>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</si>
  <si>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</si>
  <si>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</si>
  <si>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</si>
  <si>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</si>
  <si>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</si>
  <si>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</si>
  <si>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</si>
  <si>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</si>
  <si>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</si>
  <si>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</si>
  <si>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</si>
  <si>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</si>
  <si>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</si>
  <si>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</si>
  <si>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</si>
  <si>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</si>
  <si>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</si>
  <si>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</si>
  <si>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</si>
  <si>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</si>
  <si>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</si>
  <si>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</si>
  <si>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</si>
  <si>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</si>
  <si>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</si>
  <si>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</si>
  <si>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</si>
  <si>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</si>
  <si>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</si>
  <si>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</si>
  <si>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</si>
  <si>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</si>
  <si>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</si>
  <si>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</si>
  <si>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</si>
  <si>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</si>
  <si>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</si>
  <si>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</si>
  <si>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</si>
  <si>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</si>
  <si>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</si>
  <si>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</si>
  <si>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</si>
  <si>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</si>
  <si>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</si>
  <si>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</si>
  <si>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</si>
  <si>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</si>
  <si>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</si>
  <si>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</si>
  <si>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</si>
  <si>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</si>
  <si>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</si>
  <si>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</si>
  <si>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</si>
  <si>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</si>
  <si>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</si>
  <si>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</si>
  <si>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</si>
  <si>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</si>
  <si>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</si>
  <si>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</si>
  <si>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</si>
  <si>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</si>
  <si>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</si>
  <si>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</si>
  <si>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</si>
  <si>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</si>
  <si>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</si>
  <si>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</si>
  <si>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</si>
  <si>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</si>
  <si>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</si>
  <si>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</si>
  <si>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</si>
  <si>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</si>
  <si>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</si>
  <si>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</si>
  <si>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</si>
  <si>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</si>
  <si>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</si>
  <si>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</si>
  <si>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</si>
  <si>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</si>
  <si>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</si>
  <si>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</si>
  <si>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</si>
  <si>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</si>
  <si>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</si>
  <si>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</si>
  <si>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</si>
  <si>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</si>
  <si>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</si>
  <si>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</si>
  <si>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</si>
  <si>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</si>
  <si>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</si>
  <si>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</si>
  <si>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</si>
  <si>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</si>
  <si>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</si>
  <si>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</si>
  <si>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</si>
  <si>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</si>
  <si>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</si>
  <si>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</si>
  <si>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</si>
  <si>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</si>
  <si>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</si>
  <si>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</si>
  <si>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</si>
  <si>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</si>
  <si>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</si>
  <si>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</si>
  <si>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</si>
  <si>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</si>
  <si>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</si>
  <si>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</si>
  <si>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</si>
  <si>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</si>
  <si>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</si>
  <si>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</si>
  <si>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</si>
  <si>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</si>
  <si>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</si>
  <si>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</si>
  <si>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</si>
  <si>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</si>
  <si>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</si>
  <si>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</si>
  <si>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</si>
  <si>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</si>
  <si>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</si>
  <si>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</si>
  <si>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</si>
  <si>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</si>
  <si>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</si>
  <si>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</si>
  <si>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</si>
  <si>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</si>
  <si>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</si>
  <si>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</si>
  <si>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</si>
  <si>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</si>
  <si>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</si>
  <si>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</si>
  <si>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</si>
  <si>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</si>
  <si>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</si>
  <si>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</si>
  <si>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</si>
  <si>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</si>
  <si>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</si>
  <si>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</si>
  <si>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</si>
  <si>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</si>
  <si>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</si>
  <si>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</si>
  <si>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</si>
  <si>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</si>
  <si>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</si>
  <si>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</si>
  <si>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</si>
  <si>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</si>
  <si>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</si>
  <si>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</si>
  <si>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</si>
  <si>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</si>
  <si>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</si>
  <si>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</si>
  <si>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</si>
  <si>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</si>
  <si>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</si>
  <si>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</si>
  <si>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</si>
  <si>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</si>
  <si>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</si>
  <si>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</si>
  <si>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</si>
  <si>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</si>
  <si>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</si>
  <si>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</si>
  <si>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</si>
  <si>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</si>
  <si>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</si>
  <si>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</si>
  <si>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</si>
  <si>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</si>
  <si>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</si>
  <si>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</si>
  <si>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</si>
  <si>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</si>
  <si>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</si>
  <si>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</si>
  <si>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</si>
  <si>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</si>
  <si>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</si>
  <si>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</si>
  <si>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</si>
  <si>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</si>
  <si>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</si>
  <si>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</si>
  <si>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</si>
  <si>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</si>
  <si>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</si>
  <si>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</si>
  <si>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</si>
  <si>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</si>
  <si>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</si>
  <si>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</si>
  <si>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</si>
  <si>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</si>
  <si>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</si>
  <si>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</si>
  <si>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</si>
  <si>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</si>
  <si>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</si>
  <si>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</si>
  <si>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</si>
  <si>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</si>
  <si>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</si>
  <si>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</si>
  <si>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</si>
  <si>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</si>
  <si>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</si>
  <si>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</si>
  <si>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</si>
  <si>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</si>
  <si>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</si>
  <si>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</si>
  <si>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</si>
  <si>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</si>
  <si>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</si>
  <si>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</si>
  <si>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</si>
  <si>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</si>
  <si>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</si>
  <si>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</si>
  <si>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</si>
  <si>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</si>
  <si>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</si>
  <si>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</si>
  <si>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</si>
  <si>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</si>
  <si>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</si>
  <si>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</si>
  <si>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</si>
  <si>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</si>
  <si>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</si>
  <si>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</si>
  <si>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</si>
  <si>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</si>
  <si>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</si>
  <si>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</si>
  <si>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</si>
  <si>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</si>
  <si>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</si>
  <si>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</si>
  <si>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</si>
  <si>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</si>
  <si>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</si>
  <si>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</si>
  <si>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</si>
  <si>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</si>
  <si>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</si>
  <si>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</si>
  <si>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</si>
  <si>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</si>
  <si>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</si>
  <si>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</si>
  <si>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</si>
  <si>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</si>
  <si>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</si>
  <si>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</si>
  <si>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</si>
  <si>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</si>
  <si>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</si>
  <si>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</si>
  <si>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</si>
  <si>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</si>
  <si>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</si>
  <si>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</si>
  <si>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</si>
  <si>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</si>
  <si>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</si>
  <si>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</si>
  <si>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</si>
  <si>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</si>
  <si>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</si>
  <si>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</si>
  <si>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</si>
  <si>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</si>
  <si>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</si>
  <si>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</si>
  <si>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</si>
  <si>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</si>
  <si>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</si>
  <si>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</si>
  <si>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</si>
  <si>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</si>
  <si>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</si>
  <si>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</si>
  <si>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</si>
  <si>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</si>
  <si>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</si>
  <si>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</si>
  <si>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</si>
  <si>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</si>
  <si>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</si>
  <si>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</si>
  <si>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</si>
  <si>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</si>
  <si>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</si>
  <si>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</si>
  <si>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</si>
  <si>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</si>
  <si>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</si>
  <si>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</si>
  <si>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</si>
  <si>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</si>
  <si>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</si>
  <si>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</si>
  <si>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</si>
  <si>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</si>
  <si>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</si>
  <si>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</si>
  <si>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</si>
  <si>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</si>
  <si>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</si>
  <si>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</si>
  <si>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</si>
  <si>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</si>
  <si>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</si>
  <si>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</si>
  <si>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</si>
  <si>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</si>
  <si>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</si>
  <si>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</si>
  <si>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</si>
  <si>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</si>
  <si>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</si>
  <si>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</si>
  <si>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</si>
  <si>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</si>
  <si>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</si>
  <si>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</si>
  <si>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</si>
  <si>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</si>
  <si>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</si>
  <si>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</si>
  <si>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</si>
  <si>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</si>
  <si>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</si>
  <si>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</si>
  <si>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</si>
  <si>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</si>
  <si>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</si>
  <si>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</si>
  <si>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</si>
  <si>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</si>
  <si>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</si>
  <si>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</si>
  <si>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</si>
  <si>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</si>
  <si>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</si>
  <si>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</si>
  <si>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</si>
  <si>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</si>
  <si>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</si>
  <si>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</si>
  <si>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</si>
  <si>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</si>
  <si>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</si>
  <si>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</si>
  <si>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</si>
  <si>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</si>
  <si>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</si>
  <si>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</si>
  <si>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</si>
  <si>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</si>
  <si>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</si>
  <si>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</si>
  <si>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</si>
  <si>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</si>
  <si>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</si>
  <si>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</si>
  <si>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</si>
  <si>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</si>
  <si>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</si>
  <si>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</si>
  <si>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</si>
  <si>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</si>
  <si>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</si>
  <si>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</si>
  <si>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</si>
  <si>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</si>
  <si>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</si>
  <si>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</si>
  <si>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</si>
  <si>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</si>
  <si>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</si>
  <si>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</si>
  <si>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</si>
  <si>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</si>
  <si>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</si>
  <si>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</si>
  <si>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</si>
  <si>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</si>
  <si>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</si>
  <si>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</si>
  <si>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</si>
  <si>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</si>
  <si>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</si>
  <si>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</si>
  <si>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</si>
  <si>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</si>
  <si>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</si>
  <si>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</si>
  <si>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</si>
  <si>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</si>
  <si>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</si>
  <si>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</si>
  <si>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</si>
  <si>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</si>
  <si>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</si>
  <si>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</si>
  <si>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</si>
  <si>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</si>
  <si>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</si>
  <si>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</si>
  <si>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</si>
  <si>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</si>
  <si>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</si>
  <si>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</si>
  <si>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</si>
  <si>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</si>
  <si>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</si>
  <si>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</si>
  <si>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</si>
  <si>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</si>
  <si>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</si>
  <si>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</si>
  <si>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</si>
  <si>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</si>
  <si>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</si>
  <si>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</si>
  <si>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</si>
  <si>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</si>
  <si>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</si>
  <si>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</si>
  <si>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</si>
  <si>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</si>
  <si>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</si>
  <si>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</si>
  <si>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</si>
  <si>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</si>
  <si>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</si>
  <si>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</si>
  <si>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</si>
  <si>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</si>
  <si>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</si>
  <si>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</si>
  <si>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</si>
  <si>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</si>
  <si>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</si>
  <si>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</si>
  <si>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</si>
  <si>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</si>
  <si>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</si>
  <si>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</si>
  <si>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</si>
  <si>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</si>
  <si>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</si>
  <si>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</si>
  <si>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</si>
  <si>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</si>
  <si>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</si>
  <si>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</si>
  <si>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</si>
  <si>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</si>
  <si>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</si>
  <si>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</si>
  <si>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</si>
  <si>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</si>
  <si>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</si>
  <si>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</si>
  <si>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</si>
  <si>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</si>
  <si>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</si>
  <si>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</si>
  <si>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</si>
  <si>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</si>
  <si>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</si>
  <si>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</si>
  <si>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</si>
  <si>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</si>
  <si>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</si>
  <si>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</si>
  <si>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</si>
  <si>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</si>
  <si>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</si>
  <si>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</si>
  <si>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</si>
  <si>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</si>
  <si>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</si>
  <si>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</si>
  <si>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</si>
  <si>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</si>
  <si>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</si>
  <si>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</si>
  <si>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</si>
  <si>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</si>
  <si>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</si>
  <si>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</si>
  <si>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</si>
  <si>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</si>
  <si>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</si>
  <si>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</si>
  <si>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</si>
  <si>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</si>
  <si>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</si>
  <si>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</si>
  <si>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</si>
  <si>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中高层洋房总面积</t>
    <phoneticPr fontId="233" type="noConversion"/>
  </si>
  <si>
    <t>估价对象1</t>
    <phoneticPr fontId="233" type="noConversion"/>
  </si>
  <si>
    <t>估价对象2</t>
    <phoneticPr fontId="233" type="noConversion"/>
  </si>
  <si>
    <t>估价对象3</t>
    <phoneticPr fontId="233" type="noConversion"/>
  </si>
  <si>
    <t>洋房建筑面积</t>
    <phoneticPr fontId="233" type="noConversion"/>
  </si>
  <si>
    <t>车位总面积</t>
    <phoneticPr fontId="233" type="noConversion"/>
  </si>
  <si>
    <t>估价对象4</t>
    <phoneticPr fontId="233" type="noConversion"/>
  </si>
  <si>
    <t>车位面积</t>
    <phoneticPr fontId="233" type="noConversion"/>
  </si>
  <si>
    <t>合计1</t>
    <phoneticPr fontId="233" type="noConversion"/>
  </si>
  <si>
    <t>合计2</t>
    <phoneticPr fontId="233" type="noConversion"/>
  </si>
  <si>
    <t>车位</t>
  </si>
  <si>
    <t>车位</t>
    <phoneticPr fontId="3" type="noConversion"/>
  </si>
  <si>
    <t>地下</t>
  </si>
  <si>
    <t>车库</t>
  </si>
  <si>
    <t>中高层洋房</t>
    <phoneticPr fontId="7" type="noConversion"/>
  </si>
  <si>
    <t>车位</t>
    <phoneticPr fontId="7" type="noConversion"/>
  </si>
  <si>
    <t>海口碧桂园</t>
    <phoneticPr fontId="3" type="noConversion"/>
  </si>
  <si>
    <t>紫竹园</t>
    <phoneticPr fontId="3" type="noConversion"/>
  </si>
  <si>
    <t>正常</t>
  </si>
  <si>
    <t>住宅</t>
    <phoneticPr fontId="21" type="noConversion"/>
  </si>
  <si>
    <t>60-70（含）</t>
  </si>
  <si>
    <t>伟业智青春</t>
    <phoneticPr fontId="3" type="noConversion"/>
  </si>
  <si>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</si>
  <si>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</si>
  <si>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</si>
  <si>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</si>
  <si>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</si>
  <si>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</si>
  <si>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</si>
  <si>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</si>
  <si>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</si>
  <si>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</si>
  <si>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</si>
  <si>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</si>
  <si>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</si>
  <si>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</si>
  <si>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</si>
  <si>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</si>
  <si>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</si>
  <si>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</si>
  <si>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</si>
  <si>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</si>
  <si>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</si>
  <si>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</si>
  <si>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</si>
  <si>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</si>
  <si>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</si>
  <si>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</si>
  <si>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</si>
  <si>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</si>
  <si>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不动产收益法</t>
  </si>
  <si>
    <t>红城湖片区棚改项目用地范围内</t>
    <phoneticPr fontId="3" type="noConversion"/>
  </si>
  <si>
    <t>红城湖片区棚改项目用地范围内</t>
    <phoneticPr fontId="3" type="noConversion"/>
  </si>
  <si>
    <t>海口市西海岸南片区新区</t>
    <phoneticPr fontId="3" type="noConversion"/>
  </si>
  <si>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</si>
  <si>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</si>
  <si>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</si>
  <si>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</si>
  <si>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</si>
  <si>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</si>
  <si>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</si>
  <si>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</si>
  <si>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</si>
  <si>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</si>
  <si>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海口市西海岸南片区新区</t>
    <phoneticPr fontId="233" type="noConversion"/>
  </si>
  <si>
    <t>剩余法-待开发</t>
  </si>
  <si>
    <t>比较法-住宅、综合</t>
  </si>
  <si>
    <t>楼面地价</t>
  </si>
  <si>
    <t>押一</t>
  </si>
  <si>
    <t>估价对象1</t>
    <phoneticPr fontId="233" type="noConversion"/>
  </si>
  <si>
    <t>合计</t>
    <phoneticPr fontId="233" type="noConversion"/>
  </si>
  <si>
    <t>总价</t>
    <phoneticPr fontId="233" type="noConversion"/>
  </si>
  <si>
    <t>楼面单价</t>
    <phoneticPr fontId="233" type="noConversion"/>
  </si>
  <si>
    <t>地面单价</t>
    <phoneticPr fontId="233" type="noConversion"/>
  </si>
  <si>
    <t>6块地</t>
    <phoneticPr fontId="233" type="noConversion"/>
  </si>
  <si>
    <t>估价对象</t>
    <phoneticPr fontId="233" type="noConversion"/>
  </si>
  <si>
    <t>原始金额</t>
    <phoneticPr fontId="233" type="noConversion"/>
  </si>
  <si>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</si>
  <si>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</si>
  <si>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</si>
  <si>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建筑面积</t>
    <phoneticPr fontId="233"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</si>
  <si>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</si>
  <si>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</si>
  <si>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</si>
  <si>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</si>
  <si>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</si>
  <si>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</si>
  <si>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</si>
  <si>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估价对象北侧临主干道-椰海大道，有64路、83路、89路等公交线路，停车便捷程度一般，综合评价交通便捷度较好</t>
    <phoneticPr fontId="3" type="noConversion"/>
  </si>
  <si>
    <t>六通一平</t>
    <phoneticPr fontId="3" type="noConversion"/>
  </si>
  <si>
    <t>估价对象周边周边有紫竹园、伟业致青春、海口碧桂园等住宅小区均正在待开发项目，综合评价居住社区成熟度一般</t>
    <phoneticPr fontId="3" type="noConversion"/>
  </si>
  <si>
    <t>估价对象所在区域有平安银行、万达广场、景山学校、海南省农垦总医院，公共配套设施一般</t>
    <phoneticPr fontId="3" type="noConversion"/>
  </si>
  <si>
    <t>区域内无特殊自然环境及大学，综合评价环境状况一般</t>
    <phoneticPr fontId="3" type="noConversion"/>
  </si>
  <si>
    <t>估价对象周边周边有紫竹园、伟业致青春等住宅小区均正在待开发项目，综合评价居住社区成熟度一般</t>
    <phoneticPr fontId="21"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</si>
  <si>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</si>
  <si>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</si>
  <si>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</si>
  <si>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</si>
  <si>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</si>
  <si>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</si>
  <si>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</si>
  <si>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</si>
  <si>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</si>
  <si>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</si>
  <si>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</si>
  <si>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</si>
  <si>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</si>
  <si>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</si>
  <si>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</si>
  <si>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</si>
  <si>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</si>
  <si>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</si>
  <si>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</si>
  <si>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</si>
  <si>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</si>
  <si>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</si>
  <si>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</si>
  <si>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</si>
  <si>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</si>
  <si>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</si>
  <si>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</si>
  <si>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</si>
  <si>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</si>
  <si>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</si>
  <si>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</si>
  <si>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</si>
  <si>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</si>
  <si>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</si>
  <si>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</si>
  <si>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</si>
  <si>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</si>
  <si>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</si>
  <si>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</si>
  <si>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估价对象所在区域有工商银行、农业银行、e世纪广场、琼山第四小学、海南市第三人民医院，公共配套设施较好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</si>
  <si>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</si>
  <si>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</si>
  <si>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</si>
  <si>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</si>
  <si>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</si>
  <si>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</si>
  <si>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</si>
  <si>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</si>
  <si>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估价对象周边周边有长信海岸水城、菩提树、城市海岸小区，综合评价居住社区成熟度较好</t>
    <phoneticPr fontId="26" type="noConversion"/>
  </si>
  <si>
    <t>六通</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</si>
</sst>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27</xdr:row>
      <xdr:rowOff>161926</xdr:rowOff>
    </xdr:from>
    <xdr:to>
      <xdr:col>10</xdr:col>
      <xdr:colOff>238126</xdr:colOff>
      <xdr:row>37</xdr:row>
      <xdr:rowOff>118642</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50" y="4791076"/>
          <a:ext cx="7000876" cy="1671216"/>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66675</xdr:colOff>
      <xdr:row>6</xdr:row>
      <xdr:rowOff>19050</xdr:rowOff>
    </xdr:from>
    <xdr:to>
      <xdr:col>13</xdr:col>
      <xdr:colOff>180975</xdr:colOff>
      <xdr:row>34</xdr:row>
      <xdr:rowOff>105583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4933950" y="104775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762750"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4&#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37617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2663</v>
      </c>
      <c r="B1" s="2922" t="s">
        <v>2760</v>
      </c>
    </row>
    <row r="2" spans="1:55" s="2926" customFormat="1" ht="15" thickTop="1">
      <c r="A2" s="2924" t="s">
        <v>2667</v>
      </c>
      <c r="B2" s="2925" t="str">
        <f>'预评函-封皮'!B37</f>
        <v>海南省海口市椰海大道南侧、丘海大道延长线西侧出让国有建设用地使用权抵押价格预评估</v>
      </c>
      <c r="AX2" s="2927"/>
      <c r="AZ2" s="2927"/>
      <c r="BA2" s="2928"/>
      <c r="BC2" s="2928"/>
    </row>
    <row r="3" spans="1:55" s="2929" customFormat="1">
      <c r="A3" s="2908" t="s">
        <v>2668</v>
      </c>
      <c r="B3" s="2911">
        <f>'预评函-封皮'!B40</f>
        <v>0</v>
      </c>
    </row>
    <row r="4" spans="1:55" s="2910" customFormat="1">
      <c r="A4" s="2908" t="s">
        <v>2669</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2670</v>
      </c>
      <c r="B5" s="2931" t="str">
        <f>'预评函-封皮'!B49</f>
        <v>康正预评字号</v>
      </c>
    </row>
    <row r="6" spans="1:55" s="2932" customFormat="1" ht="15" thickTop="1">
      <c r="A6" s="2924" t="s">
        <v>2712</v>
      </c>
      <c r="B6" s="2925" t="str">
        <f>'预评函-1'!A4</f>
        <v>受贵公司委托，我公司对海南省海口市椰海大道南侧、丘海大道延长线西侧出让国有建设用地使用权抵押价格进行了预评估。</v>
      </c>
      <c r="AM6" s="2933"/>
    </row>
    <row r="7" spans="1:55" s="2907" customFormat="1">
      <c r="A7" s="2908" t="s">
        <v>2664</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8" spans="1:55" s="2907" customFormat="1">
      <c r="A8" s="2908" t="s">
        <v>2665</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2715</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2666</v>
      </c>
      <c r="B10" s="2909" t="str">
        <f>'预评函-1'!A11</f>
        <v>2017年11月8日（评估专业人员勘察现场之日）</v>
      </c>
    </row>
    <row r="11" spans="1:55" s="2907" customFormat="1">
      <c r="A11" s="2908" t="s">
        <v>2672</v>
      </c>
      <c r="B11" s="2909" t="str">
        <f>'预评函-1'!A14</f>
        <v>根据《国有土地使用证》[海口市国用（2016）第003013号]，本次评估估价对象证载（地类）用途为城镇住宅用地。</v>
      </c>
    </row>
    <row r="12" spans="1:55" s="2907" customFormat="1">
      <c r="A12" s="2908" t="s">
        <v>2673</v>
      </c>
      <c r="B12" s="2909" t="str">
        <f>'预评函-1'!A15</f>
        <v>本次评估设定用途即为证载用途住宅。</v>
      </c>
    </row>
    <row r="13" spans="1:55" s="2907" customFormat="1">
      <c r="A13" s="2908" t="s">
        <v>2674</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2675</v>
      </c>
      <c r="B14" s="2909" t="str">
        <f>'预评函-1'!A18</f>
        <v>本次评估设定土地开发程度为红线外市政基础设施达“七通”、宗地红线内场地平整。</v>
      </c>
    </row>
    <row r="15" spans="1:55" s="2907" customFormat="1">
      <c r="A15" s="2908" t="s">
        <v>2671</v>
      </c>
      <c r="B15" s="2909" t="str">
        <f>'预评函-1'!A20</f>
        <v>根据《国有土地使用证》[]，估价对象（分摊）出让国有建设用地使用权面积为7741.69平方米。根据《建设工程规划许可证》[]、《出让合同》[]，估价对象规划建筑面积为16687.06平方米。</v>
      </c>
    </row>
    <row r="16" spans="1:55" s="2907" customFormat="1">
      <c r="A16" s="2908" t="s">
        <v>2676</v>
      </c>
      <c r="B16" s="2909" t="str">
        <f>'预评函-1'!A22</f>
        <v>本次估价对象为出让国有建设用地使用权，《国有土地使用证》[海口市国用（2016）第003013号]证载土地终止日期为住宅2085年7月20日地下车库2065年7月20日。截至估价期日，出让国有建设用地使用权剩余土地使用年限为。</v>
      </c>
    </row>
    <row r="17" spans="1:48" s="2907" customFormat="1">
      <c r="A17" s="2908" t="s">
        <v>2677</v>
      </c>
      <c r="B17" s="2909" t="str">
        <f>'预评函-1'!A23</f>
        <v>本次评估设定估价对象剩余土地使用年限为。</v>
      </c>
    </row>
    <row r="18" spans="1:48" s="2907" customFormat="1">
      <c r="A18" s="2908" t="s">
        <v>2678</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2679</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2680</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2681</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2682</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2683</v>
      </c>
      <c r="B23" s="2909" t="str">
        <f>'预评函-2'!K2</f>
        <v>估价期日：2017年11月8日</v>
      </c>
    </row>
    <row r="24" spans="1:48">
      <c r="A24" s="2908" t="s">
        <v>2684</v>
      </c>
      <c r="B24" s="2909" t="str">
        <f>'预评函-2'!R2</f>
        <v>估价期日的国有建设用地使用权性质：出让</v>
      </c>
    </row>
    <row r="25" spans="1:48">
      <c r="A25" s="2908" t="s">
        <v>2740</v>
      </c>
      <c r="B25" s="2909" t="str">
        <f>'预评函-2'!A3</f>
        <v>估价期日土地使用者</v>
      </c>
    </row>
    <row r="26" spans="1:48">
      <c r="A26" s="2908" t="s">
        <v>2716</v>
      </c>
      <c r="B26" s="2909" t="str">
        <f>'预评函-2'!A5</f>
        <v>中信开发</v>
      </c>
    </row>
    <row r="27" spans="1:48">
      <c r="A27" s="2908" t="s">
        <v>2741</v>
      </c>
      <c r="B27" s="2909" t="str">
        <f>'预评函-2'!B3</f>
        <v>宗地编号/不动产单元号</v>
      </c>
    </row>
    <row r="28" spans="1:48">
      <c r="A28" s="2908" t="s">
        <v>2717</v>
      </c>
      <c r="B28" s="2909" t="str">
        <f>'预评函-2'!B5</f>
        <v>11111111111</v>
      </c>
    </row>
    <row r="29" spans="1:48">
      <c r="A29" s="2908" t="s">
        <v>2743</v>
      </c>
      <c r="B29" s="2909">
        <f>'预评函-2'!C5</f>
        <v>22</v>
      </c>
    </row>
    <row r="30" spans="1:48">
      <c r="A30" s="2908" t="s">
        <v>2744</v>
      </c>
      <c r="B30" s="2909" t="str">
        <f>'预评函-2'!D3</f>
        <v>土地使用证编号/不动产权证书编号</v>
      </c>
    </row>
    <row r="31" spans="1:48">
      <c r="A31" s="2908" t="s">
        <v>2718</v>
      </c>
      <c r="B31" s="2909" t="str">
        <f>'预评函-2'!D5</f>
        <v>京国土字第111号</v>
      </c>
    </row>
    <row r="32" spans="1:48">
      <c r="A32" s="2908" t="s">
        <v>2719</v>
      </c>
      <c r="B32" s="2909" t="str">
        <f>'预评函-2'!E5</f>
        <v>城镇住宅用地</v>
      </c>
      <c r="AV32" s="2913"/>
    </row>
    <row r="33" spans="1:2">
      <c r="A33" s="2908" t="s">
        <v>2720</v>
      </c>
      <c r="B33" s="2909">
        <f>'预评函-2'!F5</f>
        <v>258</v>
      </c>
    </row>
    <row r="34" spans="1:2">
      <c r="A34" s="2908" t="s">
        <v>2721</v>
      </c>
      <c r="B34" s="2909" t="str">
        <f>'预评函-2'!G5</f>
        <v>住宅</v>
      </c>
    </row>
    <row r="35" spans="1:2">
      <c r="A35" s="2908" t="s">
        <v>2722</v>
      </c>
      <c r="B35" s="2909">
        <f>'预评函-2'!H5</f>
        <v>1.5</v>
      </c>
    </row>
    <row r="36" spans="1:2">
      <c r="A36" s="2908" t="s">
        <v>2723</v>
      </c>
      <c r="B36" s="2909">
        <f>'预评函-2'!I5</f>
        <v>1.5</v>
      </c>
    </row>
    <row r="37" spans="1:2">
      <c r="A37" s="2908" t="s">
        <v>2724</v>
      </c>
      <c r="B37" s="2909">
        <f>'预评函-2'!J5</f>
        <v>1.5</v>
      </c>
    </row>
    <row r="38" spans="1:2">
      <c r="A38" s="2908" t="s">
        <v>2725</v>
      </c>
      <c r="B38" s="2909" t="str">
        <f>'预评函-2'!K5</f>
        <v>红线外七通、宗地红线内场地平整</v>
      </c>
    </row>
    <row r="39" spans="1:2">
      <c r="A39" s="2908" t="s">
        <v>2726</v>
      </c>
      <c r="B39" s="2909" t="str">
        <f>'预评函-2'!L5</f>
        <v>红线外七通、宗地红线内场地平整</v>
      </c>
    </row>
    <row r="40" spans="1:2">
      <c r="A40" s="2908" t="s">
        <v>2745</v>
      </c>
      <c r="B40" s="2909" t="str">
        <f>'预评函-2'!M3</f>
        <v>（剩余）土地使用年限/年</v>
      </c>
    </row>
    <row r="41" spans="1:2">
      <c r="A41" s="2908" t="s">
        <v>2727</v>
      </c>
      <c r="B41" s="2909">
        <f>'预评函-2'!M5</f>
        <v>0</v>
      </c>
    </row>
    <row r="42" spans="1:2">
      <c r="A42" s="2908" t="s">
        <v>2746</v>
      </c>
      <c r="B42" s="2909" t="str">
        <f>'预评函-2'!N3</f>
        <v>（分摊）出让国有建设用地使用权面积/㎡</v>
      </c>
    </row>
    <row r="43" spans="1:2">
      <c r="A43" s="2908" t="s">
        <v>2728</v>
      </c>
      <c r="B43" s="2909">
        <f>'预评函-2'!N5</f>
        <v>7741.69</v>
      </c>
    </row>
    <row r="44" spans="1:2">
      <c r="A44" s="2908" t="s">
        <v>2747</v>
      </c>
      <c r="B44" s="2909" t="str">
        <f>'预评函-2'!O3</f>
        <v>规划建筑面积/㎡</v>
      </c>
    </row>
    <row r="45" spans="1:2">
      <c r="A45" s="2908" t="s">
        <v>2729</v>
      </c>
      <c r="B45" s="2909">
        <f>'预评函-2'!O5</f>
        <v>16687.060000000001</v>
      </c>
    </row>
    <row r="46" spans="1:2">
      <c r="A46" s="2908" t="s">
        <v>2730</v>
      </c>
      <c r="B46" s="2909">
        <f ca="1">'预评函-2'!P5</f>
        <v>10571</v>
      </c>
    </row>
    <row r="47" spans="1:2">
      <c r="A47" s="2908" t="s">
        <v>2731</v>
      </c>
      <c r="B47" s="2909">
        <f ca="1">'预评函-2'!Q5</f>
        <v>4904</v>
      </c>
    </row>
    <row r="48" spans="1:2">
      <c r="A48" s="2908" t="s">
        <v>2732</v>
      </c>
      <c r="B48" s="2909">
        <f ca="1">'预评函-2'!R5</f>
        <v>8184</v>
      </c>
    </row>
    <row r="49" spans="1:2">
      <c r="A49" s="2908" t="s">
        <v>2748</v>
      </c>
      <c r="B49" s="2909" t="str">
        <f>'预评函-2'!A6</f>
        <v>抵押价格</v>
      </c>
    </row>
    <row r="50" spans="1:2">
      <c r="A50" s="2908" t="s">
        <v>2733</v>
      </c>
      <c r="B50" s="2909" t="str">
        <f>'预评函-2'!R6</f>
        <v>——</v>
      </c>
    </row>
    <row r="51" spans="1:2">
      <c r="A51" s="2908" t="s">
        <v>2749</v>
      </c>
      <c r="B51" s="2909" t="str">
        <f>'预评函-2'!A7</f>
        <v>——</v>
      </c>
    </row>
    <row r="52" spans="1:2">
      <c r="A52" s="2908" t="s">
        <v>2734</v>
      </c>
      <c r="B52" s="2909">
        <f ca="1">'预评函-2'!R7</f>
        <v>8184</v>
      </c>
    </row>
    <row r="53" spans="1:2">
      <c r="A53" s="2908" t="s">
        <v>2750</v>
      </c>
      <c r="B53" s="2909">
        <f>'预评函-2'!A8</f>
        <v>0</v>
      </c>
    </row>
    <row r="54" spans="1:2" s="2923" customFormat="1" ht="15" thickBot="1">
      <c r="A54" s="2930" t="s">
        <v>2735</v>
      </c>
      <c r="B54" s="2931" t="str">
        <f>'预评函-2'!R8</f>
        <v>——</v>
      </c>
    </row>
    <row r="55" spans="1:2" ht="15" thickTop="1">
      <c r="A55" s="2919" t="s">
        <v>2685</v>
      </c>
      <c r="B55" s="2920" t="str">
        <f>'预评函-3'!A2</f>
        <v>1.权利限制：根据估价对象《不动产权证书》——、《国有土地使用权》复印件，截至估价期日，估价对象已设定抵押。未设定租赁等其他他项权利。</v>
      </c>
    </row>
    <row r="56" spans="1:2">
      <c r="A56" s="2908" t="s">
        <v>2686</v>
      </c>
      <c r="B56" s="2909" t="str">
        <f>'预评函-3'!A3</f>
        <v>2.基础设施条件：估价对象实际开发程度为红线外七通、宗地红线内场地平整；本次评估设定开发程度为红线外七通、宗地红线内场地平整。</v>
      </c>
    </row>
    <row r="57" spans="1:2">
      <c r="A57" s="2908" t="s">
        <v>2687</v>
      </c>
      <c r="B57" s="2909" t="str">
        <f>'预评函-3'!A4</f>
        <v>3.估价规划限制条件：详见《建设工程规划许可证》[]、《出让合同》[]。</v>
      </c>
    </row>
    <row r="58" spans="1:2" s="2923" customFormat="1" ht="15" thickBot="1">
      <c r="A58" s="2930" t="s">
        <v>2736</v>
      </c>
      <c r="B58" s="2931" t="str">
        <f>'预评函-3'!A5</f>
        <v>4.影响价格的其他限定条件：无。</v>
      </c>
    </row>
    <row r="59" spans="1:2" ht="15" thickTop="1">
      <c r="A59" s="2919" t="s">
        <v>2688</v>
      </c>
      <c r="B59" s="2920" t="str">
        <f>'预评函-3'!A8</f>
        <v>2.本《评估意见函》仅供金融机构进行内部审核使用，不做其他目的之用。</v>
      </c>
    </row>
    <row r="60" spans="1:2">
      <c r="A60" s="2908" t="s">
        <v>2689</v>
      </c>
      <c r="B60" s="2909" t="str">
        <f>'预评函-3'!A9</f>
        <v>3.抵押双方在办理抵押登记手续时，应使用本公司出具的正式《土地估价报告》，特提请报告使用者注意。</v>
      </c>
    </row>
    <row r="61" spans="1:2">
      <c r="A61" s="2908" t="s">
        <v>2691</v>
      </c>
      <c r="B61" s="2909" t="str">
        <f>'预评函-3'!A10</f>
        <v>4.估价师所知悉的法定优先受偿款情况为：</v>
      </c>
    </row>
    <row r="62" spans="1:2">
      <c r="A62" s="2908" t="s">
        <v>2690</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2692</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2693</v>
      </c>
      <c r="B64" s="2914" t="str">
        <f>'预评函-3'!A13</f>
        <v>（3）。</v>
      </c>
    </row>
    <row r="65" spans="1:2">
      <c r="A65" s="2908" t="s">
        <v>2694</v>
      </c>
      <c r="B65" s="2915" t="str">
        <f>'预评函-3'!A14</f>
        <v>综上，本次评估不存在估价师知悉的法定优先受偿款</v>
      </c>
    </row>
    <row r="66" spans="1:2">
      <c r="A66" s="2908" t="s">
        <v>2695</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2696</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2699</v>
      </c>
      <c r="B68" s="2934">
        <f>'预评函-3'!D30</f>
        <v>42558</v>
      </c>
    </row>
    <row r="69" spans="1:2" ht="15" thickTop="1">
      <c r="A69" s="2919" t="s">
        <v>2697</v>
      </c>
      <c r="B69" s="2920" t="str">
        <f>'预评函-3'!A20</f>
        <v>吴薇</v>
      </c>
    </row>
    <row r="70" spans="1:2">
      <c r="A70" s="2908" t="s">
        <v>2697</v>
      </c>
      <c r="B70" s="2915">
        <f ca="1">'预评函-3'!B20</f>
        <v>2002110125</v>
      </c>
    </row>
    <row r="71" spans="1:2">
      <c r="A71" s="2908" t="s">
        <v>2698</v>
      </c>
      <c r="B71" s="2909" t="str">
        <f>'预评函-3'!A21</f>
        <v>刘梅</v>
      </c>
    </row>
    <row r="72" spans="1:2" s="2923" customFormat="1" ht="15" thickBot="1">
      <c r="A72" s="2930" t="s">
        <v>2698</v>
      </c>
      <c r="B72" s="2936">
        <f ca="1">'预评函-3'!B21</f>
        <v>2008110059</v>
      </c>
    </row>
    <row r="73" spans="1:2" ht="15" thickTop="1">
      <c r="A73" s="2919" t="s">
        <v>2757</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2758</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2759</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2794</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28" t="str">
        <f>IF(B10="北京市","北京市",C10)&amp;F10&amp;B16&amp;"国有建设用地使用权"&amp;B9&amp;"预评估"</f>
        <v>海南省海口市椰海大道南侧、丘海大道延长线西侧出让国有建设用地使用权抵押价格预评估</v>
      </c>
      <c r="C1" s="3229"/>
      <c r="D1" s="3229"/>
      <c r="E1" s="3229"/>
      <c r="F1" s="3229"/>
      <c r="G1" s="3229"/>
      <c r="H1" s="3229"/>
      <c r="I1" s="3230"/>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2976</v>
      </c>
      <c r="C4" s="1849">
        <f ca="1">SUMIF(土地估价师,B4,估价师及机构信息!E3:E24)</f>
        <v>2002110125</v>
      </c>
      <c r="D4" s="1846" t="s">
        <v>2977</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2714</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2978</v>
      </c>
      <c r="C8" s="1674"/>
      <c r="D8" s="3234" t="s">
        <v>1947</v>
      </c>
      <c r="E8" s="1847" t="s">
        <v>2980</v>
      </c>
      <c r="F8" s="1675"/>
      <c r="G8" s="1663"/>
      <c r="H8" s="1663"/>
      <c r="I8" s="1710"/>
      <c r="J8" s="1697"/>
      <c r="K8" s="1777"/>
      <c r="L8" s="1726"/>
      <c r="M8" s="1726"/>
      <c r="N8" s="1697"/>
      <c r="O8" s="1698"/>
      <c r="P8" s="1697"/>
      <c r="Q8" s="1697"/>
      <c r="R8" s="1697"/>
      <c r="S8" s="1697"/>
      <c r="T8" s="1697"/>
      <c r="U8" s="1697"/>
    </row>
    <row r="9" spans="1:21" ht="15" thickBot="1">
      <c r="A9" s="1676" t="s">
        <v>1946</v>
      </c>
      <c r="B9" s="1677" t="s">
        <v>2979</v>
      </c>
      <c r="C9" s="1678"/>
      <c r="D9" s="3235"/>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2981</v>
      </c>
      <c r="C10" s="1679" t="s">
        <v>2983</v>
      </c>
      <c r="D10" s="1670"/>
      <c r="E10" s="1680" t="s">
        <v>1949</v>
      </c>
      <c r="F10" s="1681" t="s">
        <v>2984</v>
      </c>
      <c r="G10" s="1748"/>
      <c r="H10" s="1749"/>
      <c r="I10" s="1670"/>
      <c r="J10" s="1697"/>
      <c r="K10" s="1777"/>
      <c r="L10" s="1726"/>
      <c r="M10" s="1726"/>
      <c r="N10" s="1697"/>
      <c r="O10" s="1698"/>
      <c r="P10" s="1697"/>
      <c r="Q10" s="1697"/>
      <c r="R10" s="1697"/>
      <c r="S10" s="1697"/>
      <c r="T10" s="1697"/>
      <c r="U10" s="1697"/>
    </row>
    <row r="11" spans="1:21" ht="28.5">
      <c r="A11" s="1700" t="s">
        <v>2002</v>
      </c>
      <c r="B11" s="1701" t="s">
        <v>2982</v>
      </c>
      <c r="C11" s="1682" t="s">
        <v>2985</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31" t="s">
        <v>2986</v>
      </c>
      <c r="C12" s="3232"/>
      <c r="D12" s="3233"/>
      <c r="E12" s="1702" t="s">
        <v>2063</v>
      </c>
      <c r="F12" s="3249" t="s">
        <v>2987</v>
      </c>
      <c r="G12" s="3250"/>
      <c r="H12" s="3250"/>
      <c r="I12" s="3251"/>
      <c r="J12" s="1697"/>
      <c r="K12" s="1777"/>
      <c r="L12" s="1726"/>
      <c r="M12" s="1726"/>
      <c r="N12" s="1697"/>
      <c r="O12" s="1698"/>
      <c r="P12" s="1697"/>
      <c r="Q12" s="1697"/>
      <c r="R12" s="1697"/>
      <c r="S12" s="1697"/>
      <c r="T12" s="1697"/>
      <c r="U12" s="1697"/>
    </row>
    <row r="13" spans="1:21">
      <c r="A13" s="1690" t="s">
        <v>2061</v>
      </c>
      <c r="B13" s="3231" t="s">
        <v>2988</v>
      </c>
      <c r="C13" s="3232"/>
      <c r="D13" s="3233"/>
      <c r="E13" s="1702" t="s">
        <v>2063</v>
      </c>
      <c r="F13" s="3249" t="s">
        <v>2896</v>
      </c>
      <c r="G13" s="3250"/>
      <c r="H13" s="3250"/>
      <c r="I13" s="3251"/>
      <c r="J13" s="1697"/>
      <c r="K13" s="1777"/>
      <c r="L13" s="1726"/>
      <c r="M13" s="1726"/>
      <c r="N13" s="1697"/>
      <c r="O13" s="1698"/>
      <c r="P13" s="1697"/>
      <c r="Q13" s="1697"/>
      <c r="R13" s="1697"/>
      <c r="S13" s="1697"/>
      <c r="T13" s="1697"/>
      <c r="U13" s="1697"/>
    </row>
    <row r="14" spans="1:21">
      <c r="A14" s="1664" t="s">
        <v>2064</v>
      </c>
      <c r="B14" s="1702"/>
      <c r="C14" s="1848" t="s">
        <v>2989</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2990</v>
      </c>
      <c r="C16" s="1702" t="s">
        <v>1951</v>
      </c>
      <c r="D16" s="2675" t="s">
        <v>1952</v>
      </c>
      <c r="E16" s="1725"/>
      <c r="F16" s="1725"/>
      <c r="G16" s="1725" t="s">
        <v>35</v>
      </c>
      <c r="H16" s="1725"/>
      <c r="I16" s="1689" t="s">
        <v>1957</v>
      </c>
      <c r="J16" s="1697"/>
      <c r="K16" s="2484" t="str">
        <f>IF(D17="","",D16&amp;TEXT(D17,"yyyy年m月d日;;"))</f>
        <v>住宅2085年7月20日</v>
      </c>
      <c r="L16" s="1702" t="str">
        <f>IF(OR(K16="",M16=""),"","、")</f>
        <v/>
      </c>
      <c r="M16" s="2484" t="str">
        <f>IF(E17="","",E16&amp;TEXT(E17,"yyyy年m月d日;;"))</f>
        <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c r="F17" s="1703"/>
      <c r="G17" s="1703">
        <v>60468</v>
      </c>
      <c r="H17" s="1703"/>
      <c r="I17" s="1703"/>
      <c r="J17" s="1697"/>
      <c r="K17" s="2483" t="str">
        <f>CONCATENATE(K16,L16,M16,N16,O16,P16,Q16,R16,S16,T16,,U16)</f>
        <v>住宅2085年7月20日地下车库2065年7月20日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t="str">
        <f>IF(B16="出让",IF(E17="","",ROUNDDOWN(MIN((E17-$D$3)/365,E18),2)),E18)</f>
        <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46"/>
      <c r="E20" s="3247"/>
      <c r="F20" s="3247"/>
      <c r="G20" s="3247"/>
      <c r="H20" s="3247"/>
      <c r="I20" s="3248"/>
      <c r="J20" s="1697"/>
      <c r="K20" s="1777"/>
      <c r="L20" s="1726"/>
      <c r="M20" s="1726"/>
      <c r="N20" s="1697"/>
      <c r="O20" s="1698"/>
      <c r="P20" s="1697"/>
      <c r="Q20" s="1697"/>
      <c r="R20" s="1697"/>
      <c r="S20" s="1697"/>
      <c r="T20" s="1697"/>
      <c r="U20" s="1697"/>
    </row>
    <row r="21" spans="1:21">
      <c r="A21" s="1766" t="s">
        <v>1961</v>
      </c>
      <c r="B21" s="1767" t="s">
        <v>1962</v>
      </c>
      <c r="C21" s="1762">
        <f>'数据-汇总表'!E3</f>
        <v>16687.060000000001</v>
      </c>
      <c r="D21" s="1763" t="s">
        <v>1963</v>
      </c>
      <c r="E21" s="3236" t="s">
        <v>2000</v>
      </c>
      <c r="F21" s="3237"/>
      <c r="G21" s="3237"/>
      <c r="H21" s="3237"/>
      <c r="I21" s="3238"/>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36" t="s">
        <v>2897</v>
      </c>
      <c r="F22" s="3237"/>
      <c r="G22" s="3237"/>
      <c r="H22" s="3237"/>
      <c r="I22" s="3238"/>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39" t="s">
        <v>1969</v>
      </c>
      <c r="C24" s="3240"/>
      <c r="D24" s="3241" t="s">
        <v>1970</v>
      </c>
      <c r="E24" s="3242"/>
      <c r="F24" s="1711" t="s">
        <v>1971</v>
      </c>
      <c r="G24" s="1697"/>
      <c r="H24" s="1697"/>
      <c r="I24" s="1710"/>
      <c r="J24" s="1697"/>
      <c r="K24" s="3227"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2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2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2991</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54" t="s">
        <v>2003</v>
      </c>
      <c r="B31" s="1767" t="s">
        <v>2004</v>
      </c>
      <c r="C31" s="3252" t="s">
        <v>2992</v>
      </c>
      <c r="D31" s="3253"/>
      <c r="E31" s="1697"/>
      <c r="F31" s="1697"/>
      <c r="G31" s="1697"/>
      <c r="H31" s="1697"/>
      <c r="I31" s="1710"/>
      <c r="J31" s="1697"/>
      <c r="K31" s="2486"/>
      <c r="L31" s="1697"/>
      <c r="M31" s="1697"/>
      <c r="N31" s="1697"/>
      <c r="O31" s="1697"/>
      <c r="P31" s="1697"/>
      <c r="Q31" s="1697"/>
      <c r="R31" s="1697"/>
      <c r="S31" s="1697"/>
      <c r="T31" s="1697"/>
      <c r="U31" s="1697"/>
    </row>
    <row r="32" spans="1:21">
      <c r="A32" s="3254"/>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54"/>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55"/>
      <c r="B34" s="1664" t="s">
        <v>2007</v>
      </c>
      <c r="C34" s="3256"/>
      <c r="D34" s="3257"/>
      <c r="E34" s="1697"/>
      <c r="F34" s="1697"/>
      <c r="G34" s="1697"/>
      <c r="H34" s="1697"/>
      <c r="I34" s="1710"/>
      <c r="J34" s="1697"/>
      <c r="K34" s="2486"/>
      <c r="L34" s="1697"/>
      <c r="M34" s="1697"/>
      <c r="N34" s="1697"/>
      <c r="O34" s="1697"/>
      <c r="P34" s="1697"/>
      <c r="Q34" s="1697"/>
      <c r="R34" s="1697"/>
      <c r="S34" s="1697"/>
      <c r="T34" s="1697"/>
      <c r="U34" s="1697"/>
    </row>
    <row r="35" spans="1:21">
      <c r="A35" s="3258" t="s">
        <v>847</v>
      </c>
      <c r="B35" s="1725" t="s">
        <v>2993</v>
      </c>
      <c r="C35" s="1779" t="str">
        <f>IF(B35="场地平整","——","具体情况：")</f>
        <v>——</v>
      </c>
      <c r="D35" s="3260"/>
      <c r="E35" s="3261"/>
      <c r="F35" s="3261"/>
      <c r="G35" s="3261"/>
      <c r="H35" s="3261"/>
      <c r="I35" s="3262"/>
      <c r="J35" s="1697"/>
      <c r="K35" s="1778"/>
      <c r="L35" s="1726"/>
      <c r="M35" s="1726"/>
      <c r="N35" s="1697"/>
      <c r="O35" s="1698"/>
      <c r="P35" s="1697"/>
      <c r="Q35" s="1697"/>
      <c r="R35" s="1697"/>
      <c r="S35" s="1697"/>
      <c r="T35" s="1697"/>
      <c r="U35" s="1697"/>
    </row>
    <row r="36" spans="1:21">
      <c r="A36" s="3254"/>
      <c r="B36" s="3263" t="s">
        <v>2056</v>
      </c>
      <c r="C36" s="3264"/>
      <c r="D36" s="1795" t="s">
        <v>2994</v>
      </c>
      <c r="E36" s="3265"/>
      <c r="F36" s="3265"/>
      <c r="G36" s="1690" t="str">
        <f>IF(B35="场地未平整","估价结果处理","")</f>
        <v/>
      </c>
      <c r="H36" s="3266"/>
      <c r="I36" s="3266"/>
      <c r="J36" s="1697"/>
      <c r="K36" s="1778"/>
      <c r="L36" s="1726"/>
      <c r="M36" s="1726"/>
      <c r="N36" s="1697"/>
      <c r="O36" s="1698"/>
      <c r="P36" s="1697"/>
      <c r="Q36" s="1697"/>
      <c r="R36" s="1697"/>
      <c r="S36" s="1697"/>
      <c r="T36" s="1697"/>
      <c r="U36" s="1697"/>
    </row>
    <row r="37" spans="1:21" ht="28.5">
      <c r="A37" s="3254"/>
      <c r="B37" s="3243"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54"/>
      <c r="B38" s="3244"/>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55"/>
      <c r="B39" s="324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2995</v>
      </c>
      <c r="C40" s="1693" t="s">
        <v>2996</v>
      </c>
      <c r="D40" s="1693" t="s">
        <v>2997</v>
      </c>
      <c r="E40" s="1693" t="s">
        <v>2998</v>
      </c>
      <c r="F40" s="1693" t="s">
        <v>2999</v>
      </c>
      <c r="G40" s="1693" t="s">
        <v>3000</v>
      </c>
      <c r="H40" s="1693"/>
      <c r="I40" s="1710"/>
      <c r="J40" s="1697"/>
      <c r="K40" s="1733">
        <f>COUNTIF(B40:H40,"——")</f>
        <v>0</v>
      </c>
      <c r="L40" s="1702" t="s">
        <v>1980</v>
      </c>
      <c r="M40" s="1699" t="s">
        <v>1981</v>
      </c>
      <c r="N40" s="1699" t="s">
        <v>1982</v>
      </c>
      <c r="O40" s="1699" t="s">
        <v>1983</v>
      </c>
      <c r="P40" s="1699" t="s">
        <v>1984</v>
      </c>
      <c r="Q40" s="1699" t="s">
        <v>1985</v>
      </c>
      <c r="R40" s="1699" t="s">
        <v>1986</v>
      </c>
      <c r="S40" s="3226" t="s">
        <v>1987</v>
      </c>
      <c r="T40" s="1734" t="str">
        <f>NUMBERSTRING(7-K40,1)&amp;"通"</f>
        <v>七通</v>
      </c>
      <c r="U40" s="1697"/>
    </row>
    <row r="41" spans="1:21">
      <c r="A41" s="1666"/>
      <c r="B41" s="3259" t="s">
        <v>1722</v>
      </c>
      <c r="C41" s="3259"/>
      <c r="D41" s="3259"/>
      <c r="E41" s="3259"/>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26"/>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2898</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16687.060000000001</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16687.060000000001</v>
      </c>
      <c r="H5" s="27">
        <f t="shared" ref="H5:AT5" si="0">SUM(H13:H641)</f>
        <v>16687.060000000001</v>
      </c>
      <c r="I5" s="27">
        <f t="shared" si="0"/>
        <v>14309.68</v>
      </c>
      <c r="J5" s="27">
        <f t="shared" si="0"/>
        <v>0</v>
      </c>
      <c r="K5" s="27">
        <f t="shared" si="0"/>
        <v>2377.38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16687.060000000001</v>
      </c>
      <c r="BA5" s="29">
        <f t="shared" si="1"/>
        <v>16687.060000000001</v>
      </c>
      <c r="BB5" s="29">
        <f t="shared" si="1"/>
        <v>14309.68</v>
      </c>
      <c r="BC5" s="29">
        <f t="shared" si="1"/>
        <v>2377.38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v>
      </c>
      <c r="F6" s="27" t="s">
        <v>1</v>
      </c>
      <c r="G6" s="27" t="s">
        <v>2</v>
      </c>
      <c r="H6" s="33">
        <f>SUMIF(I$12:AB$12,"总值",I6:AB6)</f>
        <v>7741.69</v>
      </c>
      <c r="I6" s="27">
        <f t="shared" ref="I6:AB6" si="2">ROUND($A$3*I5/$B$3,2)</f>
        <v>6638.74</v>
      </c>
      <c r="J6" s="27">
        <f t="shared" si="2"/>
        <v>0</v>
      </c>
      <c r="K6" s="27">
        <f t="shared" si="2"/>
        <v>1102.95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6638.74</v>
      </c>
      <c r="BC6" s="27">
        <f t="shared" ref="BC6:BH6" si="4">ROUND($AY$6*BC5/$AZ$5,2)</f>
        <v>1102.95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3003</v>
      </c>
      <c r="J9" s="51"/>
      <c r="K9" s="3049" t="s">
        <v>3017</v>
      </c>
      <c r="L9" s="51"/>
      <c r="M9" s="30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3018</v>
      </c>
      <c r="L10" s="51"/>
      <c r="M10" s="3051"/>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3004</v>
      </c>
      <c r="J11" s="71"/>
      <c r="K11" s="3050" t="s">
        <v>3018</v>
      </c>
      <c r="L11" s="71"/>
      <c r="M11" s="70"/>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3002</v>
      </c>
      <c r="D13" s="3045" t="s">
        <v>1679</v>
      </c>
      <c r="E13" s="27">
        <f t="shared" ref="E13:E20" si="6">IF($C$3="是",ROUND($A$3*G13/$B$3,2),ROUND($A$3*(G13-AT13)/$B$3,2))</f>
        <v>6638.74</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6638.74</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3016</v>
      </c>
      <c r="D14" s="3045" t="s">
        <v>1679</v>
      </c>
      <c r="E14" s="27">
        <f t="shared" si="6"/>
        <v>1102.95</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1102.95</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8" t="s">
        <v>203</v>
      </c>
      <c r="B2" s="3278"/>
      <c r="C2" s="3278"/>
      <c r="D2" s="1979" t="s">
        <v>204</v>
      </c>
      <c r="E2" s="106" t="s">
        <v>205</v>
      </c>
      <c r="F2" s="1988"/>
      <c r="G2" s="1201"/>
      <c r="H2" s="1202"/>
      <c r="I2" s="1203" t="s">
        <v>857</v>
      </c>
      <c r="J2" s="1988"/>
      <c r="K2" s="1988"/>
      <c r="L2" s="1988"/>
    </row>
    <row r="3" spans="1:16" ht="15.75" thickBot="1">
      <c r="A3" s="3279" t="s">
        <v>206</v>
      </c>
      <c r="B3" s="3279"/>
      <c r="C3" s="3279"/>
      <c r="D3" s="107">
        <f>'数据-基础表'!AY6</f>
        <v>7741.69</v>
      </c>
      <c r="E3" s="107">
        <f>'数据-基础表'!AZ5</f>
        <v>16687.060000000001</v>
      </c>
      <c r="F3" s="1988"/>
      <c r="G3" s="280" t="s">
        <v>858</v>
      </c>
      <c r="H3" s="275" t="s">
        <v>859</v>
      </c>
      <c r="I3" s="1980">
        <f>ROUND('数据-基础表'!B3/'数据-基础表'!A3,2)</f>
        <v>2.16</v>
      </c>
      <c r="J3" s="1988"/>
      <c r="K3" s="1988"/>
      <c r="L3" s="1988"/>
    </row>
    <row r="4" spans="1:16" ht="15">
      <c r="A4" s="3280"/>
      <c r="B4" s="3281"/>
      <c r="C4" s="3282"/>
      <c r="D4" s="108" t="s">
        <v>204</v>
      </c>
      <c r="E4" s="109" t="s">
        <v>205</v>
      </c>
      <c r="F4" s="1988"/>
      <c r="G4" s="1204"/>
      <c r="H4" s="275" t="s">
        <v>860</v>
      </c>
      <c r="I4" s="1980">
        <f>ROUND(SUMIF('数据-基础表'!I9:AS9,"地上",'数据-基础表'!I5:AS5)/'数据-基础表'!A3,2)</f>
        <v>1.85</v>
      </c>
      <c r="J4" s="1988"/>
      <c r="K4" s="1988"/>
      <c r="L4" s="1988"/>
    </row>
    <row r="5" spans="1:16">
      <c r="A5" s="110" t="s">
        <v>207</v>
      </c>
      <c r="B5" s="3283" t="s">
        <v>230</v>
      </c>
      <c r="C5" s="3283"/>
      <c r="D5" s="111">
        <f>ROUND($D$3*E5/$E$3,2)</f>
        <v>6638.74</v>
      </c>
      <c r="E5" s="112">
        <f>SUMIF('数据-基础表'!$11:$11,"住宅",'数据-基础表'!$5:$5)</f>
        <v>14309.68</v>
      </c>
      <c r="F5" s="1988"/>
      <c r="G5" s="280" t="s">
        <v>861</v>
      </c>
      <c r="H5" s="275" t="s">
        <v>859</v>
      </c>
      <c r="I5" s="1980">
        <f>ROUND(E31/D31,2)</f>
        <v>2.16</v>
      </c>
      <c r="J5" s="1988"/>
      <c r="K5" s="1988"/>
      <c r="L5" s="1988"/>
    </row>
    <row r="6" spans="1:16" ht="15" thickBot="1">
      <c r="A6" s="113"/>
      <c r="B6" s="3283" t="s">
        <v>208</v>
      </c>
      <c r="C6" s="3283"/>
      <c r="D6" s="111">
        <f>ROUND($D$3*E6/$E$3,2)</f>
        <v>1102.95</v>
      </c>
      <c r="E6" s="112">
        <f>E3-E5</f>
        <v>2377.380000000001</v>
      </c>
      <c r="F6" s="1988"/>
      <c r="G6" s="1204"/>
      <c r="H6" s="275" t="s">
        <v>860</v>
      </c>
      <c r="I6" s="1980">
        <f>ROUND(F31/D31,2)</f>
        <v>1.85</v>
      </c>
      <c r="J6" s="1988"/>
      <c r="K6" s="1988"/>
      <c r="L6" s="1988"/>
    </row>
    <row r="7" spans="1:16" ht="15">
      <c r="A7" s="3275"/>
      <c r="B7" s="3276"/>
      <c r="C7" s="3277"/>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6638.74</v>
      </c>
      <c r="E8" s="116">
        <f>SUMIF('数据-基础表'!BB10:BK10,"地上",'数据-基础表'!BB5:BK5)</f>
        <v>14309.68</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1102.95</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v>
      </c>
      <c r="E16" s="120">
        <f>SUM(E8:E15)</f>
        <v>16687.060000000001</v>
      </c>
      <c r="F16" s="1988"/>
      <c r="G16" s="1990"/>
      <c r="H16" s="971" t="s">
        <v>219</v>
      </c>
      <c r="I16" s="972"/>
      <c r="J16" s="1988"/>
      <c r="K16" s="3269" t="s">
        <v>2571</v>
      </c>
      <c r="L16" s="3270"/>
      <c r="M16" s="3270"/>
      <c r="N16" s="3270"/>
      <c r="O16" s="3270"/>
      <c r="P16" s="3271"/>
    </row>
    <row r="17" spans="1:19" ht="15">
      <c r="A17" s="121" t="s">
        <v>216</v>
      </c>
      <c r="B17" s="122" t="s">
        <v>217</v>
      </c>
      <c r="C17" s="2302" t="s">
        <v>2315</v>
      </c>
      <c r="D17" s="108" t="s">
        <v>204</v>
      </c>
      <c r="E17" s="124" t="s">
        <v>205</v>
      </c>
      <c r="F17" s="125"/>
      <c r="G17" s="1369"/>
      <c r="H17" s="973" t="s">
        <v>218</v>
      </c>
      <c r="I17" s="974" t="s">
        <v>2314</v>
      </c>
      <c r="J17" s="1988"/>
      <c r="K17" s="3272" t="s">
        <v>2572</v>
      </c>
      <c r="L17" s="3273"/>
      <c r="M17" s="3274"/>
      <c r="N17" s="3272" t="s">
        <v>2573</v>
      </c>
      <c r="O17" s="3273"/>
      <c r="P17" s="3274"/>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3019</v>
      </c>
      <c r="D19" s="111">
        <f t="shared" ref="D19:D26" si="1">ROUND($D$3*E19/$E$3,2)</f>
        <v>6638.74</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6638.74</v>
      </c>
      <c r="S19" s="2305">
        <f t="shared" si="5"/>
        <v>14309.68</v>
      </c>
    </row>
    <row r="20" spans="1:19">
      <c r="A20" s="138"/>
      <c r="B20" s="115" t="s">
        <v>226</v>
      </c>
      <c r="C20" s="3055" t="s">
        <v>3020</v>
      </c>
      <c r="D20" s="111">
        <f t="shared" si="1"/>
        <v>1102.95</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1102.95</v>
      </c>
      <c r="S20" s="2305">
        <f t="shared" si="5"/>
        <v>2377.38</v>
      </c>
    </row>
    <row r="21" spans="1:19">
      <c r="A21" s="138"/>
      <c r="B21" s="115" t="s">
        <v>226</v>
      </c>
      <c r="C21" s="3055"/>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v>
      </c>
      <c r="E27" s="143">
        <f>IF(SUM(E19:E26)='数据-基础表'!BA5,SUM(E19:E26),IF(F27="地上面积有误","面积有误","地下面积有误"))</f>
        <v>16687.060000000001</v>
      </c>
      <c r="F27" s="134">
        <f>IF(SUM(F19:F26)=E8,SUM(F19:F26),"地上面积有误")</f>
        <v>14309.68</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v>
      </c>
      <c r="S27" s="275">
        <f>IF(SUM(S19:S26)=$E$3,SUM(S19:S26),SUM(S19:S26)&amp;"误差"&amp;ROUND(SUM(S19:S26)-E3,2))</f>
        <v>16687.060000000001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v>
      </c>
      <c r="E31" s="1375">
        <f>E27+E30</f>
        <v>16687.060000000001</v>
      </c>
      <c r="F31" s="1376">
        <f>F27+F30</f>
        <v>14309.68</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24" sqref="U2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0.996</v>
      </c>
      <c r="H6" s="3056">
        <v>0.05</v>
      </c>
      <c r="I6" s="3056">
        <v>5.5E-2</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0.25</v>
      </c>
      <c r="R6" s="179">
        <f>SUMIF('数据-汇总表'!C$19:C$33,A6,'数据-汇总表'!R$19:R$33)</f>
        <v>6638.74</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0.96299999999999997</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3018</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0.98699999999999999</v>
      </c>
      <c r="H7" s="3056">
        <v>4.4999999999999998E-2</v>
      </c>
      <c r="I7" s="3056">
        <v>0.05</v>
      </c>
      <c r="J7" s="176">
        <v>0.08</v>
      </c>
      <c r="K7" s="179">
        <f>SUMIF('数据-汇总表'!C$19:C$33,'数据-取费表'!A7,'数据-汇总表'!E$19:E$33)</f>
        <v>2377.38</v>
      </c>
      <c r="L7" s="3057">
        <v>1500</v>
      </c>
      <c r="M7" s="177">
        <f t="shared" si="0"/>
        <v>357</v>
      </c>
      <c r="N7" s="3058">
        <v>0</v>
      </c>
      <c r="O7" s="177">
        <f t="shared" ref="O7:O14" si="3">IF($N$5="成新度","——",ROUND(M7*N7,0))</f>
        <v>0</v>
      </c>
      <c r="P7" s="178">
        <f t="shared" ref="P7:P14" si="4">IF($N$5="成新度","——",M7-O7)</f>
        <v>357</v>
      </c>
      <c r="Q7" s="3059">
        <v>0.1</v>
      </c>
      <c r="R7" s="179">
        <f>SUMIF('数据-汇总表'!C$19:C$33,A7,'数据-汇总表'!R$19:R$33)</f>
        <v>1102.95</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0.7</v>
      </c>
      <c r="V7" s="181">
        <v>0.02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3055</v>
      </c>
      <c r="AO7" s="2004"/>
      <c r="AP7" s="1207">
        <f t="shared" ref="AP7:AP13" si="8">ROUND(1-1/(1+H7)^F7,3)</f>
        <v>0.878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6"/>
      <c r="I8" s="3056"/>
      <c r="J8" s="176"/>
      <c r="K8" s="179">
        <f>SUMIF('数据-汇总表'!C$19:C$33,'数据-取费表'!A8,'数据-汇总表'!E$19:E$33)</f>
        <v>0</v>
      </c>
      <c r="L8" s="3057"/>
      <c r="M8" s="177">
        <f>ROUND(K8*L8/10000,0)</f>
        <v>0</v>
      </c>
      <c r="N8" s="3058"/>
      <c r="O8" s="177">
        <f t="shared" si="3"/>
        <v>0</v>
      </c>
      <c r="P8" s="178">
        <f t="shared" si="4"/>
        <v>0</v>
      </c>
      <c r="Q8" s="3059"/>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0.995</v>
      </c>
      <c r="H16" s="203">
        <f>ROUND(SUMPRODUCT(H6:H13,K6:K13)/SUMPRODUCT((H6:H13&gt;0)*(K6:K13)),3)</f>
        <v>4.9000000000000002E-2</v>
      </c>
      <c r="I16" s="204"/>
      <c r="J16" s="204"/>
      <c r="K16" s="205">
        <f>SUM(K6:K15)</f>
        <v>16687.060000000001</v>
      </c>
      <c r="L16" s="206">
        <f>ROUND(M16*10000/SUM(K6:K14),0)</f>
        <v>2787</v>
      </c>
      <c r="M16" s="206">
        <f>SUM(M6:M14)</f>
        <v>4650</v>
      </c>
      <c r="N16" s="207">
        <f>ROUND(SUMPRODUCT(M6:M14,N6:N14)/M16,3)</f>
        <v>0</v>
      </c>
      <c r="O16" s="206">
        <f>SUM(O6:O14)</f>
        <v>0</v>
      </c>
      <c r="P16" s="206">
        <f>SUM(P6:P14)</f>
        <v>4650</v>
      </c>
      <c r="Q16" s="208">
        <f>ROUND(SUMPRODUCT(Q6:Q13,K6:K13)/SUMPRODUCT((Q6:Q13&gt;0)*(K6:K13)),2)</f>
        <v>0.23</v>
      </c>
      <c r="R16" s="2315">
        <f>SUM(R6:R13)</f>
        <v>7741.69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0.95099999999999996</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2900</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0.03</v>
      </c>
      <c r="C37" s="2369" t="s">
        <v>2903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0.03</v>
      </c>
      <c r="C38" s="2369" t="s">
        <v>2903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2910</v>
      </c>
      <c r="D53" s="3108" t="s">
        <v>2911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2912</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2913</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2914</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2915</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2916</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2917</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4" t="s">
        <v>1664</v>
      </c>
      <c r="B1" s="3285"/>
      <c r="C1" s="3285"/>
      <c r="D1" s="3285"/>
      <c r="E1" s="3285"/>
      <c r="F1" s="3285"/>
      <c r="G1" s="3285"/>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3095</v>
      </c>
      <c r="D3" s="2013"/>
      <c r="E3" s="1232" t="s">
        <v>1667</v>
      </c>
      <c r="F3" s="1233" t="s">
        <v>1655</v>
      </c>
      <c r="G3" s="3115" t="s">
        <v>2926</v>
      </c>
      <c r="H3" s="2012"/>
      <c r="I3" s="2012"/>
      <c r="J3" s="2012"/>
      <c r="K3" s="2012"/>
      <c r="L3" s="2012"/>
      <c r="M3" s="2012"/>
      <c r="N3" s="2012"/>
      <c r="O3" s="2012"/>
      <c r="P3" s="2012"/>
      <c r="Q3" s="2012"/>
      <c r="R3" s="2012"/>
    </row>
    <row r="4" spans="1:18" ht="41.25">
      <c r="A4" s="1232"/>
      <c r="B4" s="1234" t="s">
        <v>1668</v>
      </c>
      <c r="C4" s="3112" t="s">
        <v>2927</v>
      </c>
      <c r="D4" s="2013"/>
      <c r="E4" s="1235"/>
      <c r="F4" s="1236" t="s">
        <v>1669</v>
      </c>
      <c r="G4" s="3113" t="s">
        <v>2923</v>
      </c>
      <c r="H4" s="2012"/>
      <c r="I4" s="2012"/>
      <c r="J4" s="2012"/>
      <c r="K4" s="2012"/>
      <c r="L4" s="2012"/>
      <c r="M4" s="2012"/>
      <c r="N4" s="2012"/>
      <c r="O4" s="2012"/>
      <c r="P4" s="2012"/>
      <c r="Q4" s="2012"/>
      <c r="R4" s="2012"/>
    </row>
    <row r="5" spans="1:18" ht="41.25">
      <c r="A5" s="1232"/>
      <c r="B5" s="1234" t="s">
        <v>1670</v>
      </c>
      <c r="C5" s="3112" t="s">
        <v>2928</v>
      </c>
      <c r="D5" s="2013"/>
      <c r="E5" s="1235"/>
      <c r="F5" s="1234" t="s">
        <v>2551</v>
      </c>
      <c r="G5" s="3113" t="s">
        <v>2924</v>
      </c>
      <c r="H5" s="2012"/>
      <c r="I5" s="2012"/>
      <c r="J5" s="2012"/>
      <c r="K5" s="2012"/>
      <c r="L5" s="2012"/>
      <c r="M5" s="2012"/>
      <c r="N5" s="2012"/>
      <c r="O5" s="2012"/>
      <c r="P5" s="2012"/>
      <c r="Q5" s="2012"/>
      <c r="R5" s="2012"/>
    </row>
    <row r="6" spans="1:18" ht="67.5">
      <c r="A6" s="1232"/>
      <c r="B6" s="1234" t="s">
        <v>1656</v>
      </c>
      <c r="C6" s="3184" t="s">
        <v>3093</v>
      </c>
      <c r="D6" s="2013"/>
      <c r="E6" s="1235"/>
      <c r="F6" s="1234" t="s">
        <v>2552</v>
      </c>
      <c r="G6" s="3113" t="s">
        <v>2922</v>
      </c>
      <c r="H6" s="2012"/>
      <c r="I6" s="2012"/>
      <c r="J6" s="2012"/>
      <c r="K6" s="2012"/>
      <c r="L6" s="2012"/>
      <c r="M6" s="2012"/>
      <c r="N6" s="2012"/>
      <c r="O6" s="2012"/>
      <c r="P6" s="2012"/>
      <c r="Q6" s="2012"/>
      <c r="R6" s="2012"/>
    </row>
    <row r="7" spans="1:18" ht="54.75" thickBot="1">
      <c r="A7" s="1232"/>
      <c r="B7" s="1234" t="s">
        <v>2551</v>
      </c>
      <c r="C7" s="3184" t="s">
        <v>3096</v>
      </c>
      <c r="D7" s="2014"/>
      <c r="E7" s="1237"/>
      <c r="F7" s="1238" t="s">
        <v>1671</v>
      </c>
      <c r="G7" s="3116" t="s">
        <v>2925</v>
      </c>
      <c r="H7" s="2012"/>
      <c r="I7" s="2012"/>
      <c r="J7" s="2012"/>
      <c r="K7" s="2012"/>
      <c r="L7" s="2012"/>
      <c r="M7" s="2012"/>
      <c r="N7" s="2012"/>
      <c r="O7" s="2012"/>
      <c r="P7" s="2012"/>
      <c r="Q7" s="2012"/>
      <c r="R7" s="2012"/>
    </row>
    <row r="8" spans="1:18">
      <c r="A8" s="1232"/>
      <c r="B8" s="1234" t="s">
        <v>2552</v>
      </c>
      <c r="C8" s="3184" t="s">
        <v>3094</v>
      </c>
      <c r="D8" s="2014"/>
      <c r="E8" s="2014"/>
      <c r="F8" s="1557"/>
      <c r="G8" s="1557"/>
      <c r="H8" s="2012"/>
      <c r="I8" s="2012"/>
      <c r="J8" s="2012"/>
      <c r="K8" s="2012"/>
      <c r="L8" s="2012"/>
      <c r="M8" s="2012"/>
      <c r="N8" s="2012"/>
      <c r="O8" s="2012"/>
      <c r="P8" s="2012"/>
      <c r="Q8" s="2012"/>
      <c r="R8" s="2012"/>
    </row>
    <row r="9" spans="1:18" ht="40.5">
      <c r="A9" s="1232"/>
      <c r="B9" s="1234" t="s">
        <v>1657</v>
      </c>
      <c r="C9" s="3185" t="s">
        <v>3097</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3134</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3135</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6" t="s">
        <v>2851</v>
      </c>
      <c r="B1" s="3076">
        <f>SUM(B14:B23)</f>
        <v>16687.060000000001</v>
      </c>
      <c r="C1" s="3077"/>
      <c r="D1" s="3077"/>
      <c r="E1" s="3077"/>
      <c r="F1" s="3077"/>
    </row>
    <row r="2" spans="1:9" ht="16.5">
      <c r="A2" s="3076" t="s">
        <v>2852</v>
      </c>
      <c r="B2" s="3076">
        <f>SUM(C14:C23)</f>
        <v>7741.69</v>
      </c>
      <c r="C2" s="3077"/>
      <c r="D2" s="3077"/>
      <c r="E2" s="3077"/>
      <c r="F2" s="3077"/>
    </row>
    <row r="3" spans="1:9" ht="16.5">
      <c r="A3" s="3076" t="s">
        <v>2853</v>
      </c>
      <c r="B3" s="3078">
        <f>项目基本情况!D3</f>
        <v>43047</v>
      </c>
      <c r="C3" s="3077"/>
      <c r="D3" s="3077"/>
      <c r="E3" s="3077"/>
      <c r="F3" s="3077"/>
    </row>
    <row r="4" spans="1:9" ht="33">
      <c r="A4" s="3076" t="s">
        <v>2854</v>
      </c>
      <c r="B4" s="3076" t="s">
        <v>2855</v>
      </c>
      <c r="C4" s="3076" t="s">
        <v>2856</v>
      </c>
      <c r="D4" s="3076" t="s">
        <v>2857</v>
      </c>
      <c r="E4" s="3077"/>
      <c r="F4" s="3077"/>
    </row>
    <row r="5" spans="1:9" ht="16.5">
      <c r="A5" s="3076" t="s">
        <v>2858</v>
      </c>
      <c r="B5" s="3076">
        <f ca="1">SUM(D14:D23)</f>
        <v>8184</v>
      </c>
      <c r="C5" s="3076">
        <f ca="1">ROUND(B5*10000/$B$1,0)</f>
        <v>4904</v>
      </c>
      <c r="D5" s="3076">
        <f ca="1">ROUND(B5*10000/$B$2,0)</f>
        <v>10571</v>
      </c>
      <c r="E5" s="3077"/>
      <c r="F5" s="3077"/>
    </row>
    <row r="6" spans="1:9" ht="16.5">
      <c r="A6" s="3076" t="s">
        <v>2859</v>
      </c>
      <c r="B6" s="3076">
        <f>SUM(G14:G23)</f>
        <v>0</v>
      </c>
      <c r="C6" s="3076">
        <f t="shared" ref="C6:C8" si="0">ROUND(B6*10000/$B$1,0)</f>
        <v>0</v>
      </c>
      <c r="D6" s="3076">
        <f t="shared" ref="D6:D8" si="1">ROUND(B6*10000/$B$2,0)</f>
        <v>0</v>
      </c>
      <c r="E6" s="3077"/>
      <c r="F6" s="3077"/>
    </row>
    <row r="7" spans="1:9" ht="16.5">
      <c r="A7" s="3076" t="s">
        <v>2860</v>
      </c>
      <c r="B7" s="3076">
        <f ca="1">SUM(H14:H23)</f>
        <v>8184</v>
      </c>
      <c r="C7" s="3076">
        <f t="shared" ca="1" si="0"/>
        <v>4904</v>
      </c>
      <c r="D7" s="3076">
        <f t="shared" ca="1" si="1"/>
        <v>10571</v>
      </c>
      <c r="E7" s="3077"/>
      <c r="F7" s="3077"/>
    </row>
    <row r="8" spans="1:9" ht="16.5">
      <c r="A8" s="3076" t="s">
        <v>2861</v>
      </c>
      <c r="B8" s="3076">
        <f>SUM(I14:I23)</f>
        <v>0</v>
      </c>
      <c r="C8" s="3076">
        <f t="shared" si="0"/>
        <v>0</v>
      </c>
      <c r="D8" s="3076">
        <f t="shared" si="1"/>
        <v>0</v>
      </c>
      <c r="E8" s="3077"/>
      <c r="F8" s="3077"/>
    </row>
    <row r="9" spans="1:9" ht="16.5">
      <c r="A9" s="3076" t="s">
        <v>2862</v>
      </c>
      <c r="B9" s="3079"/>
      <c r="C9" s="3077"/>
      <c r="D9" s="3077"/>
      <c r="E9" s="3077"/>
      <c r="F9" s="3077"/>
    </row>
    <row r="10" spans="1:9" ht="16.5">
      <c r="A10" s="3076" t="s">
        <v>2863</v>
      </c>
      <c r="B10" s="3079"/>
      <c r="C10" s="3077"/>
      <c r="D10" s="3077"/>
      <c r="E10" s="3077"/>
      <c r="F10" s="3077"/>
    </row>
    <row r="11" spans="1:9" ht="16.5">
      <c r="A11" s="3076" t="s">
        <v>2880</v>
      </c>
      <c r="B11" s="3079"/>
      <c r="C11" s="3077"/>
      <c r="D11" s="3077"/>
      <c r="E11" s="3077"/>
      <c r="F11" s="3077"/>
    </row>
    <row r="12" spans="1:9" ht="16.5">
      <c r="A12" s="3077"/>
      <c r="B12" s="3077"/>
      <c r="C12" s="3077"/>
      <c r="D12" s="3077"/>
      <c r="E12" s="3077"/>
      <c r="F12" s="3077"/>
    </row>
    <row r="13" spans="1:9" ht="33">
      <c r="A13" s="3082" t="s">
        <v>2879</v>
      </c>
      <c r="B13" s="3080" t="s">
        <v>2851</v>
      </c>
      <c r="C13" s="3080" t="s">
        <v>2852</v>
      </c>
      <c r="D13" s="3080" t="s">
        <v>2864</v>
      </c>
      <c r="E13" s="3076" t="s">
        <v>2878</v>
      </c>
      <c r="F13" s="3076" t="s">
        <v>2857</v>
      </c>
      <c r="G13" s="3080" t="s">
        <v>2865</v>
      </c>
      <c r="H13" s="3080" t="s">
        <v>2866</v>
      </c>
      <c r="I13" s="3080" t="s">
        <v>2867</v>
      </c>
    </row>
    <row r="14" spans="1:9" ht="16.5">
      <c r="A14" s="3083" t="s">
        <v>2877</v>
      </c>
      <c r="B14" s="3080">
        <f>结果表!L38</f>
        <v>16687.060000000001</v>
      </c>
      <c r="C14" s="3080">
        <f>结果表!K38</f>
        <v>7741.69</v>
      </c>
      <c r="D14" s="3080">
        <f ca="1">结果表!C42</f>
        <v>8184</v>
      </c>
      <c r="E14" s="3080">
        <f ca="1">ROUND(D14*10000/B14,0)</f>
        <v>4904</v>
      </c>
      <c r="F14" s="3080">
        <f ca="1">ROUND(D14*10000/C14,0)</f>
        <v>10571</v>
      </c>
      <c r="G14" s="3080" t="str">
        <f>结果表!C44</f>
        <v>——</v>
      </c>
      <c r="H14" s="3080">
        <f ca="1">结果表!C45</f>
        <v>8184</v>
      </c>
      <c r="I14" s="3080" t="str">
        <f>结果表!C46</f>
        <v>——</v>
      </c>
    </row>
    <row r="15" spans="1:9" ht="16.5">
      <c r="A15" s="3083" t="s">
        <v>2868</v>
      </c>
      <c r="B15" s="3084"/>
      <c r="C15" s="3084"/>
      <c r="D15" s="3084"/>
      <c r="E15" s="3080" t="e">
        <f t="shared" ref="E15:E23" si="2">ROUND(D15*10000/B15,0)</f>
        <v>#DIV/0!</v>
      </c>
      <c r="F15" s="3080" t="e">
        <f t="shared" ref="F15:F23" si="3">ROUND(D15*10000/C15,0)</f>
        <v>#DIV/0!</v>
      </c>
      <c r="G15" s="3081"/>
      <c r="H15" s="3081"/>
      <c r="I15" s="3084"/>
    </row>
    <row r="16" spans="1:9" ht="16.5">
      <c r="A16" s="3083" t="s">
        <v>2869</v>
      </c>
      <c r="B16" s="3084"/>
      <c r="C16" s="3084"/>
      <c r="D16" s="3084"/>
      <c r="E16" s="3080" t="e">
        <f t="shared" si="2"/>
        <v>#DIV/0!</v>
      </c>
      <c r="F16" s="3080" t="e">
        <f t="shared" si="3"/>
        <v>#DIV/0!</v>
      </c>
      <c r="G16" s="3081"/>
      <c r="H16" s="3081"/>
      <c r="I16" s="3084"/>
    </row>
    <row r="17" spans="1:9" ht="16.5">
      <c r="A17" s="3083" t="s">
        <v>2870</v>
      </c>
      <c r="B17" s="3084"/>
      <c r="C17" s="3084"/>
      <c r="D17" s="3084"/>
      <c r="E17" s="3080" t="e">
        <f t="shared" si="2"/>
        <v>#DIV/0!</v>
      </c>
      <c r="F17" s="3080" t="e">
        <f t="shared" si="3"/>
        <v>#DIV/0!</v>
      </c>
      <c r="G17" s="3081"/>
      <c r="H17" s="3081"/>
      <c r="I17" s="3084"/>
    </row>
    <row r="18" spans="1:9" ht="16.5">
      <c r="A18" s="3083" t="s">
        <v>2871</v>
      </c>
      <c r="B18" s="3084"/>
      <c r="C18" s="3084"/>
      <c r="D18" s="3084"/>
      <c r="E18" s="3080" t="e">
        <f t="shared" si="2"/>
        <v>#DIV/0!</v>
      </c>
      <c r="F18" s="3080" t="e">
        <f t="shared" si="3"/>
        <v>#DIV/0!</v>
      </c>
      <c r="G18" s="3084"/>
      <c r="H18" s="3084"/>
      <c r="I18" s="3084"/>
    </row>
    <row r="19" spans="1:9" ht="16.5">
      <c r="A19" s="3083" t="s">
        <v>2872</v>
      </c>
      <c r="B19" s="3084"/>
      <c r="C19" s="3084"/>
      <c r="D19" s="3084"/>
      <c r="E19" s="3080" t="e">
        <f t="shared" si="2"/>
        <v>#DIV/0!</v>
      </c>
      <c r="F19" s="3080" t="e">
        <f t="shared" si="3"/>
        <v>#DIV/0!</v>
      </c>
      <c r="G19" s="3084"/>
      <c r="H19" s="3084"/>
      <c r="I19" s="3084"/>
    </row>
    <row r="20" spans="1:9" ht="16.5">
      <c r="A20" s="3083" t="s">
        <v>2873</v>
      </c>
      <c r="B20" s="3084"/>
      <c r="C20" s="3084"/>
      <c r="D20" s="3084"/>
      <c r="E20" s="3080" t="e">
        <f t="shared" si="2"/>
        <v>#DIV/0!</v>
      </c>
      <c r="F20" s="3080" t="e">
        <f t="shared" si="3"/>
        <v>#DIV/0!</v>
      </c>
      <c r="G20" s="3084"/>
      <c r="H20" s="3084"/>
      <c r="I20" s="3084"/>
    </row>
    <row r="21" spans="1:9" ht="16.5">
      <c r="A21" s="3083" t="s">
        <v>2874</v>
      </c>
      <c r="B21" s="3084"/>
      <c r="C21" s="3084"/>
      <c r="D21" s="3084"/>
      <c r="E21" s="3080" t="e">
        <f t="shared" si="2"/>
        <v>#DIV/0!</v>
      </c>
      <c r="F21" s="3080" t="e">
        <f t="shared" si="3"/>
        <v>#DIV/0!</v>
      </c>
      <c r="G21" s="3084"/>
      <c r="H21" s="3084"/>
      <c r="I21" s="3084"/>
    </row>
    <row r="22" spans="1:9" ht="16.5">
      <c r="A22" s="3083" t="s">
        <v>2875</v>
      </c>
      <c r="B22" s="3084"/>
      <c r="C22" s="3084"/>
      <c r="D22" s="3084"/>
      <c r="E22" s="3080" t="e">
        <f t="shared" si="2"/>
        <v>#DIV/0!</v>
      </c>
      <c r="F22" s="3080" t="e">
        <f t="shared" si="3"/>
        <v>#DIV/0!</v>
      </c>
      <c r="G22" s="3084"/>
      <c r="H22" s="3084"/>
      <c r="I22" s="3084"/>
    </row>
    <row r="23" spans="1:9" ht="16.5">
      <c r="A23" s="3083" t="s">
        <v>2876</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SheetLayoutView="100" zoomScalePageLayoutView="80" workbookViewId="0">
      <selection activeCell="G20" sqref="G2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31" t="str">
        <f>项目基本情况!K2</f>
        <v>海南省海口市椰海大道南侧、丘海大道延长线西侧出让国有建设用地使用权</v>
      </c>
      <c r="B2" s="3332"/>
      <c r="C2" s="3333"/>
      <c r="D2" s="3333"/>
      <c r="E2" s="3333"/>
      <c r="F2" s="3333"/>
      <c r="G2" s="3332"/>
      <c r="H2" s="3332"/>
      <c r="I2" s="3334"/>
      <c r="J2" s="2034"/>
      <c r="K2" s="2033"/>
      <c r="L2" s="2033"/>
      <c r="M2" s="2033"/>
      <c r="N2" s="2033"/>
      <c r="O2" s="2033"/>
      <c r="P2" s="2033"/>
      <c r="Q2" s="2033"/>
      <c r="R2" s="2033"/>
      <c r="S2" s="2033"/>
      <c r="T2" s="2033"/>
      <c r="U2" s="2033"/>
      <c r="V2" s="2033"/>
    </row>
    <row r="3" spans="1:22" ht="14.25">
      <c r="A3" s="3342" t="s">
        <v>298</v>
      </c>
      <c r="B3" s="3343"/>
      <c r="C3" s="3343"/>
      <c r="D3" s="3343"/>
      <c r="E3" s="3343"/>
      <c r="F3" s="3343"/>
      <c r="G3" s="3343"/>
      <c r="H3" s="3343"/>
      <c r="I3" s="3343"/>
      <c r="J3" s="2034"/>
      <c r="K3" s="2033"/>
      <c r="L3" s="2033"/>
      <c r="M3" s="2033"/>
      <c r="N3" s="2033"/>
      <c r="O3" s="2033"/>
      <c r="P3" s="2033"/>
      <c r="Q3" s="2033"/>
      <c r="R3" s="2033"/>
      <c r="S3" s="2033"/>
      <c r="T3" s="2033"/>
      <c r="U3" s="2033"/>
      <c r="V3" s="2033"/>
    </row>
    <row r="4" spans="1:22" ht="14.25">
      <c r="A4" s="258" t="s">
        <v>299</v>
      </c>
      <c r="B4" s="259" t="s">
        <v>300</v>
      </c>
      <c r="C4" s="260" t="s">
        <v>3070</v>
      </c>
      <c r="D4" s="260" t="s">
        <v>3071</v>
      </c>
      <c r="E4" s="3306" t="s">
        <v>301</v>
      </c>
      <c r="F4" s="3348"/>
      <c r="G4" s="3348"/>
      <c r="H4" s="3348"/>
      <c r="I4" s="3307"/>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335" t="s">
        <v>302</v>
      </c>
      <c r="B5" s="3336">
        <v>25</v>
      </c>
      <c r="C5" s="3344"/>
      <c r="D5" s="3347"/>
      <c r="E5" s="261" t="s">
        <v>303</v>
      </c>
      <c r="F5" s="262"/>
      <c r="G5" s="262"/>
      <c r="H5" s="262"/>
      <c r="I5" s="263"/>
      <c r="J5" s="2034"/>
      <c r="K5" s="2033"/>
      <c r="L5" s="2033"/>
      <c r="M5" s="2033"/>
      <c r="N5" s="2033"/>
      <c r="O5" s="2033"/>
      <c r="P5" s="2033"/>
      <c r="Q5" s="2033"/>
      <c r="R5" s="2033"/>
      <c r="S5" s="2033"/>
      <c r="T5" s="2033"/>
      <c r="U5" s="2033"/>
      <c r="V5" s="2033"/>
    </row>
    <row r="6" spans="1:22" ht="14.25">
      <c r="A6" s="3335"/>
      <c r="B6" s="3336"/>
      <c r="C6" s="3345"/>
      <c r="D6" s="3347"/>
      <c r="E6" s="261" t="s">
        <v>304</v>
      </c>
      <c r="F6" s="262"/>
      <c r="G6" s="262"/>
      <c r="H6" s="262"/>
      <c r="I6" s="263"/>
      <c r="J6" s="2034"/>
      <c r="K6" s="2033"/>
      <c r="L6" s="2033"/>
      <c r="M6" s="2033"/>
      <c r="N6" s="2033"/>
      <c r="O6" s="2033"/>
      <c r="P6" s="2033"/>
      <c r="Q6" s="2033"/>
      <c r="R6" s="2033"/>
      <c r="S6" s="2033"/>
      <c r="T6" s="2033"/>
      <c r="U6" s="2033"/>
      <c r="V6" s="2033"/>
    </row>
    <row r="7" spans="1:22" ht="14.25">
      <c r="A7" s="3335"/>
      <c r="B7" s="3336"/>
      <c r="C7" s="3346"/>
      <c r="D7" s="3347"/>
      <c r="E7" s="261" t="s">
        <v>305</v>
      </c>
      <c r="F7" s="262"/>
      <c r="G7" s="262"/>
      <c r="H7" s="262"/>
      <c r="I7" s="263"/>
      <c r="J7" s="2034"/>
      <c r="K7" s="2033"/>
      <c r="L7" s="2033"/>
      <c r="M7" s="2033"/>
      <c r="N7" s="2033"/>
      <c r="O7" s="2033"/>
      <c r="P7" s="2033"/>
      <c r="Q7" s="2033"/>
      <c r="R7" s="2033"/>
      <c r="S7" s="2033"/>
      <c r="T7" s="2033"/>
      <c r="U7" s="2033"/>
      <c r="V7" s="2033"/>
    </row>
    <row r="8" spans="1:22" ht="14.25">
      <c r="A8" s="3335" t="s">
        <v>306</v>
      </c>
      <c r="B8" s="3336">
        <v>15</v>
      </c>
      <c r="C8" s="3344"/>
      <c r="D8" s="3347"/>
      <c r="E8" s="261" t="s">
        <v>307</v>
      </c>
      <c r="F8" s="262"/>
      <c r="G8" s="262"/>
      <c r="H8" s="262"/>
      <c r="I8" s="263"/>
      <c r="J8" s="2034"/>
      <c r="K8" s="2033"/>
      <c r="L8" s="2033"/>
      <c r="M8" s="2033"/>
      <c r="N8" s="2033"/>
      <c r="O8" s="2033"/>
      <c r="P8" s="2033"/>
      <c r="Q8" s="2033"/>
      <c r="R8" s="2033"/>
      <c r="S8" s="2033"/>
      <c r="T8" s="2033"/>
      <c r="U8" s="2033"/>
      <c r="V8" s="2033"/>
    </row>
    <row r="9" spans="1:22" ht="14.25">
      <c r="A9" s="3335"/>
      <c r="B9" s="3336"/>
      <c r="C9" s="3346"/>
      <c r="D9" s="3347"/>
      <c r="E9" s="261" t="s">
        <v>308</v>
      </c>
      <c r="F9" s="262"/>
      <c r="G9" s="262"/>
      <c r="H9" s="262"/>
      <c r="I9" s="263"/>
      <c r="J9" s="2034"/>
      <c r="K9" s="2033"/>
      <c r="L9" s="2033"/>
      <c r="M9" s="2033"/>
      <c r="N9" s="2033"/>
      <c r="O9" s="2033"/>
      <c r="P9" s="2033"/>
      <c r="Q9" s="2033"/>
      <c r="R9" s="2033"/>
      <c r="S9" s="2033"/>
      <c r="T9" s="2033"/>
      <c r="U9" s="2033"/>
      <c r="V9" s="2033"/>
    </row>
    <row r="10" spans="1:22" ht="14.25">
      <c r="A10" s="3335" t="s">
        <v>309</v>
      </c>
      <c r="B10" s="3336">
        <v>15</v>
      </c>
      <c r="C10" s="3344"/>
      <c r="D10" s="3347"/>
      <c r="E10" s="261" t="s">
        <v>310</v>
      </c>
      <c r="F10" s="262"/>
      <c r="G10" s="262"/>
      <c r="H10" s="262"/>
      <c r="I10" s="263"/>
      <c r="J10" s="2034"/>
      <c r="K10" s="2033"/>
      <c r="L10" s="2033"/>
      <c r="M10" s="2033"/>
      <c r="N10" s="2033"/>
      <c r="O10" s="2033"/>
      <c r="P10" s="2033"/>
      <c r="Q10" s="2033"/>
      <c r="R10" s="2033"/>
      <c r="S10" s="2033"/>
      <c r="T10" s="2033"/>
      <c r="U10" s="2033"/>
      <c r="V10" s="2033"/>
    </row>
    <row r="11" spans="1:22" ht="14.25">
      <c r="A11" s="3335"/>
      <c r="B11" s="3336"/>
      <c r="C11" s="3346"/>
      <c r="D11" s="3347"/>
      <c r="E11" s="261" t="s">
        <v>311</v>
      </c>
      <c r="F11" s="262"/>
      <c r="G11" s="262"/>
      <c r="H11" s="262"/>
      <c r="I11" s="263"/>
      <c r="J11" s="2034"/>
      <c r="K11" s="2033"/>
      <c r="L11" s="2033"/>
      <c r="M11" s="2033"/>
      <c r="N11" s="2033"/>
      <c r="O11" s="2033"/>
      <c r="P11" s="2033"/>
      <c r="Q11" s="2033"/>
      <c r="R11" s="2033"/>
      <c r="S11" s="2033"/>
      <c r="T11" s="2033"/>
      <c r="U11" s="2033"/>
      <c r="V11" s="2033"/>
    </row>
    <row r="12" spans="1:22" ht="14.25">
      <c r="A12" s="3335" t="s">
        <v>312</v>
      </c>
      <c r="B12" s="3336">
        <v>15</v>
      </c>
      <c r="C12" s="3344"/>
      <c r="D12" s="3347"/>
      <c r="E12" s="261" t="s">
        <v>313</v>
      </c>
      <c r="F12" s="262"/>
      <c r="G12" s="262"/>
      <c r="H12" s="262"/>
      <c r="I12" s="263"/>
      <c r="J12" s="2034"/>
      <c r="K12" s="2033"/>
      <c r="L12" s="2033"/>
      <c r="M12" s="2033"/>
      <c r="N12" s="2033"/>
      <c r="O12" s="2033"/>
      <c r="P12" s="2033"/>
      <c r="Q12" s="2033"/>
      <c r="R12" s="2033"/>
      <c r="S12" s="2033"/>
      <c r="T12" s="2033"/>
      <c r="U12" s="2033"/>
      <c r="V12" s="2033"/>
    </row>
    <row r="13" spans="1:22" ht="14.25">
      <c r="A13" s="3335"/>
      <c r="B13" s="3336"/>
      <c r="C13" s="3346"/>
      <c r="D13" s="3347"/>
      <c r="E13" s="261" t="s">
        <v>314</v>
      </c>
      <c r="F13" s="262"/>
      <c r="G13" s="262"/>
      <c r="H13" s="262"/>
      <c r="I13" s="263"/>
      <c r="J13" s="2034"/>
      <c r="K13" s="2033"/>
      <c r="L13" s="2033"/>
      <c r="M13" s="2033"/>
      <c r="N13" s="2033"/>
      <c r="O13" s="2033"/>
      <c r="P13" s="2033"/>
      <c r="Q13" s="2033"/>
      <c r="R13" s="2033"/>
      <c r="S13" s="2033"/>
      <c r="T13" s="2033"/>
      <c r="U13" s="2033"/>
      <c r="V13" s="2033"/>
    </row>
    <row r="14" spans="1:22" ht="14.25">
      <c r="A14" s="3335" t="s">
        <v>315</v>
      </c>
      <c r="B14" s="3336">
        <v>30</v>
      </c>
      <c r="C14" s="3344">
        <v>4</v>
      </c>
      <c r="D14" s="3347">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35"/>
      <c r="B15" s="3336"/>
      <c r="C15" s="3345"/>
      <c r="D15" s="3347"/>
      <c r="E15" s="261" t="s">
        <v>317</v>
      </c>
      <c r="F15" s="262"/>
      <c r="G15" s="262"/>
      <c r="H15" s="262"/>
      <c r="I15" s="263"/>
      <c r="J15" s="2034"/>
      <c r="K15" s="2033"/>
      <c r="L15" s="2033"/>
      <c r="M15" s="2033"/>
      <c r="N15" s="2033"/>
      <c r="O15" s="2033"/>
      <c r="P15" s="2033"/>
      <c r="Q15" s="2033"/>
      <c r="R15" s="2033"/>
      <c r="S15" s="2033"/>
      <c r="T15" s="2033"/>
      <c r="U15" s="2033"/>
      <c r="V15" s="2033"/>
    </row>
    <row r="16" spans="1:22" ht="14.25">
      <c r="A16" s="3335"/>
      <c r="B16" s="3336"/>
      <c r="C16" s="3346"/>
      <c r="D16" s="3347"/>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10997</v>
      </c>
      <c r="D19" s="271">
        <f ca="1">SUMIF(INDIRECT("'"&amp;D4&amp;"'"&amp;"!A:A"),结果表!B19,INDIRECT("'"&amp;D4&amp;"'"&amp;"!B:B"))</f>
        <v>6309</v>
      </c>
      <c r="E19" s="268" t="s">
        <v>323</v>
      </c>
      <c r="F19" s="269" t="s">
        <v>322</v>
      </c>
      <c r="G19" s="272">
        <f ca="1">ROUND(C19*$C$18+D19*$D$18,0)</f>
        <v>8184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6590</v>
      </c>
      <c r="D20" s="277">
        <f ca="1">SUMIF(INDIRECT("'"&amp;D4&amp;"'"&amp;"!A:A"),结果表!B20,INDIRECT("'"&amp;D4&amp;"'"&amp;"!B:B"))</f>
        <v>3781</v>
      </c>
      <c r="E20" s="274"/>
      <c r="F20" s="275" t="s">
        <v>325</v>
      </c>
      <c r="G20" s="278">
        <f ca="1">ROUND(C20*$C$18+D20*$D$18,0)</f>
        <v>4905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14205</v>
      </c>
      <c r="D21" s="151">
        <f ca="1">SUMIF(INDIRECT("'"&amp;D4&amp;"'"&amp;"!A:A"),结果表!B21,INDIRECT("'"&amp;D4&amp;"'"&amp;"!B:B"))</f>
        <v>8149</v>
      </c>
      <c r="E21" s="274"/>
      <c r="F21" s="280" t="s">
        <v>327</v>
      </c>
      <c r="G21" s="282">
        <f ca="1">ROUND(C21*$C$18+D21*$D$18,0)</f>
        <v>10571</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0.74306546203835788</v>
      </c>
      <c r="E22" s="284"/>
      <c r="F22" s="285"/>
      <c r="G22" s="286">
        <f ca="1">ROUND(G19/('数据-汇总表'!D3/666.67),0)</f>
        <v>705</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8"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50"/>
      <c r="B25" s="1324" t="s">
        <v>331</v>
      </c>
      <c r="C25" s="290">
        <f>IF(B30=0,0,C30)</f>
        <v>0</v>
      </c>
      <c r="D25" s="291"/>
      <c r="E25" s="314"/>
      <c r="F25" s="314"/>
      <c r="G25" s="314"/>
      <c r="H25" s="314"/>
      <c r="I25" s="314"/>
      <c r="J25" s="2033"/>
      <c r="K25" s="1258" t="str">
        <f ca="1">项目基本情况!B16&amp;"国有建设用地使用权价格："&amp;O38&amp;"万元"</f>
        <v>出让国有建设用地使用权价格：8184万元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大写金额：人民币捌仟壹佰捌拾肆万元整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单位面积地价：10571元/平方米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楼面地价：4904元/平方米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抵押担保权已注销时的抵押价格：8184万元</v>
      </c>
      <c r="L31" s="2493"/>
      <c r="M31" s="2493"/>
      <c r="N31" s="2493"/>
      <c r="O31" s="2494"/>
      <c r="P31" s="2033"/>
      <c r="V31" s="2033"/>
    </row>
    <row r="32" spans="1:26" ht="18.75" thickBot="1">
      <c r="A32" s="268" t="s">
        <v>337</v>
      </c>
      <c r="B32" s="1385" t="s">
        <v>1689</v>
      </c>
      <c r="C32" s="1386">
        <f ca="1">G19-C24</f>
        <v>8184</v>
      </c>
      <c r="D32" s="1387" t="s">
        <v>1690</v>
      </c>
      <c r="E32" s="314"/>
      <c r="F32" s="314"/>
      <c r="G32" s="314"/>
      <c r="H32" s="314"/>
      <c r="I32" s="314"/>
      <c r="J32" s="2033"/>
      <c r="K32" s="2492" t="str">
        <f ca="1">IF(K31="——","——","大写金额：人民币"&amp;NUMBERSTRING(INT(O40*10000),2)&amp;"元整")</f>
        <v>大写金额：人民币捌仟壹佰捌拾肆万元整</v>
      </c>
      <c r="L32" s="2495"/>
      <c r="M32" s="2495"/>
      <c r="N32" s="2495"/>
      <c r="O32" s="2496"/>
      <c r="P32" s="2033"/>
      <c r="V32" s="2033"/>
    </row>
    <row r="33" spans="1:26" ht="18.75" thickBot="1">
      <c r="A33" s="301" t="s">
        <v>340</v>
      </c>
      <c r="B33" s="1388" t="s">
        <v>1691</v>
      </c>
      <c r="C33" s="264">
        <f ca="1">ROUND(C32*10000/'数据-汇总表'!E3,0)</f>
        <v>4904</v>
      </c>
      <c r="D33" s="1389" t="s">
        <v>1692</v>
      </c>
      <c r="E33" s="3308"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10571</v>
      </c>
      <c r="D34" s="1391" t="s">
        <v>1692</v>
      </c>
      <c r="E34" s="3309"/>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705</v>
      </c>
      <c r="D35" s="1394" t="s">
        <v>1694</v>
      </c>
      <c r="E35" s="3310"/>
      <c r="F35" s="304" t="s">
        <v>342</v>
      </c>
      <c r="G35" s="985"/>
      <c r="H35" s="984" t="s">
        <v>343</v>
      </c>
      <c r="I35" s="314"/>
      <c r="J35" s="2033"/>
      <c r="K35" s="3314" t="s">
        <v>350</v>
      </c>
      <c r="L35" s="3314" t="s">
        <v>351</v>
      </c>
      <c r="M35" s="1267" t="s">
        <v>352</v>
      </c>
      <c r="N35" s="3314" t="s">
        <v>353</v>
      </c>
      <c r="O35" s="3314" t="s">
        <v>354</v>
      </c>
      <c r="P35" s="2033"/>
      <c r="V35" s="2033"/>
    </row>
    <row r="36" spans="1:26" ht="16.5" customHeight="1">
      <c r="A36" s="306" t="s">
        <v>344</v>
      </c>
      <c r="B36" s="307" t="s">
        <v>333</v>
      </c>
      <c r="C36" s="308" t="s">
        <v>345</v>
      </c>
      <c r="D36" s="308" t="s">
        <v>346</v>
      </c>
      <c r="E36" s="309" t="s">
        <v>347</v>
      </c>
      <c r="F36" s="314"/>
      <c r="G36" s="314"/>
      <c r="H36" s="314"/>
      <c r="I36" s="314"/>
      <c r="J36" s="2035"/>
      <c r="K36" s="3315"/>
      <c r="L36" s="3315"/>
      <c r="M36" s="1269" t="s">
        <v>355</v>
      </c>
      <c r="N36" s="3315"/>
      <c r="O36" s="3315"/>
      <c r="P36" s="2033"/>
      <c r="V36" s="2033"/>
    </row>
    <row r="37" spans="1:26" ht="16.5" customHeight="1" thickBot="1">
      <c r="A37" s="1263" t="s">
        <v>348</v>
      </c>
      <c r="B37" s="310"/>
      <c r="C37" s="294"/>
      <c r="D37" s="294"/>
      <c r="E37" s="295"/>
      <c r="F37" s="314"/>
      <c r="G37" s="314"/>
      <c r="H37" s="314"/>
      <c r="I37" s="314"/>
      <c r="J37" s="2035"/>
      <c r="K37" s="3316"/>
      <c r="L37" s="3316"/>
      <c r="M37" s="1270"/>
      <c r="N37" s="3316"/>
      <c r="O37" s="3316"/>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16687.060000000001</v>
      </c>
      <c r="M38" s="1272">
        <f ca="1">C34</f>
        <v>10571</v>
      </c>
      <c r="N38" s="1272">
        <f ca="1">C33</f>
        <v>4904</v>
      </c>
      <c r="O38" s="1273">
        <f ca="1">C32</f>
        <v>8184</v>
      </c>
      <c r="P38" s="2033"/>
      <c r="V38" s="2033"/>
    </row>
    <row r="39" spans="1:26" ht="16.5" customHeight="1" thickBot="1">
      <c r="A39" s="1268"/>
      <c r="B39" s="311"/>
      <c r="C39" s="312"/>
      <c r="D39" s="312"/>
      <c r="E39" s="313"/>
      <c r="F39" s="314"/>
      <c r="G39" s="314"/>
      <c r="H39" s="314"/>
      <c r="I39" s="314"/>
      <c r="J39" s="2035"/>
      <c r="K39" s="3291" t="str">
        <f>MID(A44,3,LEN(A44)-2)</f>
        <v/>
      </c>
      <c r="L39" s="3292"/>
      <c r="M39" s="3292"/>
      <c r="N39" s="3293"/>
      <c r="O39" s="1396" t="str">
        <f>C44</f>
        <v>——</v>
      </c>
      <c r="P39" s="2033"/>
      <c r="V39" s="2033"/>
    </row>
    <row r="40" spans="1:26" ht="19.5" thickBot="1">
      <c r="A40" s="104" t="s">
        <v>873</v>
      </c>
      <c r="B40" s="314"/>
      <c r="C40" s="314"/>
      <c r="D40" s="314"/>
      <c r="E40" s="314"/>
      <c r="F40" s="314"/>
      <c r="G40" s="314"/>
      <c r="H40" s="314"/>
      <c r="I40" s="314"/>
      <c r="J40" s="2035"/>
      <c r="K40" s="3291" t="str">
        <f t="shared" ref="K40:K41" si="0">MID(A45,3,LEN(A45)-2)</f>
        <v>抵押担保权已注销时的抵押价格</v>
      </c>
      <c r="L40" s="3292"/>
      <c r="M40" s="3292"/>
      <c r="N40" s="3293"/>
      <c r="O40" s="1396">
        <f ca="1">C45</f>
        <v>8184</v>
      </c>
      <c r="P40" s="2033"/>
      <c r="V40" s="2033"/>
    </row>
    <row r="41" spans="1:26" ht="16.5" thickBot="1">
      <c r="A41" s="315" t="s">
        <v>356</v>
      </c>
      <c r="B41" s="316"/>
      <c r="C41" s="317" t="s">
        <v>357</v>
      </c>
      <c r="D41" s="318" t="s">
        <v>358</v>
      </c>
      <c r="E41" s="318" t="s">
        <v>359</v>
      </c>
      <c r="F41" s="319" t="s">
        <v>360</v>
      </c>
      <c r="G41" s="314"/>
      <c r="H41" s="314"/>
      <c r="I41" s="314"/>
      <c r="J41" s="2035"/>
      <c r="K41" s="3291" t="str">
        <f t="shared" si="0"/>
        <v/>
      </c>
      <c r="L41" s="3292"/>
      <c r="M41" s="3292"/>
      <c r="N41" s="3293"/>
      <c r="O41" s="1396" t="str">
        <f>C46</f>
        <v>——</v>
      </c>
      <c r="P41" s="2033"/>
      <c r="V41" s="2033"/>
    </row>
    <row r="42" spans="1:26" ht="29.25">
      <c r="A42" s="3351" t="s">
        <v>2069</v>
      </c>
      <c r="B42" s="3352"/>
      <c r="C42" s="264">
        <f ca="1">C32</f>
        <v>8184</v>
      </c>
      <c r="D42" s="320">
        <f ca="1">C33</f>
        <v>4904</v>
      </c>
      <c r="E42" s="320">
        <f ca="1">C34</f>
        <v>10571</v>
      </c>
      <c r="F42" s="321">
        <f ca="1">C35</f>
        <v>705</v>
      </c>
      <c r="G42" s="314"/>
      <c r="H42" s="314"/>
      <c r="I42" s="322"/>
      <c r="J42" s="2035"/>
      <c r="K42" s="1274" t="s">
        <v>361</v>
      </c>
      <c r="L42" s="2052" t="s">
        <v>362</v>
      </c>
      <c r="M42" s="1275" t="s">
        <v>363</v>
      </c>
      <c r="N42" s="2053" t="s">
        <v>364</v>
      </c>
      <c r="O42" s="2054" t="s">
        <v>365</v>
      </c>
      <c r="P42" s="2033"/>
      <c r="V42" s="2033"/>
    </row>
    <row r="43" spans="1:26" ht="30">
      <c r="A43" s="3361" t="s">
        <v>2737</v>
      </c>
      <c r="B43" s="3362"/>
      <c r="C43" s="264">
        <f>IF(H33="正常操作",G33+G34+G35,G34+G35)</f>
        <v>0</v>
      </c>
      <c r="D43" s="320" t="s">
        <v>43</v>
      </c>
      <c r="E43" s="320" t="s">
        <v>44</v>
      </c>
      <c r="F43" s="321" t="s">
        <v>44</v>
      </c>
      <c r="G43" s="2897" t="s">
        <v>952</v>
      </c>
      <c r="H43" s="314"/>
      <c r="I43" s="322"/>
      <c r="J43" s="2035"/>
      <c r="K43" s="1276" t="str">
        <f>C4</f>
        <v>剩余法-待开发</v>
      </c>
      <c r="L43" s="1277">
        <f ca="1">IF(L42="估价结果/万元",C19,C20)</f>
        <v>10997</v>
      </c>
      <c r="M43" s="1278">
        <f>C18</f>
        <v>0.4</v>
      </c>
      <c r="N43" s="1279">
        <f ca="1">IF(N42="测算结果/万元",G19,G20)</f>
        <v>8184</v>
      </c>
      <c r="O43" s="1280">
        <f ca="1">IF(O42="最终结果/万元",C32,C33)</f>
        <v>8184</v>
      </c>
      <c r="P43" s="2033"/>
      <c r="V43" s="2033"/>
    </row>
    <row r="44" spans="1:26" ht="30.75" thickBot="1">
      <c r="A44" s="3351" t="str">
        <f>IF(OR(项目基本情况!E8="抵押价格",项目基本情况!E8="已注销及未注销"),"3.抵押价格","——")</f>
        <v>——</v>
      </c>
      <c r="B44" s="3352"/>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6309</v>
      </c>
      <c r="M44" s="1283">
        <f>D18</f>
        <v>0.6</v>
      </c>
      <c r="N44" s="1284"/>
      <c r="O44" s="1285"/>
      <c r="P44" s="2033"/>
      <c r="V44" s="2033"/>
    </row>
    <row r="45" spans="1:26" ht="15">
      <c r="A45" s="3356" t="str">
        <f>IF(项目基本情况!E8="已注销及未注销","4.抵押担保权已注销时的抵押价格",IF(项目基本情况!E8="已注销","3.抵押担保权已注销时的抵押价格","——"))</f>
        <v>3.抵押担保权已注销时的抵押价格</v>
      </c>
      <c r="B45" s="3357"/>
      <c r="C45" s="1808">
        <f ca="1">IF(A45="——","——",IF(项目基本情况!E8="抵押价格","——",C32-G34-G35))</f>
        <v>8184</v>
      </c>
      <c r="D45" s="320">
        <f ca="1">ROUND(C45*10000/'数据-汇总表'!E3,0)</f>
        <v>4904</v>
      </c>
      <c r="E45" s="320">
        <f ca="1">ROUND(C45*10000/'数据-汇总表'!D3,0)</f>
        <v>10571</v>
      </c>
      <c r="F45" s="321">
        <f ca="1">ROUND(C45/('数据-汇总表'!D3/666.67),0)</f>
        <v>705</v>
      </c>
      <c r="G45" s="314"/>
      <c r="H45" s="314"/>
      <c r="I45" s="322"/>
      <c r="J45" s="2035"/>
      <c r="K45" s="2033"/>
      <c r="L45" s="2033"/>
      <c r="M45" s="2033"/>
      <c r="N45" s="2033"/>
      <c r="O45" s="2033"/>
      <c r="P45" s="2033"/>
      <c r="V45" s="2033"/>
    </row>
    <row r="46" spans="1:26" ht="15.75" thickBot="1">
      <c r="A46" s="3353" t="str">
        <f>IF(项目基本情况!E9="抵押净值",IF(A45="——","4.抵押净值","5.抵押净值"),"——")</f>
        <v>——</v>
      </c>
      <c r="B46" s="335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9" t="s">
        <v>374</v>
      </c>
      <c r="B63" s="3320"/>
      <c r="C63" s="3321"/>
      <c r="D63" s="344">
        <f ca="1">ROUND(C42*F63,0)</f>
        <v>4910</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58" t="s">
        <v>378</v>
      </c>
      <c r="B64" s="3359"/>
      <c r="C64" s="3359"/>
      <c r="D64" s="3359"/>
      <c r="E64" s="3359"/>
      <c r="F64" s="3359"/>
      <c r="G64" s="3360"/>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55" t="s">
        <v>386</v>
      </c>
      <c r="B66" s="3326"/>
      <c r="C66" s="3326"/>
      <c r="D66" s="261">
        <f ca="1">IF(H66="情况1",0,IF(H66="情况2",D70,IF(H66="情况3",D71,IF(H66="情况4",D72))))</f>
        <v>262</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295" t="s">
        <v>385</v>
      </c>
      <c r="M66" s="3296"/>
      <c r="N66" s="2487"/>
      <c r="O66" s="2488"/>
      <c r="P66" s="2489"/>
      <c r="Q66" s="2033"/>
      <c r="R66" s="2033"/>
      <c r="S66" s="2033"/>
      <c r="T66" s="2033"/>
      <c r="U66" s="2033"/>
      <c r="V66" s="2033"/>
    </row>
    <row r="67" spans="1:22" ht="25.5" customHeight="1">
      <c r="A67" s="355" t="s">
        <v>390</v>
      </c>
      <c r="B67" s="3338" t="s">
        <v>391</v>
      </c>
      <c r="C67" s="3338"/>
      <c r="D67" s="356">
        <v>0</v>
      </c>
      <c r="E67" s="41" t="s">
        <v>392</v>
      </c>
      <c r="F67" s="62" t="s">
        <v>21</v>
      </c>
      <c r="G67" s="3322"/>
      <c r="H67" s="314"/>
      <c r="I67" s="1295"/>
      <c r="J67" s="2040"/>
      <c r="K67" s="1981">
        <v>2</v>
      </c>
      <c r="L67" s="3294" t="s">
        <v>389</v>
      </c>
      <c r="M67" s="3294"/>
      <c r="N67" s="1328">
        <f>'数据-取费表'!B2</f>
        <v>43047</v>
      </c>
      <c r="O67" s="1328"/>
      <c r="P67" s="1328"/>
      <c r="Q67" s="2033"/>
      <c r="R67" s="2033"/>
      <c r="S67" s="2033"/>
      <c r="T67" s="2033"/>
      <c r="U67" s="2033"/>
      <c r="V67" s="2033"/>
    </row>
    <row r="68" spans="1:22" ht="25.5" customHeight="1">
      <c r="A68" s="357"/>
      <c r="B68" s="3338" t="s">
        <v>394</v>
      </c>
      <c r="C68" s="3338"/>
      <c r="D68" s="358"/>
      <c r="E68" s="77"/>
      <c r="F68" s="359"/>
      <c r="G68" s="3323"/>
      <c r="H68" s="314"/>
      <c r="I68" s="1295"/>
      <c r="J68" s="2040"/>
      <c r="K68" s="1981">
        <v>3</v>
      </c>
      <c r="L68" s="3294" t="s">
        <v>393</v>
      </c>
      <c r="M68" s="3294"/>
      <c r="N68" s="1296">
        <f ca="1">C42</f>
        <v>8184</v>
      </c>
      <c r="O68" s="1296"/>
      <c r="P68" s="1296"/>
      <c r="Q68" s="2033"/>
      <c r="R68" s="2033"/>
      <c r="S68" s="2033"/>
      <c r="T68" s="2033"/>
      <c r="U68" s="2033"/>
      <c r="V68" s="2033"/>
    </row>
    <row r="69" spans="1:22" ht="12" customHeight="1">
      <c r="A69" s="360"/>
      <c r="B69" s="3338" t="s">
        <v>395</v>
      </c>
      <c r="C69" s="3338"/>
      <c r="D69" s="361"/>
      <c r="E69" s="73"/>
      <c r="F69" s="359"/>
      <c r="G69" s="3324"/>
      <c r="H69" s="314"/>
      <c r="I69" s="1295"/>
      <c r="J69" s="2040"/>
      <c r="K69" s="1297">
        <v>4</v>
      </c>
      <c r="L69" s="3300" t="s">
        <v>2890</v>
      </c>
      <c r="M69" s="3301"/>
      <c r="N69" s="1298" t="str">
        <f>C44</f>
        <v>——</v>
      </c>
      <c r="O69" s="1298"/>
      <c r="P69" s="1298"/>
      <c r="Q69" s="2033"/>
      <c r="R69" s="2033"/>
      <c r="S69" s="2033"/>
      <c r="T69" s="2033"/>
      <c r="U69" s="2033"/>
      <c r="V69" s="2033"/>
    </row>
    <row r="70" spans="1:22" ht="24" customHeight="1">
      <c r="A70" s="362" t="s">
        <v>396</v>
      </c>
      <c r="B70" s="3338" t="s">
        <v>397</v>
      </c>
      <c r="C70" s="3338"/>
      <c r="D70" s="361">
        <f ca="1">ROUND(D63*'数据-取费表'!B41/(1+'数据-取费表'!C42),0)</f>
        <v>262</v>
      </c>
      <c r="E70" s="17" t="s">
        <v>398</v>
      </c>
      <c r="F70" s="363">
        <f>'数据-取费表'!B41</f>
        <v>5.6000000000000001E-2</v>
      </c>
      <c r="G70" s="364"/>
      <c r="H70" s="314"/>
      <c r="I70" s="1295"/>
      <c r="J70" s="2040"/>
      <c r="K70" s="3093"/>
      <c r="L70" s="3094"/>
      <c r="M70" s="3094"/>
      <c r="N70" s="3095" t="s">
        <v>2895</v>
      </c>
      <c r="O70" s="3094"/>
      <c r="P70" s="3096"/>
      <c r="Q70" s="2033"/>
      <c r="R70" s="2033"/>
      <c r="S70" s="2033"/>
      <c r="T70" s="2033"/>
      <c r="U70" s="2033"/>
      <c r="V70" s="2033"/>
    </row>
    <row r="71" spans="1:22" ht="12" customHeight="1">
      <c r="A71" s="362" t="s">
        <v>404</v>
      </c>
      <c r="B71" s="3337" t="s">
        <v>405</v>
      </c>
      <c r="C71" s="3349"/>
      <c r="D71" s="361">
        <f ca="1">ROUND(D63*'数据-取费表'!B41/(1+'数据-取费表'!C42),0)</f>
        <v>262</v>
      </c>
      <c r="E71" s="17" t="s">
        <v>398</v>
      </c>
      <c r="F71" s="363">
        <f>'数据-取费表'!B41</f>
        <v>5.6000000000000001E-2</v>
      </c>
      <c r="G71" s="364"/>
      <c r="H71" s="314"/>
      <c r="I71" s="1295"/>
      <c r="J71" s="2040"/>
      <c r="K71" s="3092" t="s">
        <v>399</v>
      </c>
      <c r="L71" s="3302" t="s">
        <v>400</v>
      </c>
      <c r="M71" s="3302"/>
      <c r="N71" s="3092" t="s">
        <v>401</v>
      </c>
      <c r="O71" s="3092" t="s">
        <v>402</v>
      </c>
      <c r="P71" s="3092" t="s">
        <v>403</v>
      </c>
      <c r="Q71" s="2033"/>
      <c r="R71" s="2033"/>
      <c r="S71" s="2033"/>
      <c r="T71" s="2033"/>
      <c r="U71" s="2033"/>
      <c r="V71" s="2033"/>
    </row>
    <row r="72" spans="1:22" ht="12" customHeight="1">
      <c r="A72" s="362" t="s">
        <v>407</v>
      </c>
      <c r="B72" s="3337" t="s">
        <v>408</v>
      </c>
      <c r="C72" s="3349"/>
      <c r="D72" s="361">
        <f ca="1">C86</f>
        <v>150</v>
      </c>
      <c r="E72" s="73" t="s">
        <v>409</v>
      </c>
      <c r="F72" s="363">
        <f>'数据-取费表'!B41</f>
        <v>5.6000000000000001E-2</v>
      </c>
      <c r="G72" s="364"/>
      <c r="H72" s="1301"/>
      <c r="I72" s="1295"/>
      <c r="J72" s="2040"/>
      <c r="K72" s="1981">
        <v>1</v>
      </c>
      <c r="L72" s="3299" t="s">
        <v>406</v>
      </c>
      <c r="M72" s="3299"/>
      <c r="N72" s="1299">
        <f ca="1">D66</f>
        <v>262</v>
      </c>
      <c r="O72" s="1864" t="str">
        <f>E66</f>
        <v>销售额×税（费）率</v>
      </c>
      <c r="P72" s="1300">
        <f>F66</f>
        <v>5.6000000000000001E-2</v>
      </c>
      <c r="Q72" s="2033"/>
      <c r="R72" s="2033"/>
      <c r="S72" s="2033"/>
      <c r="T72" s="2033"/>
      <c r="U72" s="2033"/>
      <c r="V72" s="2033"/>
    </row>
    <row r="73" spans="1:22" ht="24" customHeight="1">
      <c r="A73" s="3325" t="s">
        <v>411</v>
      </c>
      <c r="B73" s="3326"/>
      <c r="C73" s="3326"/>
      <c r="D73" s="365">
        <f>IF(H73="个人住宅",0,ROUND(D63*I73,0))</f>
        <v>0</v>
      </c>
      <c r="E73" s="17" t="s">
        <v>412</v>
      </c>
      <c r="F73" s="363" t="str">
        <f>IF(H73="正常",I73,"免征")</f>
        <v>免征</v>
      </c>
      <c r="G73" s="364"/>
      <c r="H73" s="191" t="s">
        <v>2459</v>
      </c>
      <c r="I73" s="363">
        <f>'数据-取费表'!B49</f>
        <v>5.0000000000000001E-4</v>
      </c>
      <c r="J73" s="2040"/>
      <c r="K73" s="1981">
        <v>2</v>
      </c>
      <c r="L73" s="3299" t="s">
        <v>410</v>
      </c>
      <c r="M73" s="3299"/>
      <c r="N73" s="1299">
        <f t="shared" ref="N73:P74" si="1">D73</f>
        <v>0</v>
      </c>
      <c r="O73" s="1864" t="str">
        <f t="shared" si="1"/>
        <v>销售额×税（费）率</v>
      </c>
      <c r="P73" s="1300" t="str">
        <f t="shared" si="1"/>
        <v>免征</v>
      </c>
      <c r="Q73" s="2033"/>
      <c r="R73" s="2033"/>
      <c r="S73" s="2033"/>
      <c r="T73" s="2033"/>
      <c r="U73" s="2033"/>
      <c r="V73" s="2033"/>
    </row>
    <row r="74" spans="1:22" ht="24.75">
      <c r="A74" s="3325" t="s">
        <v>415</v>
      </c>
      <c r="B74" s="3326"/>
      <c r="C74" s="3326"/>
      <c r="D74" s="365">
        <f ca="1">IF(H74="个人住宅",D75,D76)</f>
        <v>2119</v>
      </c>
      <c r="E74" s="17" t="s">
        <v>416</v>
      </c>
      <c r="F74" s="363" t="str">
        <f>IF(H74="正常",F76,"免征")</f>
        <v>——</v>
      </c>
      <c r="G74" s="986" t="s">
        <v>417</v>
      </c>
      <c r="H74" s="366" t="s">
        <v>413</v>
      </c>
      <c r="I74" s="42"/>
      <c r="J74" s="2040"/>
      <c r="K74" s="1981">
        <v>3</v>
      </c>
      <c r="L74" s="3299" t="s">
        <v>414</v>
      </c>
      <c r="M74" s="3299"/>
      <c r="N74" s="1299">
        <f t="shared" ca="1" si="1"/>
        <v>2119</v>
      </c>
      <c r="O74" s="1864" t="str">
        <f t="shared" si="1"/>
        <v>增值额×税（费）率</v>
      </c>
      <c r="P74" s="1302" t="str">
        <f t="shared" si="1"/>
        <v>——</v>
      </c>
      <c r="Q74" s="2033"/>
      <c r="R74" s="2033"/>
      <c r="S74" s="2033"/>
      <c r="T74" s="2033"/>
      <c r="U74" s="2033"/>
      <c r="V74" s="2033"/>
    </row>
    <row r="75" spans="1:22" ht="24">
      <c r="A75" s="362" t="s">
        <v>418</v>
      </c>
      <c r="B75" s="3306" t="s">
        <v>419</v>
      </c>
      <c r="C75" s="3307"/>
      <c r="D75" s="367">
        <v>0</v>
      </c>
      <c r="E75" s="41" t="s">
        <v>420</v>
      </c>
      <c r="F75" s="368"/>
      <c r="G75" s="364"/>
      <c r="H75" s="42"/>
      <c r="I75" s="42"/>
      <c r="J75" s="2040"/>
      <c r="K75" s="3085">
        <f>IF(H77="非个人房产","",4)</f>
        <v>4</v>
      </c>
      <c r="L75" s="3299" t="str">
        <f>IF(H77="非个人房产","——","个人所得税")</f>
        <v>个人所得税</v>
      </c>
      <c r="M75" s="3299"/>
      <c r="N75" s="1303">
        <f ca="1">D77</f>
        <v>49</v>
      </c>
      <c r="O75" s="1877" t="str">
        <f>E77</f>
        <v>销售额×税（费）率</v>
      </c>
      <c r="P75" s="1304">
        <f>F77</f>
        <v>0.01</v>
      </c>
      <c r="Q75" s="2033"/>
      <c r="R75" s="2033"/>
      <c r="S75" s="2033"/>
      <c r="T75" s="2033"/>
      <c r="U75" s="2033"/>
      <c r="V75" s="2033"/>
    </row>
    <row r="76" spans="1:22" ht="24.75">
      <c r="A76" s="362" t="s">
        <v>396</v>
      </c>
      <c r="B76" s="3306" t="s">
        <v>422</v>
      </c>
      <c r="C76" s="3348"/>
      <c r="D76" s="365">
        <f ca="1">IF(H76="转让取得",C99,C115)</f>
        <v>2119</v>
      </c>
      <c r="E76" s="17" t="s">
        <v>423</v>
      </c>
      <c r="F76" s="53" t="s">
        <v>21</v>
      </c>
      <c r="G76" s="364"/>
      <c r="H76" s="366" t="s">
        <v>424</v>
      </c>
      <c r="I76" s="42"/>
      <c r="J76" s="2040"/>
      <c r="K76" s="3085" t="str">
        <f>IF(项目基本情况!K6="上海银行",IF(K75="",4,K75+1),"")</f>
        <v/>
      </c>
      <c r="L76" s="3287" t="str">
        <f>IF(项目基本情况!K6="上海银行","其他处置费用","")</f>
        <v/>
      </c>
      <c r="M76" s="3288"/>
      <c r="N76" s="1299" t="str">
        <f>IF(项目基本情况!K6="上海银行",N89,"")</f>
        <v/>
      </c>
      <c r="O76" s="3289" t="str">
        <f>IF(项目基本情况!K6="上海银行","包含处置中涉及的律师、诉讼、拍卖、评估等费用","")</f>
        <v/>
      </c>
      <c r="P76" s="3290"/>
      <c r="Q76" s="2033"/>
      <c r="R76" s="2033"/>
      <c r="S76" s="2033"/>
      <c r="T76" s="2033"/>
      <c r="U76" s="2033"/>
      <c r="V76" s="2033"/>
    </row>
    <row r="77" spans="1:22" ht="26.25" thickBot="1">
      <c r="A77" s="3317" t="s">
        <v>426</v>
      </c>
      <c r="B77" s="3318"/>
      <c r="C77" s="3318"/>
      <c r="D77" s="369">
        <f ca="1">IF(H77="非个人房产","——",IF(H77="个人住宅",0,ROUND(D63*I77,0)))</f>
        <v>49</v>
      </c>
      <c r="E77" s="370" t="str">
        <f>IF(H77="非个人房产","——","销售额×税（费）率")</f>
        <v>销售额×税（费）率</v>
      </c>
      <c r="F77" s="371">
        <f>IF(H77="非个人房产","——",IF(H77="个人住宅","免征",I77))</f>
        <v>0.01</v>
      </c>
      <c r="G77" s="987" t="s">
        <v>417</v>
      </c>
      <c r="H77" s="366" t="s">
        <v>2891</v>
      </c>
      <c r="I77" s="372">
        <v>0.01</v>
      </c>
      <c r="J77" s="2040"/>
      <c r="K77" s="3313">
        <f>IF(AND(K75="",K76=""),4,IF(项目基本情况!K6="上海银行",K76+1,K75+1))</f>
        <v>5</v>
      </c>
      <c r="L77" s="3299" t="s">
        <v>2892</v>
      </c>
      <c r="M77" s="3091" t="s">
        <v>421</v>
      </c>
      <c r="N77" s="1305"/>
      <c r="O77" s="1306">
        <f ca="1">SUMIF(N72:N76,"&lt;9e307")</f>
        <v>2430</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13"/>
      <c r="L78" s="3299"/>
      <c r="M78" s="3091" t="s">
        <v>425</v>
      </c>
      <c r="N78" s="1305"/>
      <c r="O78" s="1306" t="str">
        <f ca="1">NUMBERSTRING(INT(O77*10000),2)&amp;"元整"</f>
        <v>贰仟肆佰叁拾万元整</v>
      </c>
      <c r="P78" s="1307"/>
      <c r="Q78" s="2033"/>
      <c r="R78" s="2033"/>
      <c r="S78" s="2033"/>
      <c r="T78" s="2033"/>
      <c r="U78" s="2033"/>
      <c r="V78" s="2033"/>
    </row>
    <row r="79" spans="1:22" ht="13.5" thickBot="1">
      <c r="A79" s="3303" t="s">
        <v>427</v>
      </c>
      <c r="B79" s="3303"/>
      <c r="C79" s="3303"/>
      <c r="D79" s="3303"/>
      <c r="E79" s="3303"/>
      <c r="F79" s="42"/>
      <c r="G79" s="42"/>
      <c r="H79" s="1006"/>
      <c r="I79" s="314"/>
      <c r="J79" s="2040"/>
      <c r="K79" s="3297">
        <f>K77+1</f>
        <v>6</v>
      </c>
      <c r="L79" s="3299" t="s">
        <v>2893</v>
      </c>
      <c r="M79" s="3091" t="s">
        <v>421</v>
      </c>
      <c r="N79" s="1305"/>
      <c r="O79" s="1306" t="e">
        <f ca="1">N69-O77</f>
        <v>#VALUE!</v>
      </c>
      <c r="P79" s="1307"/>
      <c r="Q79" s="2033"/>
      <c r="R79" s="2033"/>
      <c r="S79" s="2033"/>
      <c r="T79" s="2033"/>
      <c r="U79" s="2033"/>
      <c r="V79" s="2033"/>
    </row>
    <row r="80" spans="1:22" ht="12.75">
      <c r="A80" s="3304" t="s">
        <v>428</v>
      </c>
      <c r="B80" s="3305"/>
      <c r="C80" s="997"/>
      <c r="D80" s="997" t="s">
        <v>429</v>
      </c>
      <c r="E80" s="373" t="s">
        <v>430</v>
      </c>
      <c r="F80" s="42"/>
      <c r="G80" s="42"/>
      <c r="H80" s="1006"/>
      <c r="I80" s="314"/>
      <c r="J80" s="2033"/>
      <c r="K80" s="3298"/>
      <c r="L80" s="3299"/>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4676</v>
      </c>
      <c r="D81" s="376"/>
      <c r="E81" s="377"/>
      <c r="F81" s="42"/>
      <c r="G81" s="42"/>
      <c r="H81" s="1006"/>
      <c r="I81" s="314"/>
      <c r="J81" s="2033"/>
      <c r="K81" s="3085">
        <f>K79+1</f>
        <v>7</v>
      </c>
      <c r="L81" s="3311" t="s">
        <v>2894</v>
      </c>
      <c r="M81" s="3312"/>
      <c r="N81" s="1309"/>
      <c r="O81" s="1310" t="e">
        <f ca="1">ROUND(O79*10000/'数据-汇总表'!E3,0)</f>
        <v>#VALUE!</v>
      </c>
      <c r="P81" s="1311"/>
      <c r="Q81" s="2033"/>
      <c r="R81" s="2033"/>
      <c r="S81" s="2033"/>
      <c r="T81" s="2033"/>
      <c r="U81" s="2033"/>
      <c r="V81" s="2033"/>
    </row>
    <row r="82" spans="1:26" ht="13.5" thickTop="1">
      <c r="A82" s="378" t="s">
        <v>1825</v>
      </c>
      <c r="B82" s="379" t="s">
        <v>432</v>
      </c>
      <c r="C82" s="380">
        <f ca="1">D63</f>
        <v>4910</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286" t="s">
        <v>2881</v>
      </c>
      <c r="L83" s="3097" t="s">
        <v>2882</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2946</v>
      </c>
      <c r="F84" s="42"/>
      <c r="G84" s="42"/>
      <c r="H84" s="1006"/>
      <c r="I84" s="314"/>
      <c r="J84" s="2033"/>
      <c r="K84" s="3286"/>
      <c r="L84" s="3097" t="s">
        <v>2883</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2884</v>
      </c>
      <c r="P84" s="2033"/>
      <c r="Q84" s="2033"/>
      <c r="R84" s="2033"/>
      <c r="S84" s="2033"/>
      <c r="T84" s="2033"/>
      <c r="U84" s="2033"/>
      <c r="V84" s="2033"/>
    </row>
    <row r="85" spans="1:26" ht="12.75">
      <c r="A85" s="384" t="s">
        <v>1828</v>
      </c>
      <c r="B85" s="385" t="s">
        <v>435</v>
      </c>
      <c r="C85" s="388">
        <f ca="1">C81-C84</f>
        <v>2676</v>
      </c>
      <c r="D85" s="381" t="s">
        <v>19</v>
      </c>
      <c r="E85" s="382"/>
      <c r="F85" s="42"/>
      <c r="G85" s="42"/>
      <c r="H85" s="1006"/>
      <c r="I85" s="314"/>
      <c r="J85" s="2033"/>
      <c r="K85" s="3286"/>
      <c r="L85" s="3097" t="s">
        <v>2885</v>
      </c>
      <c r="M85" s="3087" t="e">
        <f>IF(N69&gt;1000,N69*0.1%,IF(AND(N69&gt;500,N69&lt;=1000),N69*0.5%,IF(AND(N69&gt;50,N69&lt;=500),N69*1%,IF(AND(N69&gt;1,N69&lt;=50),N69*1.5%))))</f>
        <v>#VALUE!</v>
      </c>
      <c r="N85" s="53" t="e">
        <f t="shared" si="2"/>
        <v>#VALUE!</v>
      </c>
      <c r="O85" s="2033" t="s">
        <v>2884</v>
      </c>
      <c r="P85" s="2033"/>
      <c r="Q85" s="2033"/>
      <c r="R85" s="2033"/>
      <c r="S85" s="2033"/>
      <c r="T85" s="2033"/>
      <c r="U85" s="2033"/>
      <c r="V85" s="2033"/>
    </row>
    <row r="86" spans="1:26" ht="13.5" thickBot="1">
      <c r="A86" s="389" t="s">
        <v>1829</v>
      </c>
      <c r="B86" s="390" t="s">
        <v>436</v>
      </c>
      <c r="C86" s="391">
        <f ca="1">IF(C85&lt;=0,0,ROUND(C85*D86,0))</f>
        <v>150</v>
      </c>
      <c r="D86" s="392">
        <f>'数据-取费表'!B41</f>
        <v>5.6000000000000001E-2</v>
      </c>
      <c r="E86" s="393"/>
      <c r="F86" s="42"/>
      <c r="G86" s="42"/>
      <c r="H86" s="1006"/>
      <c r="I86" s="314"/>
      <c r="J86" s="2033"/>
      <c r="K86" s="3286"/>
      <c r="L86" s="3097" t="s">
        <v>2886</v>
      </c>
      <c r="M86" s="3087" t="e">
        <f>N69*0.5%</f>
        <v>#VALUE!</v>
      </c>
      <c r="N86" s="53" t="e">
        <f>IF(M86&gt;0.5,0.5,ROUND(M86,0))</f>
        <v>#VALUE!</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86"/>
      <c r="L87" s="3097" t="s">
        <v>2888</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40" t="s">
        <v>437</v>
      </c>
      <c r="B88" s="3341"/>
      <c r="C88" s="3341"/>
      <c r="D88" s="3341"/>
      <c r="E88" s="3341"/>
      <c r="F88" s="3341"/>
      <c r="G88" s="3341"/>
      <c r="H88" s="3341"/>
      <c r="I88" s="1318"/>
      <c r="J88" s="2041"/>
      <c r="K88" s="3286"/>
      <c r="L88" s="3097" t="s">
        <v>2889</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04" t="s">
        <v>428</v>
      </c>
      <c r="B89" s="3305"/>
      <c r="C89" s="997"/>
      <c r="D89" s="997" t="s">
        <v>429</v>
      </c>
      <c r="E89" s="394" t="s">
        <v>438</v>
      </c>
      <c r="F89" s="395"/>
      <c r="G89" s="395"/>
      <c r="H89" s="396"/>
      <c r="I89" s="1319"/>
      <c r="J89" s="2043"/>
      <c r="K89" s="3286"/>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4676</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2609</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337" t="s">
        <v>447</v>
      </c>
      <c r="F94" s="3338"/>
      <c r="G94" s="3338"/>
      <c r="H94" s="3339"/>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28</v>
      </c>
      <c r="D96" s="409">
        <f>'数据-取费表'!B43</f>
        <v>6.000000000000001E-3</v>
      </c>
      <c r="E96" s="3327" t="s">
        <v>2431</v>
      </c>
      <c r="F96" s="3328"/>
      <c r="G96" s="3328"/>
      <c r="H96" s="3329"/>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2067</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0.79225756995017249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696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40" t="s">
        <v>454</v>
      </c>
      <c r="B101" s="3341"/>
      <c r="C101" s="3341"/>
      <c r="D101" s="3341"/>
      <c r="E101" s="3341"/>
      <c r="F101" s="3341"/>
      <c r="G101" s="3341"/>
      <c r="H101" s="334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4" t="s">
        <v>428</v>
      </c>
      <c r="B102" s="330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4676</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723</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30" t="s">
        <v>462</v>
      </c>
      <c r="F109" s="3328"/>
      <c r="G109" s="3328"/>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30" t="s">
        <v>464</v>
      </c>
      <c r="F110" s="3328"/>
      <c r="G110" s="3328"/>
      <c r="H110" s="3329"/>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28</v>
      </c>
      <c r="D111" s="409">
        <f>'数据-取费表'!B43</f>
        <v>6.000000000000001E-3</v>
      </c>
      <c r="E111" s="3327" t="s">
        <v>2431</v>
      </c>
      <c r="F111" s="3328"/>
      <c r="G111" s="3328"/>
      <c r="H111" s="3329"/>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30" t="s">
        <v>2456</v>
      </c>
      <c r="F112" s="3328"/>
      <c r="G112" s="3328"/>
      <c r="H112" s="3329"/>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3953</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5.467496542185339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2119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F23" sqref="F23"/>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8</v>
      </c>
    </row>
    <row r="2" spans="1:31" s="2046" customFormat="1" ht="18" customHeight="1">
      <c r="A2" s="2106" t="s">
        <v>467</v>
      </c>
      <c r="B2" s="2110">
        <f ca="1">C36</f>
        <v>10997</v>
      </c>
      <c r="C2" s="2109"/>
      <c r="D2" s="2109"/>
      <c r="E2" s="2109"/>
      <c r="F2" s="2109"/>
      <c r="G2" s="2109"/>
      <c r="H2" s="2109"/>
      <c r="I2" s="2109"/>
      <c r="J2" s="2109"/>
      <c r="K2" s="2109"/>
    </row>
    <row r="3" spans="1:31" s="2046" customFormat="1" ht="18" customHeight="1">
      <c r="A3" s="2111" t="s">
        <v>1685</v>
      </c>
      <c r="B3" s="2112">
        <f ca="1">ROUND(B2*10000/IF(B1="",'数据-汇总表'!E3,INDIRECT("'数据-取费表'!K"&amp;$K$1)),0)</f>
        <v>6590</v>
      </c>
      <c r="C3" s="2109"/>
      <c r="D3" s="2109"/>
      <c r="E3" s="2109"/>
      <c r="F3" s="2109"/>
      <c r="G3" s="2109"/>
      <c r="H3" s="2109"/>
      <c r="I3" s="2109"/>
      <c r="J3" s="2109"/>
      <c r="K3" s="2109"/>
    </row>
    <row r="4" spans="1:31" s="2046" customFormat="1" ht="18" customHeight="1">
      <c r="A4" s="429" t="s">
        <v>468</v>
      </c>
      <c r="B4" s="430">
        <f ca="1">ROUND(B2*10000/IF(B1="",'数据-汇总表'!D3,INDIRECT("'数据-取费表'!R"&amp;$K$1)),0)</f>
        <v>14205</v>
      </c>
      <c r="C4" s="431"/>
      <c r="D4" s="425"/>
      <c r="E4" s="425"/>
      <c r="F4" s="425"/>
      <c r="G4" s="425"/>
      <c r="H4" s="425"/>
      <c r="I4" s="425"/>
      <c r="J4" s="425"/>
      <c r="K4" s="425"/>
    </row>
    <row r="5" spans="1:31" s="2046" customFormat="1" ht="18" customHeight="1" thickBot="1">
      <c r="A5" s="432"/>
      <c r="B5" s="433">
        <f ca="1">ROUND(B2/(IF(B1="",'数据-汇总表'!D3,INDIRECT("'数据-取费表'!R"&amp;$K$1))/666.67),0)</f>
        <v>947</v>
      </c>
      <c r="C5" s="434" t="s">
        <v>469</v>
      </c>
      <c r="D5" s="425"/>
      <c r="E5" s="425"/>
      <c r="F5" s="425"/>
      <c r="G5" s="425"/>
      <c r="H5" s="425"/>
      <c r="I5" s="425"/>
      <c r="J5" s="425"/>
      <c r="K5" s="425"/>
    </row>
    <row r="6" spans="1:31" s="2116" customFormat="1" ht="16.5" customHeight="1">
      <c r="A6" s="2859" t="s">
        <v>1843</v>
      </c>
      <c r="B6" s="2860"/>
      <c r="C6" s="2861">
        <f ca="1">SUM(C10:K10)</f>
        <v>25221</v>
      </c>
      <c r="D6" s="2860"/>
      <c r="E6" s="2860"/>
      <c r="F6" s="2860"/>
      <c r="G6" s="2860"/>
      <c r="H6" s="2860"/>
      <c r="I6" s="2860"/>
      <c r="J6" s="2860"/>
      <c r="K6" s="2862"/>
    </row>
    <row r="7" spans="1:31" s="2118" customFormat="1" ht="15">
      <c r="A7" s="2863" t="s">
        <v>470</v>
      </c>
      <c r="B7" s="2864" t="s">
        <v>471</v>
      </c>
      <c r="C7" s="439" t="s">
        <v>3001</v>
      </c>
      <c r="D7" s="439" t="s">
        <v>3015</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16997</v>
      </c>
      <c r="D8" s="2865">
        <f ca="1">不动产收益法!C43</f>
        <v>3781</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24322</v>
      </c>
      <c r="D10" s="3060">
        <f ca="1">不动产收益法!C40</f>
        <v>899</v>
      </c>
      <c r="E10" s="3060"/>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4650</v>
      </c>
      <c r="D13" s="2875"/>
      <c r="E13" s="2876"/>
      <c r="F13" s="2877"/>
      <c r="G13" s="2843"/>
      <c r="H13" s="2844"/>
      <c r="I13" s="2844"/>
      <c r="J13" s="2844"/>
      <c r="K13" s="2845"/>
    </row>
    <row r="14" spans="1:31" s="2121" customFormat="1" ht="13.5" customHeight="1">
      <c r="A14" s="2873" t="s">
        <v>1850</v>
      </c>
      <c r="B14" s="2874" t="s">
        <v>480</v>
      </c>
      <c r="C14" s="53">
        <f ca="1">ROUND(C13*F14,0)</f>
        <v>186</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334</v>
      </c>
      <c r="D16" s="2875">
        <f ca="1">IF(B1="",'数据-汇总表'!E3,INDIRECT("'数据-取费表'!K"&amp;$K$1)+INDIRECT("'数据-取费表'!S"&amp;$K$1))</f>
        <v>16687.060000000001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70</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5455</v>
      </c>
      <c r="D18" s="2884"/>
      <c r="E18" s="471"/>
      <c r="F18" s="471"/>
      <c r="G18" s="2847" t="s">
        <v>2433</v>
      </c>
      <c r="H18" s="2848"/>
      <c r="I18" s="2848"/>
      <c r="J18" s="2848"/>
      <c r="K18" s="2849"/>
    </row>
    <row r="19" spans="1:14" s="2121" customFormat="1" ht="13.5" customHeight="1">
      <c r="A19" s="2881" t="s">
        <v>1855</v>
      </c>
      <c r="B19" s="2882" t="s">
        <v>488</v>
      </c>
      <c r="C19" s="2839">
        <f ca="1">ROUND(D19*E19/10000,0)</f>
        <v>67</v>
      </c>
      <c r="D19" s="2885">
        <f ca="1">D16</f>
        <v>16687.060000000001</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367</v>
      </c>
      <c r="D20" s="2885"/>
      <c r="E20" s="2839"/>
      <c r="F20" s="2886"/>
      <c r="G20" s="3119"/>
      <c r="H20" s="2841"/>
      <c r="I20" s="2842" t="s">
        <v>2658</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52</v>
      </c>
      <c r="D22" s="2875">
        <f ca="1">IF(B1="",'数据-汇总表'!E6,IF(INDIRECT("'数据-取费表'!c"&amp;$K$1)="住宅",INDIRECT("'数据-取费表'!s"&amp;$K$1),INDIRECT("'数据-取费表'!k"&amp;$K$1)+INDIRECT("'数据-取费表'!s"&amp;$K$1)))</f>
        <v>2377.380000000001</v>
      </c>
      <c r="E22" s="53">
        <f>'数据-取费表'!B28</f>
        <v>220</v>
      </c>
      <c r="F22" s="2878"/>
      <c r="G22" s="26"/>
      <c r="H22" s="51"/>
      <c r="I22" s="51"/>
      <c r="J22" s="51"/>
      <c r="K22" s="2850"/>
    </row>
    <row r="23" spans="1:14" s="2121" customFormat="1" ht="13.5" customHeight="1">
      <c r="A23" s="2881" t="s">
        <v>1859</v>
      </c>
      <c r="B23" s="3066" t="s">
        <v>2841</v>
      </c>
      <c r="C23" s="2883">
        <f ca="1">ROUND((C18+C19+C20)*F23,0)</f>
        <v>177</v>
      </c>
      <c r="D23" s="471"/>
      <c r="E23" s="471"/>
      <c r="F23" s="2887">
        <f>'数据-取费表'!B37</f>
        <v>0.03</v>
      </c>
      <c r="G23" s="2843" t="s">
        <v>2434</v>
      </c>
      <c r="H23" s="2844"/>
      <c r="I23" s="2844"/>
      <c r="J23" s="2844"/>
      <c r="K23" s="2845"/>
      <c r="L23" s="2123"/>
      <c r="M23" s="2123"/>
      <c r="N23" s="2123"/>
    </row>
    <row r="24" spans="1:14" s="2121" customFormat="1" ht="13.5" customHeight="1">
      <c r="A24" s="2881" t="s">
        <v>1860</v>
      </c>
      <c r="B24" s="3066" t="s">
        <v>2844</v>
      </c>
      <c r="C24" s="2883">
        <f ca="1">ROUND(C6*F24,0)</f>
        <v>757</v>
      </c>
      <c r="D24" s="478"/>
      <c r="E24" s="476"/>
      <c r="F24" s="2887">
        <f>'数据-取费表'!B38</f>
        <v>0.03</v>
      </c>
      <c r="G24" s="2852" t="s">
        <v>499</v>
      </c>
      <c r="H24" s="2846"/>
      <c r="I24" s="2846"/>
      <c r="J24" s="2846"/>
      <c r="K24" s="279"/>
      <c r="L24" s="2123"/>
      <c r="M24" s="2123"/>
      <c r="N24" s="2123"/>
    </row>
    <row r="25" spans="1:14" s="2124" customFormat="1" ht="13.5" customHeight="1">
      <c r="A25" s="2881" t="s">
        <v>1861</v>
      </c>
      <c r="B25" s="3066" t="s">
        <v>2842</v>
      </c>
      <c r="C25" s="470">
        <f>ROUND(F25/(1+'数据-取费表'!C42),4)</f>
        <v>3.8600000000000002E-2</v>
      </c>
      <c r="D25" s="465" t="s">
        <v>2836</v>
      </c>
      <c r="E25" s="472"/>
      <c r="F25" s="2887">
        <f>'数据-取费表'!B48+'数据-取费表'!B49</f>
        <v>4.0500000000000001E-2</v>
      </c>
      <c r="G25" s="2851" t="s">
        <v>2291</v>
      </c>
      <c r="H25" s="2844"/>
      <c r="I25" s="2844"/>
      <c r="J25" s="2844"/>
      <c r="K25" s="2845"/>
    </row>
    <row r="26" spans="1:14" s="2123" customFormat="1" ht="13.5" customHeight="1">
      <c r="A26" s="2881" t="s">
        <v>1862</v>
      </c>
      <c r="B26" s="3067" t="s">
        <v>2843</v>
      </c>
      <c r="C26" s="2888">
        <f ca="1">C28</f>
        <v>324</v>
      </c>
      <c r="D26" s="470">
        <f ca="1">C27</f>
        <v>0.10100000000000001</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0.10100000000000001</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2845</v>
      </c>
      <c r="C28" s="2891">
        <f ca="1">ROUND(IF('数据-取费表'!B22&lt;=1,(C18+C19+C20+C23+C24)*F26*'数据-取费表'!B24/2,(C18+C19+C20+C23+C24)*(POWER((1+F26),'数据-取费表'!B24/2)-1)),0)</f>
        <v>324</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1345</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8492</v>
      </c>
      <c r="D30" s="480">
        <f ca="1">C32</f>
        <v>0.1396</v>
      </c>
      <c r="E30" s="472" t="s">
        <v>495</v>
      </c>
      <c r="F30" s="474"/>
      <c r="G30" s="2843" t="s">
        <v>501</v>
      </c>
      <c r="H30" s="2844"/>
      <c r="I30" s="2844"/>
      <c r="J30" s="2844"/>
      <c r="K30" s="2845"/>
    </row>
    <row r="31" spans="1:14" s="2125" customFormat="1" ht="13.5" customHeight="1">
      <c r="A31" s="806" t="s">
        <v>1857</v>
      </c>
      <c r="B31" s="2889"/>
      <c r="C31" s="453">
        <f ca="1">C18+C19+C20+C23+C24+C26+C29</f>
        <v>8492</v>
      </c>
      <c r="D31" s="475"/>
      <c r="E31" s="476"/>
      <c r="F31" s="477"/>
      <c r="G31" s="261"/>
      <c r="H31" s="2846"/>
      <c r="I31" s="2846"/>
      <c r="J31" s="2846"/>
      <c r="K31" s="279"/>
    </row>
    <row r="32" spans="1:14" s="2125" customFormat="1" ht="13.5" customHeight="1">
      <c r="A32" s="806" t="s">
        <v>1858</v>
      </c>
      <c r="B32" s="2889"/>
      <c r="C32" s="53">
        <f ca="1">ROUND(C25+D26,4)</f>
        <v>0.1396</v>
      </c>
      <c r="D32" s="475"/>
      <c r="E32" s="476"/>
      <c r="F32" s="477"/>
      <c r="G32" s="261"/>
      <c r="H32" s="2846"/>
      <c r="I32" s="2846"/>
      <c r="J32" s="2846"/>
      <c r="K32" s="279"/>
    </row>
    <row r="33" spans="1:11" s="2127" customFormat="1" ht="13.5" customHeight="1">
      <c r="A33" s="3065" t="s">
        <v>2840</v>
      </c>
      <c r="B33" s="3063" t="s">
        <v>2838</v>
      </c>
      <c r="C33" s="481">
        <f ca="1">C35</f>
        <v>1569</v>
      </c>
      <c r="D33" s="470">
        <f ca="1">C34</f>
        <v>0.2389</v>
      </c>
      <c r="E33" s="472" t="s">
        <v>495</v>
      </c>
      <c r="F33" s="482">
        <f ca="1">IF(B1="",'数据-取费表'!Q16,INDIRECT("'数据-取费表'!q"&amp;$K$1))</f>
        <v>0.23</v>
      </c>
      <c r="G33" s="2847"/>
      <c r="H33" s="2848"/>
      <c r="I33" s="2848"/>
      <c r="J33" s="2848"/>
      <c r="K33" s="2849"/>
    </row>
    <row r="34" spans="1:11" s="2128" customFormat="1" ht="13.5" customHeight="1">
      <c r="A34" s="378" t="s">
        <v>1857</v>
      </c>
      <c r="B34" s="2894" t="s">
        <v>502</v>
      </c>
      <c r="C34" s="475">
        <f ca="1">ROUND((1+C25)*F33,4)</f>
        <v>0.2389</v>
      </c>
      <c r="D34" s="475"/>
      <c r="E34" s="476"/>
      <c r="F34" s="483"/>
      <c r="G34" s="261" t="s">
        <v>2292</v>
      </c>
      <c r="H34" s="2846"/>
      <c r="I34" s="2846"/>
      <c r="J34" s="2846"/>
      <c r="K34" s="279"/>
    </row>
    <row r="35" spans="1:11" s="2128" customFormat="1" ht="13.5" customHeight="1" thickBot="1">
      <c r="A35" s="1640" t="s">
        <v>1858</v>
      </c>
      <c r="B35" s="3064" t="s">
        <v>2846</v>
      </c>
      <c r="C35" s="1632">
        <f ca="1">ROUND((C18+C19+C20+C23+C24)*F33,0)</f>
        <v>1569</v>
      </c>
      <c r="D35" s="1633"/>
      <c r="E35" s="2895"/>
      <c r="F35" s="1634"/>
      <c r="G35" s="2853"/>
      <c r="H35" s="2854"/>
      <c r="I35" s="2854"/>
      <c r="J35" s="2854"/>
      <c r="K35" s="2855"/>
    </row>
    <row r="36" spans="1:11" s="2090" customFormat="1" ht="13.5" customHeight="1" thickBot="1">
      <c r="A36" s="284" t="s">
        <v>1845</v>
      </c>
      <c r="B36" s="2857"/>
      <c r="C36" s="2896">
        <f ca="1">ROUND((C6-C30-C33)/(1+D30+D33),0)</f>
        <v>10997</v>
      </c>
      <c r="D36" s="2857"/>
      <c r="E36" s="2857"/>
      <c r="F36" s="2857"/>
      <c r="G36" s="2856" t="s">
        <v>2847</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4650</v>
      </c>
      <c r="D13" s="454"/>
      <c r="E13" s="368"/>
      <c r="F13" s="455"/>
      <c r="G13" s="447"/>
      <c r="H13" s="450"/>
      <c r="I13" s="450"/>
      <c r="J13" s="450"/>
      <c r="K13" s="451"/>
    </row>
    <row r="14" spans="1:41" s="2121" customFormat="1" ht="13.5" customHeight="1">
      <c r="A14" s="1637" t="s">
        <v>1850</v>
      </c>
      <c r="B14" s="452" t="s">
        <v>480</v>
      </c>
      <c r="C14" s="53">
        <f ca="1">ROUND(C13*F14,0)</f>
        <v>186</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334</v>
      </c>
      <c r="D16" s="454">
        <f ca="1">IF(B1="",'数据-汇总表'!E3,INDIRECT("'数据-取费表'!K"&amp;$K$1)+INDIRECT("'数据-取费表'!S"&amp;$K$1))</f>
        <v>16687.060000000001</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70</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5455</v>
      </c>
      <c r="D18" s="464"/>
      <c r="E18" s="465"/>
      <c r="F18" s="465"/>
      <c r="G18" s="1330" t="s">
        <v>2435</v>
      </c>
      <c r="H18" s="450"/>
      <c r="I18" s="450"/>
      <c r="J18" s="450"/>
      <c r="K18" s="451"/>
    </row>
    <row r="19" spans="1:14" s="2124" customFormat="1" ht="13.5" customHeight="1">
      <c r="A19" s="1638" t="s">
        <v>1855</v>
      </c>
      <c r="B19" s="462" t="s">
        <v>493</v>
      </c>
      <c r="C19" s="463">
        <f ca="1">ROUND(C18*F19,0)</f>
        <v>164</v>
      </c>
      <c r="D19" s="465"/>
      <c r="E19" s="465"/>
      <c r="F19" s="469">
        <f>'数据-取费表'!B37</f>
        <v>0.03</v>
      </c>
      <c r="G19" s="447" t="s">
        <v>504</v>
      </c>
      <c r="H19" s="450"/>
      <c r="I19" s="450"/>
      <c r="J19" s="450"/>
      <c r="K19" s="451"/>
      <c r="L19" s="2126"/>
      <c r="M19" s="2126"/>
      <c r="N19" s="2126"/>
    </row>
    <row r="20" spans="1:14" s="2124" customFormat="1" ht="13.5" customHeight="1">
      <c r="A20" s="1638" t="s">
        <v>1856</v>
      </c>
      <c r="B20" s="462" t="s">
        <v>505</v>
      </c>
      <c r="C20" s="3061">
        <f>F20</f>
        <v>0.03</v>
      </c>
      <c r="D20" s="472" t="s">
        <v>506</v>
      </c>
      <c r="E20" s="472"/>
      <c r="F20" s="489">
        <f>'数据-取费表'!B38</f>
        <v>0.03</v>
      </c>
      <c r="G20" s="1330" t="s">
        <v>507</v>
      </c>
      <c r="H20" s="450"/>
      <c r="I20" s="450"/>
      <c r="J20" s="450"/>
      <c r="K20" s="451"/>
      <c r="L20" s="2126"/>
      <c r="M20" s="2126"/>
      <c r="N20" s="2126"/>
    </row>
    <row r="21" spans="1:14" s="2126" customFormat="1" ht="13.5" customHeight="1">
      <c r="A21" s="1638" t="s">
        <v>1859</v>
      </c>
      <c r="B21" s="464" t="s">
        <v>494</v>
      </c>
      <c r="C21" s="473">
        <f ca="1">C22</f>
        <v>267</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267</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2839</v>
      </c>
      <c r="C24" s="481">
        <f ca="1">C25</f>
        <v>1292</v>
      </c>
      <c r="D24" s="492">
        <f ca="1">C26</f>
        <v>6.8999999999999999E-3</v>
      </c>
      <c r="E24" s="472" t="s">
        <v>508</v>
      </c>
      <c r="F24" s="482">
        <f ca="1">IF(B1="",'数据-取费表'!Q16,INDIRECT("'数据-取费表'!q"&amp;$K$1))</f>
        <v>0.23</v>
      </c>
      <c r="G24" s="447"/>
      <c r="H24" s="450"/>
      <c r="I24" s="450"/>
      <c r="J24" s="450"/>
      <c r="K24" s="451"/>
    </row>
    <row r="25" spans="1:14" s="2125" customFormat="1" ht="13.5" customHeight="1">
      <c r="A25" s="1637" t="s">
        <v>1849</v>
      </c>
      <c r="B25" s="1331" t="s">
        <v>2439</v>
      </c>
      <c r="C25" s="493">
        <f ca="1">ROUND((C18+C19)*F24,0)</f>
        <v>1292</v>
      </c>
      <c r="D25" s="475"/>
      <c r="E25" s="476"/>
      <c r="F25" s="483"/>
      <c r="G25" s="1329" t="s">
        <v>2436</v>
      </c>
      <c r="H25" s="460"/>
      <c r="I25" s="460"/>
      <c r="J25" s="460"/>
      <c r="K25" s="461"/>
    </row>
    <row r="26" spans="1:14" s="2125" customFormat="1" ht="13.5" customHeight="1">
      <c r="A26" s="1637" t="s">
        <v>1850</v>
      </c>
      <c r="B26" s="1331" t="s">
        <v>510</v>
      </c>
      <c r="C26" s="494">
        <f ca="1">ROUND(F20*F24,4)</f>
        <v>6.8999999999999999E-3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2837</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7902</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8" t="str">
        <f>项目基本情况!B1</f>
        <v>海南省海口市椰海大道南侧、丘海大道延长线西侧出让国有建设用地使用权抵押价格预评估</v>
      </c>
      <c r="C37" s="3198"/>
      <c r="D37" s="3198"/>
      <c r="E37" s="3198"/>
      <c r="F37" s="3198"/>
      <c r="G37" s="3198"/>
      <c r="H37" s="3198"/>
      <c r="I37" s="3198"/>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99" zoomScale="90" zoomScaleNormal="95" zoomScaleSheetLayoutView="90" workbookViewId="0">
      <selection activeCell="I48" sqref="I4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6309</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3781</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8149</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543</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85" t="s">
        <v>523</v>
      </c>
      <c r="D6" s="3386"/>
      <c r="E6" s="3385" t="s">
        <v>524</v>
      </c>
      <c r="F6" s="3386"/>
      <c r="G6" s="3385" t="s">
        <v>525</v>
      </c>
      <c r="H6" s="3386"/>
      <c r="I6" s="3385" t="s">
        <v>526</v>
      </c>
      <c r="J6" s="3386"/>
      <c r="K6" s="517" t="s">
        <v>527</v>
      </c>
      <c r="L6" s="2138"/>
      <c r="M6" s="2137"/>
      <c r="N6" s="2137"/>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30" ht="20.25">
      <c r="A7" s="518"/>
      <c r="B7" s="519"/>
      <c r="C7" s="3398" t="s">
        <v>2933</v>
      </c>
      <c r="D7" s="3397"/>
      <c r="E7" s="3396" t="s">
        <v>3056</v>
      </c>
      <c r="F7" s="3397"/>
      <c r="G7" s="3396" t="s">
        <v>3057</v>
      </c>
      <c r="H7" s="3397"/>
      <c r="I7" s="3396" t="s">
        <v>3058</v>
      </c>
      <c r="J7" s="3397"/>
      <c r="K7" s="517"/>
      <c r="L7" s="2138"/>
      <c r="M7" s="2137"/>
      <c r="N7" s="2137"/>
      <c r="O7" s="2139"/>
      <c r="P7" s="3389"/>
      <c r="Q7" s="3390"/>
      <c r="R7" s="3375"/>
      <c r="S7" s="3376"/>
      <c r="T7" s="3375"/>
      <c r="U7" s="3376"/>
      <c r="V7" s="3393"/>
      <c r="W7" s="3393"/>
      <c r="X7" s="1571"/>
      <c r="Y7" s="3375"/>
      <c r="Z7" s="3376"/>
      <c r="AA7" s="3369"/>
      <c r="AB7" s="3369"/>
      <c r="AC7" s="3369"/>
    </row>
    <row r="8" spans="1:30" ht="21" thickBot="1">
      <c r="A8" s="518"/>
      <c r="B8" s="519"/>
      <c r="C8" s="3399" t="s">
        <v>2937</v>
      </c>
      <c r="D8" s="3400"/>
      <c r="E8" s="3399" t="s">
        <v>2937</v>
      </c>
      <c r="F8" s="3400"/>
      <c r="G8" s="3394" t="s">
        <v>2937</v>
      </c>
      <c r="H8" s="3395"/>
      <c r="I8" s="3394" t="s">
        <v>2937</v>
      </c>
      <c r="J8" s="3395"/>
      <c r="K8" s="517" t="s">
        <v>529</v>
      </c>
      <c r="L8" s="2138"/>
      <c r="M8" s="2137"/>
      <c r="N8" s="2137"/>
      <c r="O8" s="2139"/>
      <c r="P8" s="3391"/>
      <c r="Q8" s="3392"/>
      <c r="R8" s="3375"/>
      <c r="S8" s="3376"/>
      <c r="T8" s="3377"/>
      <c r="U8" s="3378"/>
      <c r="V8" s="3393"/>
      <c r="W8" s="3393"/>
      <c r="X8" s="1571"/>
      <c r="Y8" s="3377"/>
      <c r="Z8" s="3378"/>
      <c r="AA8" s="3370"/>
      <c r="AB8" s="3370"/>
      <c r="AC8" s="3370"/>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371" t="s">
        <v>531</v>
      </c>
      <c r="Q9" s="3380"/>
      <c r="R9" s="1572" t="s">
        <v>8</v>
      </c>
      <c r="S9" s="1573">
        <f t="shared" ref="S9:S17" si="0">F9</f>
        <v>95</v>
      </c>
      <c r="T9" s="1572" t="s">
        <v>8</v>
      </c>
      <c r="U9" s="1573">
        <f t="shared" ref="U9:U17" si="1">H9</f>
        <v>95</v>
      </c>
      <c r="V9" s="1572" t="s">
        <v>8</v>
      </c>
      <c r="W9" s="1573">
        <f t="shared" ref="W9:W17" si="2">J9</f>
        <v>94</v>
      </c>
      <c r="X9" s="1574"/>
      <c r="Y9" s="3371" t="s">
        <v>531</v>
      </c>
      <c r="Z9" s="3372"/>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3023</v>
      </c>
      <c r="F10" s="525">
        <f>SUMIF(75:75,E10,76:76)-SUMIF(75:75,C10,76:76)+100</f>
        <v>100</v>
      </c>
      <c r="G10" s="528" t="s">
        <v>3023</v>
      </c>
      <c r="H10" s="523">
        <f>SUMIF(75:75,G10,76:76)-SUMIF(75:75,C10,76:76)+100</f>
        <v>100</v>
      </c>
      <c r="I10" s="528" t="s">
        <v>3023</v>
      </c>
      <c r="J10" s="523">
        <f>SUMIF(75:75,I10,76:76)-SUMIF(75:75,C10,76:76)+100</f>
        <v>100</v>
      </c>
      <c r="K10" s="527"/>
      <c r="L10" s="2140"/>
      <c r="M10" s="2137"/>
      <c r="N10" s="2137"/>
      <c r="O10" s="2141"/>
      <c r="P10" s="3371" t="s">
        <v>534</v>
      </c>
      <c r="Q10" s="3372"/>
      <c r="R10" s="1572" t="s">
        <v>8</v>
      </c>
      <c r="S10" s="1573">
        <f t="shared" si="0"/>
        <v>100</v>
      </c>
      <c r="T10" s="1572" t="s">
        <v>8</v>
      </c>
      <c r="U10" s="1573">
        <f t="shared" si="1"/>
        <v>100</v>
      </c>
      <c r="V10" s="1572" t="s">
        <v>8</v>
      </c>
      <c r="W10" s="1573">
        <f t="shared" si="2"/>
        <v>100</v>
      </c>
      <c r="X10" s="1574"/>
      <c r="Y10" s="3371" t="s">
        <v>534</v>
      </c>
      <c r="Z10" s="3372"/>
      <c r="AA10" s="1575">
        <f t="shared" ref="AA10:AA47" si="3">D10/F10</f>
        <v>1</v>
      </c>
      <c r="AB10" s="1575">
        <f t="shared" ref="AB10:AB47" si="4">D10/H10</f>
        <v>1</v>
      </c>
      <c r="AC10" s="1575">
        <f t="shared" ref="AC10:AC47" si="5">D10/J10</f>
        <v>1</v>
      </c>
    </row>
    <row r="11" spans="1:30" s="1223" customFormat="1" ht="20.25">
      <c r="A11" s="2945"/>
      <c r="B11" s="2952" t="s">
        <v>2763</v>
      </c>
      <c r="C11" s="2939" t="s">
        <v>923</v>
      </c>
      <c r="D11" s="254">
        <v>100</v>
      </c>
      <c r="E11" s="529" t="s">
        <v>923</v>
      </c>
      <c r="F11" s="254">
        <f>SUMIF(77:77,E11,78:78)-SUMIF(77:77,C11,78:78)+100</f>
        <v>100</v>
      </c>
      <c r="G11" s="529" t="s">
        <v>3060</v>
      </c>
      <c r="H11" s="254">
        <f>SUMIF(77:77,G11,78:78)-SUMIF(77:77,C11,78:78)+100</f>
        <v>101</v>
      </c>
      <c r="I11" s="529" t="s">
        <v>923</v>
      </c>
      <c r="J11" s="254">
        <f>SUMIF(77:77,I11,78:78)-SUMIF(77:77,C11,78:78)+100</f>
        <v>100</v>
      </c>
      <c r="K11" s="527"/>
      <c r="L11" s="2140"/>
      <c r="M11" s="2137"/>
      <c r="N11" s="2137"/>
      <c r="O11" s="2142"/>
      <c r="P11" s="3379" t="s">
        <v>536</v>
      </c>
      <c r="Q11" s="1154" t="str">
        <f t="shared" ref="Q11:Q17" si="6">B11</f>
        <v>用途</v>
      </c>
      <c r="R11" s="1572" t="s">
        <v>8</v>
      </c>
      <c r="S11" s="1573">
        <f t="shared" si="0"/>
        <v>100</v>
      </c>
      <c r="T11" s="1572" t="s">
        <v>8</v>
      </c>
      <c r="U11" s="1573">
        <f t="shared" si="1"/>
        <v>101</v>
      </c>
      <c r="V11" s="1572" t="s">
        <v>8</v>
      </c>
      <c r="W11" s="1573">
        <f t="shared" si="2"/>
        <v>100</v>
      </c>
      <c r="X11" s="1574"/>
      <c r="Y11" s="3336" t="s">
        <v>537</v>
      </c>
      <c r="Z11" s="1153" t="str">
        <f t="shared" ref="Z11:Z17" si="7">Q11</f>
        <v>用途</v>
      </c>
      <c r="AA11" s="1575">
        <f t="shared" si="3"/>
        <v>1</v>
      </c>
      <c r="AB11" s="1575">
        <f t="shared" si="4"/>
        <v>0.99009900990099009</v>
      </c>
      <c r="AC11" s="1575">
        <f t="shared" si="5"/>
        <v>1</v>
      </c>
    </row>
    <row r="12" spans="1:30" s="1341" customFormat="1" ht="27">
      <c r="A12" s="2946"/>
      <c r="B12" s="2951" t="s">
        <v>2764</v>
      </c>
      <c r="C12" s="913">
        <f>'数据-取费表'!F6</f>
        <v>67.739999999999995</v>
      </c>
      <c r="D12" s="255">
        <v>100</v>
      </c>
      <c r="E12" s="532" t="s">
        <v>3136</v>
      </c>
      <c r="F12" s="255">
        <f>ROUND(100/'数据-取费表'!G16,0)</f>
        <v>101</v>
      </c>
      <c r="G12" s="533" t="s">
        <v>3136</v>
      </c>
      <c r="H12" s="255">
        <f>ROUND(100/'数据-取费表'!G16,0)</f>
        <v>101</v>
      </c>
      <c r="I12" s="533" t="s">
        <v>3136</v>
      </c>
      <c r="J12" s="255">
        <f>ROUND(100/'数据-取费表'!G16,0)</f>
        <v>101</v>
      </c>
      <c r="K12" s="534"/>
      <c r="L12" s="2143"/>
      <c r="M12" s="2137"/>
      <c r="N12" s="2137"/>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2765</v>
      </c>
      <c r="C13" s="537">
        <f>'数据-汇总表'!I6</f>
        <v>1.85</v>
      </c>
      <c r="D13" s="255">
        <v>100</v>
      </c>
      <c r="E13" s="536">
        <v>2</v>
      </c>
      <c r="F13" s="255">
        <f>LOOKUP(E13,82:82,83:83)-LOOKUP(C13,82:82,83:83)+100</f>
        <v>98</v>
      </c>
      <c r="G13" s="537">
        <v>2</v>
      </c>
      <c r="H13" s="255">
        <f>LOOKUP(G13,82:82,83:83)-LOOKUP(C13,82:82,83:83)+100</f>
        <v>98</v>
      </c>
      <c r="I13" s="536">
        <v>2</v>
      </c>
      <c r="J13" s="255">
        <f>LOOKUP(I13,82:82,83:83)-LOOKUP(C13,82:82,83:83)+100</f>
        <v>98</v>
      </c>
      <c r="K13" s="538">
        <v>2</v>
      </c>
      <c r="L13" s="2145"/>
      <c r="M13" s="2137"/>
      <c r="N13" s="2137"/>
      <c r="O13" s="2146"/>
      <c r="P13" s="3379"/>
      <c r="Q13" s="1154" t="str">
        <f t="shared" si="6"/>
        <v>容积率</v>
      </c>
      <c r="R13" s="1572" t="s">
        <v>8</v>
      </c>
      <c r="S13" s="1573">
        <f t="shared" si="0"/>
        <v>98</v>
      </c>
      <c r="T13" s="1572" t="s">
        <v>8</v>
      </c>
      <c r="U13" s="1573">
        <f t="shared" si="1"/>
        <v>98</v>
      </c>
      <c r="V13" s="1572" t="s">
        <v>8</v>
      </c>
      <c r="W13" s="1573">
        <f t="shared" si="2"/>
        <v>98</v>
      </c>
      <c r="X13" s="1574"/>
      <c r="Y13" s="3336"/>
      <c r="Z13" s="1153" t="str">
        <f t="shared" si="7"/>
        <v>容积率</v>
      </c>
      <c r="AA13" s="1575">
        <f t="shared" si="3"/>
        <v>1.0204081632653061</v>
      </c>
      <c r="AB13" s="1575">
        <f t="shared" si="4"/>
        <v>1.0204081632653061</v>
      </c>
      <c r="AC13" s="1575">
        <f t="shared" si="5"/>
        <v>1.0204081632653061</v>
      </c>
    </row>
    <row r="14" spans="1:30" s="1223" customFormat="1" ht="20.25" hidden="1">
      <c r="A14" s="2944"/>
      <c r="B14" s="2953" t="s">
        <v>2766</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9"/>
      <c r="Q14" s="1154" t="str">
        <f t="shared" si="6"/>
        <v>配建</v>
      </c>
      <c r="R14" s="1572" t="s">
        <v>8</v>
      </c>
      <c r="S14" s="1573">
        <f t="shared" si="0"/>
        <v>100</v>
      </c>
      <c r="T14" s="1572" t="s">
        <v>8</v>
      </c>
      <c r="U14" s="1573">
        <f t="shared" si="1"/>
        <v>100</v>
      </c>
      <c r="V14" s="1572" t="s">
        <v>8</v>
      </c>
      <c r="W14" s="1573">
        <f t="shared" si="2"/>
        <v>100</v>
      </c>
      <c r="X14" s="1574"/>
      <c r="Y14" s="333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D16/F16</f>
        <v>1</v>
      </c>
      <c r="AB16" s="1575">
        <f>D16/H16</f>
        <v>1</v>
      </c>
      <c r="AC16" s="1575">
        <f>D16/J16</f>
        <v>1</v>
      </c>
    </row>
    <row r="17" spans="1:29" ht="114">
      <c r="A17" s="2941" t="s">
        <v>2761</v>
      </c>
      <c r="B17" s="581" t="s">
        <v>295</v>
      </c>
      <c r="C17" s="551" t="str">
        <f>估价对象房地状况!C15</f>
        <v>估价对象周边周边有紫竹园、伟业致青春、海口碧桂园等住宅小区均正在待开发项目，综合评价居住社区成熟度一般</v>
      </c>
      <c r="D17" s="554">
        <v>100</v>
      </c>
      <c r="E17" s="3186" t="s">
        <v>3140</v>
      </c>
      <c r="F17" s="552">
        <f>SUMIF(90:90,E18,91:91)-SUMIF(90:90,C18,91:91)+100</f>
        <v>102</v>
      </c>
      <c r="G17" s="3187" t="s">
        <v>3140</v>
      </c>
      <c r="H17" s="552">
        <f>SUMIF(90:90,G18,91:91)-SUMIF(90:90,C18,91:91)+100</f>
        <v>102</v>
      </c>
      <c r="I17" s="3186" t="s">
        <v>3147</v>
      </c>
      <c r="J17" s="552">
        <f>SUMIF(90:90,I18,91:91)-SUMIF(90:90,C18,91:91)+100</f>
        <v>102</v>
      </c>
      <c r="K17" s="538">
        <v>2</v>
      </c>
      <c r="L17" s="2147"/>
      <c r="M17" s="2137"/>
      <c r="N17" s="2137"/>
      <c r="O17" s="2146"/>
      <c r="P17" s="3381" t="s">
        <v>541</v>
      </c>
      <c r="Q17" s="1576" t="str">
        <f t="shared" si="6"/>
        <v>居住社区成熟度</v>
      </c>
      <c r="R17" s="1577" t="s">
        <v>8</v>
      </c>
      <c r="S17" s="1578">
        <f t="shared" si="0"/>
        <v>102</v>
      </c>
      <c r="T17" s="1577" t="s">
        <v>8</v>
      </c>
      <c r="U17" s="1578">
        <f t="shared" si="1"/>
        <v>102</v>
      </c>
      <c r="V17" s="1577" t="s">
        <v>8</v>
      </c>
      <c r="W17" s="1578">
        <f t="shared" si="2"/>
        <v>102</v>
      </c>
      <c r="X17" s="1571"/>
      <c r="Y17" s="3381"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3041</v>
      </c>
      <c r="D18" s="560"/>
      <c r="E18" s="561" t="s">
        <v>3039</v>
      </c>
      <c r="F18" s="558"/>
      <c r="G18" s="559" t="s">
        <v>3039</v>
      </c>
      <c r="H18" s="562"/>
      <c r="I18" s="561" t="s">
        <v>3039</v>
      </c>
      <c r="J18" s="558"/>
      <c r="K18" s="534"/>
      <c r="L18" s="2147"/>
      <c r="M18" s="2137"/>
      <c r="N18" s="2137"/>
      <c r="O18" s="2146"/>
      <c r="P18" s="3382"/>
      <c r="Q18" s="1576"/>
      <c r="R18" s="1577"/>
      <c r="S18" s="1578"/>
      <c r="T18" s="1577"/>
      <c r="U18" s="1578"/>
      <c r="V18" s="1577"/>
      <c r="W18" s="1578"/>
      <c r="X18" s="1571"/>
      <c r="Y18" s="3382"/>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82"/>
      <c r="Q19" s="1576" t="str">
        <f>B19</f>
        <v>商业繁华度</v>
      </c>
      <c r="R19" s="1577" t="s">
        <v>8</v>
      </c>
      <c r="S19" s="1578">
        <f>F19</f>
        <v>100</v>
      </c>
      <c r="T19" s="1577" t="s">
        <v>8</v>
      </c>
      <c r="U19" s="1578">
        <f>H19</f>
        <v>100</v>
      </c>
      <c r="V19" s="1577" t="s">
        <v>8</v>
      </c>
      <c r="W19" s="1578">
        <f>J19</f>
        <v>100</v>
      </c>
      <c r="X19" s="1571"/>
      <c r="Y19" s="3382"/>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382"/>
      <c r="Q20" s="1576"/>
      <c r="R20" s="1577"/>
      <c r="S20" s="1578"/>
      <c r="T20" s="1577"/>
      <c r="U20" s="1578"/>
      <c r="V20" s="1577"/>
      <c r="W20" s="1578"/>
      <c r="X20" s="1571"/>
      <c r="Y20" s="3382"/>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82"/>
      <c r="Q21" s="1576" t="str">
        <f>B21</f>
        <v>办公集聚程度</v>
      </c>
      <c r="R21" s="1577" t="s">
        <v>8</v>
      </c>
      <c r="S21" s="1578">
        <f>F21</f>
        <v>100</v>
      </c>
      <c r="T21" s="1577" t="s">
        <v>8</v>
      </c>
      <c r="U21" s="1578">
        <f>H21</f>
        <v>100</v>
      </c>
      <c r="V21" s="1577" t="s">
        <v>8</v>
      </c>
      <c r="W21" s="1578">
        <f>J21</f>
        <v>100</v>
      </c>
      <c r="X21" s="1571"/>
      <c r="Y21" s="3382"/>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82"/>
      <c r="Q22" s="1576"/>
      <c r="R22" s="1577"/>
      <c r="S22" s="1578"/>
      <c r="T22" s="1577"/>
      <c r="U22" s="1578"/>
      <c r="V22" s="1577"/>
      <c r="W22" s="1578"/>
      <c r="X22" s="1571"/>
      <c r="Y22" s="3382"/>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3146</v>
      </c>
      <c r="F23" s="568">
        <f>SUMIF(96:96,E24,97:97)-SUMIF(96:96,C24,97:97)+100</f>
        <v>100</v>
      </c>
      <c r="G23" s="565" t="s">
        <v>3146</v>
      </c>
      <c r="H23" s="562">
        <f>SUMIF(96:96,G24,97:97)-SUMIF(96:96,C24,97:97)+100</f>
        <v>100</v>
      </c>
      <c r="I23" s="567" t="s">
        <v>3145</v>
      </c>
      <c r="J23" s="562">
        <f>SUMIF(96:96,I24,97:97)-SUMIF(96:96,C24,97:97)+100</f>
        <v>98</v>
      </c>
      <c r="K23" s="538">
        <v>2</v>
      </c>
      <c r="L23" s="2147"/>
      <c r="M23" s="2137"/>
      <c r="N23" s="2137"/>
      <c r="O23" s="2146"/>
      <c r="P23" s="3382"/>
      <c r="Q23" s="1576" t="str">
        <f>B23</f>
        <v>交通便捷度</v>
      </c>
      <c r="R23" s="1577" t="s">
        <v>8</v>
      </c>
      <c r="S23" s="1578">
        <f>F23</f>
        <v>100</v>
      </c>
      <c r="T23" s="1577" t="s">
        <v>8</v>
      </c>
      <c r="U23" s="1578">
        <f>H23</f>
        <v>100</v>
      </c>
      <c r="V23" s="1577" t="s">
        <v>8</v>
      </c>
      <c r="W23" s="1578">
        <f>J23</f>
        <v>98</v>
      </c>
      <c r="X23" s="1571"/>
      <c r="Y23" s="3382"/>
      <c r="Z23" s="1579" t="str">
        <f>Q23</f>
        <v>交通便捷度</v>
      </c>
      <c r="AA23" s="1580">
        <f t="shared" si="3"/>
        <v>1</v>
      </c>
      <c r="AB23" s="1580">
        <f t="shared" si="4"/>
        <v>1</v>
      </c>
      <c r="AC23" s="1580">
        <f t="shared" si="5"/>
        <v>1.0204081632653061</v>
      </c>
    </row>
    <row r="24" spans="1:29" ht="20.25">
      <c r="A24" s="535"/>
      <c r="B24" s="581"/>
      <c r="C24" s="3192" t="s">
        <v>3039</v>
      </c>
      <c r="D24" s="560"/>
      <c r="E24" s="561" t="s">
        <v>3039</v>
      </c>
      <c r="F24" s="558"/>
      <c r="G24" s="559" t="s">
        <v>3039</v>
      </c>
      <c r="H24" s="558"/>
      <c r="I24" s="561" t="s">
        <v>3041</v>
      </c>
      <c r="J24" s="558"/>
      <c r="K24" s="534"/>
      <c r="L24" s="2147"/>
      <c r="M24" s="2137"/>
      <c r="N24" s="2137"/>
      <c r="O24" s="2146"/>
      <c r="P24" s="3382"/>
      <c r="Q24" s="1576"/>
      <c r="R24" s="1577"/>
      <c r="S24" s="1578"/>
      <c r="T24" s="1577"/>
      <c r="U24" s="1578"/>
      <c r="V24" s="1577"/>
      <c r="W24" s="1578"/>
      <c r="X24" s="1571"/>
      <c r="Y24" s="3382"/>
      <c r="Z24" s="1579"/>
      <c r="AA24" s="1580">
        <v>1</v>
      </c>
      <c r="AB24" s="1580">
        <v>1</v>
      </c>
      <c r="AC24" s="1580">
        <v>1</v>
      </c>
    </row>
    <row r="25" spans="1:29" ht="27">
      <c r="A25" s="518"/>
      <c r="B25" s="259" t="s">
        <v>545</v>
      </c>
      <c r="C25" s="576" t="str">
        <f>估价对象房地状况!C19</f>
        <v>较好</v>
      </c>
      <c r="D25" s="566">
        <v>100</v>
      </c>
      <c r="E25" s="3191" t="s">
        <v>3137</v>
      </c>
      <c r="F25" s="568">
        <f>SUMIF(98:98,E26,99:99)-SUMIF(98:98,C26,99:99)+100</f>
        <v>100</v>
      </c>
      <c r="G25" s="3190" t="s">
        <v>3123</v>
      </c>
      <c r="H25" s="562">
        <f>SUMIF(98:98,G26,99:99)-SUMIF(98:98,C26,99:99)+100</f>
        <v>100</v>
      </c>
      <c r="I25" s="3191" t="s">
        <v>3123</v>
      </c>
      <c r="J25" s="562">
        <f>SUMIF(98:98,I26,99:99)-SUMIF(98:98,C26,99:99)+100</f>
        <v>100</v>
      </c>
      <c r="K25" s="538"/>
      <c r="L25" s="2147"/>
      <c r="M25" s="2137"/>
      <c r="N25" s="2137"/>
      <c r="O25" s="2146"/>
      <c r="P25" s="3382"/>
      <c r="Q25" s="1576" t="str">
        <f t="shared" ref="Q25:Q39" si="8">B25</f>
        <v>区域土地利用方向</v>
      </c>
      <c r="R25" s="1577" t="s">
        <v>8</v>
      </c>
      <c r="S25" s="1578">
        <f>F25</f>
        <v>100</v>
      </c>
      <c r="T25" s="1577" t="s">
        <v>8</v>
      </c>
      <c r="U25" s="1578">
        <f>H25</f>
        <v>100</v>
      </c>
      <c r="V25" s="1577" t="s">
        <v>8</v>
      </c>
      <c r="W25" s="1578">
        <f>J25</f>
        <v>100</v>
      </c>
      <c r="X25" s="1571"/>
      <c r="Y25" s="3382"/>
      <c r="Z25" s="1579" t="str">
        <f>Q25</f>
        <v>区域土地利用方向</v>
      </c>
      <c r="AA25" s="1580">
        <f t="shared" si="3"/>
        <v>1</v>
      </c>
      <c r="AB25" s="1580">
        <f t="shared" si="4"/>
        <v>1</v>
      </c>
      <c r="AC25" s="1580">
        <f t="shared" si="5"/>
        <v>1</v>
      </c>
    </row>
    <row r="26" spans="1:29" ht="20.25">
      <c r="A26" s="518"/>
      <c r="B26" s="1010"/>
      <c r="C26" s="557" t="s">
        <v>3039</v>
      </c>
      <c r="D26" s="560"/>
      <c r="E26" s="561" t="s">
        <v>3039</v>
      </c>
      <c r="F26" s="558"/>
      <c r="G26" s="559" t="s">
        <v>3039</v>
      </c>
      <c r="H26" s="558"/>
      <c r="I26" s="561" t="s">
        <v>3039</v>
      </c>
      <c r="J26" s="558"/>
      <c r="K26" s="534"/>
      <c r="L26" s="2147"/>
      <c r="M26" s="2137"/>
      <c r="N26" s="2137"/>
      <c r="O26" s="2146"/>
      <c r="P26" s="3382"/>
      <c r="Q26" s="1576"/>
      <c r="R26" s="1577"/>
      <c r="S26" s="1578"/>
      <c r="T26" s="1577"/>
      <c r="U26" s="1578"/>
      <c r="V26" s="1577"/>
      <c r="W26" s="1578"/>
      <c r="X26" s="1571"/>
      <c r="Y26" s="3382"/>
      <c r="Z26" s="1579"/>
      <c r="AA26" s="1580"/>
      <c r="AB26" s="1580"/>
      <c r="AC26" s="1580"/>
    </row>
    <row r="27" spans="1:29" ht="57">
      <c r="A27" s="518"/>
      <c r="B27" s="581" t="s">
        <v>546</v>
      </c>
      <c r="C27" s="564" t="str">
        <f>估价对象房地状况!C20</f>
        <v>区域内无特殊自然环境及大学，综合评价环境状况一般</v>
      </c>
      <c r="D27" s="566">
        <v>100</v>
      </c>
      <c r="E27" s="3191" t="s">
        <v>3141</v>
      </c>
      <c r="F27" s="562">
        <f>SUMIF(100:100,E28,101:101)-SUMIF(100:100,C28,101:101)+100</f>
        <v>102</v>
      </c>
      <c r="G27" s="3190" t="s">
        <v>3141</v>
      </c>
      <c r="H27" s="562">
        <f>SUMIF(100:100,G28,101:101)-SUMIF(100:100,C28,101:101)+100</f>
        <v>102</v>
      </c>
      <c r="I27" s="3191" t="s">
        <v>3144</v>
      </c>
      <c r="J27" s="562">
        <f>SUMIF(100:100,I28,101:101)-SUMIF(100:100,C28,101:101)+100</f>
        <v>102</v>
      </c>
      <c r="K27" s="538">
        <v>2</v>
      </c>
      <c r="L27" s="2147"/>
      <c r="M27" s="2137"/>
      <c r="N27" s="2137"/>
      <c r="O27" s="2146"/>
      <c r="P27" s="3382"/>
      <c r="Q27" s="1576" t="str">
        <f t="shared" si="8"/>
        <v>自然及人文环境状况</v>
      </c>
      <c r="R27" s="1577" t="s">
        <v>8</v>
      </c>
      <c r="S27" s="1578">
        <f>F27</f>
        <v>102</v>
      </c>
      <c r="T27" s="1577" t="s">
        <v>8</v>
      </c>
      <c r="U27" s="1578">
        <f>H27</f>
        <v>102</v>
      </c>
      <c r="V27" s="1577" t="s">
        <v>8</v>
      </c>
      <c r="W27" s="1578">
        <f>J27</f>
        <v>102</v>
      </c>
      <c r="X27" s="1571"/>
      <c r="Y27" s="3382"/>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3041</v>
      </c>
      <c r="D28" s="560"/>
      <c r="E28" s="579" t="s">
        <v>3039</v>
      </c>
      <c r="F28" s="558"/>
      <c r="G28" s="557" t="s">
        <v>3039</v>
      </c>
      <c r="H28" s="558"/>
      <c r="I28" s="579" t="s">
        <v>3039</v>
      </c>
      <c r="J28" s="558"/>
      <c r="K28" s="534"/>
      <c r="L28" s="2147"/>
      <c r="M28" s="2137"/>
      <c r="N28" s="2137"/>
      <c r="O28" s="2146"/>
      <c r="P28" s="3382"/>
      <c r="Q28" s="1576"/>
      <c r="R28" s="1577"/>
      <c r="S28" s="1578"/>
      <c r="T28" s="1577"/>
      <c r="U28" s="1578"/>
      <c r="V28" s="1577"/>
      <c r="W28" s="1578"/>
      <c r="X28" s="1571"/>
      <c r="Y28" s="3382"/>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3138</v>
      </c>
      <c r="F29" s="562">
        <f>SUMIF(102:102,E30,103:103)-SUMIF(102:102,C30,103:103)+100</f>
        <v>102</v>
      </c>
      <c r="G29" s="565" t="s">
        <v>3142</v>
      </c>
      <c r="H29" s="562">
        <f>SUMIF(102:102,G30,103:103)-SUMIF(102:102,C30,103:103)+100</f>
        <v>102</v>
      </c>
      <c r="I29" s="3191" t="s">
        <v>3143</v>
      </c>
      <c r="J29" s="562">
        <f>SUMIF(102:102,I30,103:103)-SUMIF(102:102,C30,103:103)+100</f>
        <v>100</v>
      </c>
      <c r="K29" s="538">
        <v>2</v>
      </c>
      <c r="L29" s="2140"/>
      <c r="M29" s="2137"/>
      <c r="N29" s="2137"/>
      <c r="O29" s="2142"/>
      <c r="P29" s="3382"/>
      <c r="Q29" s="1154" t="str">
        <f t="shared" si="8"/>
        <v>公共配套设施</v>
      </c>
      <c r="R29" s="1572" t="s">
        <v>8</v>
      </c>
      <c r="S29" s="1573">
        <f>F29</f>
        <v>102</v>
      </c>
      <c r="T29" s="1572" t="s">
        <v>8</v>
      </c>
      <c r="U29" s="1573">
        <f>H29</f>
        <v>102</v>
      </c>
      <c r="V29" s="1572" t="s">
        <v>8</v>
      </c>
      <c r="W29" s="1573">
        <f>J29</f>
        <v>100</v>
      </c>
      <c r="X29" s="1574"/>
      <c r="Y29" s="3382"/>
      <c r="Z29" s="1153" t="str">
        <f>Q29</f>
        <v>公共配套设施</v>
      </c>
      <c r="AA29" s="1580">
        <f>D29/F29</f>
        <v>0.98039215686274506</v>
      </c>
      <c r="AB29" s="1580">
        <f>D29/H29</f>
        <v>0.98039215686274506</v>
      </c>
      <c r="AC29" s="1580">
        <f>D29/J29</f>
        <v>1</v>
      </c>
    </row>
    <row r="30" spans="1:29" s="1223" customFormat="1" ht="20.25">
      <c r="A30" s="580"/>
      <c r="B30" s="569"/>
      <c r="C30" s="582" t="s">
        <v>3041</v>
      </c>
      <c r="D30" s="560"/>
      <c r="E30" s="579" t="s">
        <v>3039</v>
      </c>
      <c r="F30" s="558"/>
      <c r="G30" s="557" t="s">
        <v>3039</v>
      </c>
      <c r="H30" s="558"/>
      <c r="I30" s="579" t="s">
        <v>3041</v>
      </c>
      <c r="J30" s="558"/>
      <c r="K30" s="534"/>
      <c r="L30" s="2140"/>
      <c r="M30" s="2137"/>
      <c r="N30" s="2137"/>
      <c r="O30" s="2142"/>
      <c r="P30" s="3382"/>
      <c r="Q30" s="1154"/>
      <c r="R30" s="1572"/>
      <c r="S30" s="1573"/>
      <c r="T30" s="1572"/>
      <c r="U30" s="1573"/>
      <c r="V30" s="1572"/>
      <c r="W30" s="1573"/>
      <c r="X30" s="1574"/>
      <c r="Y30" s="3382"/>
      <c r="Z30" s="1153"/>
      <c r="AA30" s="1580">
        <v>1</v>
      </c>
      <c r="AB30" s="1580">
        <v>1</v>
      </c>
      <c r="AC30" s="1580">
        <v>1</v>
      </c>
    </row>
    <row r="31" spans="1:29" s="1223" customFormat="1" ht="20.25">
      <c r="A31" s="580"/>
      <c r="B31" s="2620" t="s">
        <v>2554</v>
      </c>
      <c r="C31" s="576" t="str">
        <f>估价对象房地状况!C22</f>
        <v>六通一平</v>
      </c>
      <c r="D31" s="566">
        <v>100</v>
      </c>
      <c r="E31" s="3191" t="s">
        <v>3139</v>
      </c>
      <c r="F31" s="562">
        <f>SUMIF(104:104,E32,105:105)-SUMIF(104:104,C32,105:105)+100</f>
        <v>100</v>
      </c>
      <c r="G31" s="3190" t="s">
        <v>3139</v>
      </c>
      <c r="H31" s="562">
        <f>SUMIF(104:104,G32,105:105)-SUMIF(104:104,C32,105:105)+100</f>
        <v>100</v>
      </c>
      <c r="I31" s="3191" t="s">
        <v>3139</v>
      </c>
      <c r="J31" s="562">
        <f>SUMIF(104:104,I32,105:105)-SUMIF(104:104,C32,105:105)+100</f>
        <v>100</v>
      </c>
      <c r="K31" s="538"/>
      <c r="L31" s="2140"/>
      <c r="M31" s="2137"/>
      <c r="N31" s="2137"/>
      <c r="O31" s="2142"/>
      <c r="P31" s="3382"/>
      <c r="Q31" s="2607" t="str">
        <f t="shared" ref="Q31" si="9">B31</f>
        <v>基础设施水平</v>
      </c>
      <c r="R31" s="1572" t="s">
        <v>8</v>
      </c>
      <c r="S31" s="1573">
        <f>F31</f>
        <v>100</v>
      </c>
      <c r="T31" s="1572" t="s">
        <v>8</v>
      </c>
      <c r="U31" s="1573">
        <f>H31</f>
        <v>100</v>
      </c>
      <c r="V31" s="1572" t="s">
        <v>8</v>
      </c>
      <c r="W31" s="1573">
        <f>J31</f>
        <v>100</v>
      </c>
      <c r="X31" s="1574"/>
      <c r="Y31" s="3382"/>
      <c r="Z31" s="2604" t="str">
        <f>Q31</f>
        <v>基础设施水平</v>
      </c>
      <c r="AA31" s="1580">
        <f>D31/F31</f>
        <v>1</v>
      </c>
      <c r="AB31" s="1580">
        <f>D31/H31</f>
        <v>1</v>
      </c>
      <c r="AC31" s="1580">
        <f>D31/J31</f>
        <v>1</v>
      </c>
    </row>
    <row r="32" spans="1:29" s="1223" customFormat="1" ht="20.25">
      <c r="A32" s="580"/>
      <c r="B32" s="569"/>
      <c r="C32" s="582" t="s">
        <v>3104</v>
      </c>
      <c r="D32" s="560"/>
      <c r="E32" s="2621" t="s">
        <v>3104</v>
      </c>
      <c r="F32" s="558"/>
      <c r="G32" s="582" t="s">
        <v>3104</v>
      </c>
      <c r="H32" s="558"/>
      <c r="I32" s="582" t="s">
        <v>3104</v>
      </c>
      <c r="J32" s="558"/>
      <c r="K32" s="534"/>
      <c r="L32" s="2140"/>
      <c r="M32" s="2137"/>
      <c r="N32" s="2137"/>
      <c r="O32" s="2142"/>
      <c r="P32" s="3382"/>
      <c r="Q32" s="2607"/>
      <c r="R32" s="1572"/>
      <c r="S32" s="1573"/>
      <c r="T32" s="1572"/>
      <c r="U32" s="1573"/>
      <c r="V32" s="1572"/>
      <c r="W32" s="1573"/>
      <c r="X32" s="1574"/>
      <c r="Y32" s="3382"/>
      <c r="Z32" s="2604"/>
      <c r="AA32" s="1580">
        <v>1</v>
      </c>
      <c r="AB32" s="1580">
        <v>1</v>
      </c>
      <c r="AC32" s="1580">
        <v>1</v>
      </c>
    </row>
    <row r="33" spans="1:29" ht="20.25">
      <c r="A33" s="535"/>
      <c r="B33" s="569" t="s">
        <v>548</v>
      </c>
      <c r="C33" s="583" t="s">
        <v>3135</v>
      </c>
      <c r="D33" s="578">
        <v>100</v>
      </c>
      <c r="E33" s="586" t="s">
        <v>3135</v>
      </c>
      <c r="F33" s="543">
        <f>SUMIF(106:106,E33,107:107)-SUMIF(106:106,C33,107:107)+100</f>
        <v>100</v>
      </c>
      <c r="G33" s="583" t="s">
        <v>3135</v>
      </c>
      <c r="H33" s="543">
        <f>SUMIF(106:106,G33,107:107)-SUMIF(106:106,C33,107:107)+100</f>
        <v>100</v>
      </c>
      <c r="I33" s="583" t="s">
        <v>3135</v>
      </c>
      <c r="J33" s="543">
        <f>SUMIF(106:106,I33,107:107)-SUMIF(106:106,C33,107:107)+100</f>
        <v>100</v>
      </c>
      <c r="K33" s="538"/>
      <c r="L33" s="2147"/>
      <c r="M33" s="2137"/>
      <c r="N33" s="2137"/>
      <c r="O33" s="2146"/>
      <c r="P33" s="3382"/>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2"/>
      <c r="Z33" s="1579" t="str">
        <f t="shared" ref="Z33:Z47" si="13">Q33</f>
        <v>临街状况</v>
      </c>
      <c r="AA33" s="1580">
        <f t="shared" si="3"/>
        <v>1</v>
      </c>
      <c r="AB33" s="1580">
        <f t="shared" si="4"/>
        <v>1</v>
      </c>
      <c r="AC33" s="1580">
        <f t="shared" si="5"/>
        <v>1</v>
      </c>
    </row>
    <row r="34" spans="1:29" ht="27">
      <c r="A34" s="535"/>
      <c r="B34" s="581" t="s">
        <v>549</v>
      </c>
      <c r="C34" s="565" t="s">
        <v>3112</v>
      </c>
      <c r="D34" s="566">
        <v>100</v>
      </c>
      <c r="E34" s="567" t="s">
        <v>3132</v>
      </c>
      <c r="F34" s="562">
        <f>SUMIF(108:108,E35,109:109)-SUMIF(108:108,C35,109:109)+100</f>
        <v>96</v>
      </c>
      <c r="G34" s="565" t="s">
        <v>3131</v>
      </c>
      <c r="H34" s="562">
        <f>SUMIF(108:108,G35,109:109)-SUMIF(108:108,C35,109:109)+100</f>
        <v>96</v>
      </c>
      <c r="I34" s="567" t="s">
        <v>3133</v>
      </c>
      <c r="J34" s="562">
        <f>SUMIF(108:108,I35,109:109)-SUMIF(108:108,C35,109:109)+100</f>
        <v>98</v>
      </c>
      <c r="K34" s="538">
        <v>2</v>
      </c>
      <c r="L34" s="2147"/>
      <c r="M34" s="2137"/>
      <c r="N34" s="2137"/>
      <c r="O34" s="2146"/>
      <c r="P34" s="3382"/>
      <c r="Q34" s="1576" t="str">
        <f t="shared" si="8"/>
        <v>毗邻道路的类型与等级</v>
      </c>
      <c r="R34" s="1577" t="s">
        <v>8</v>
      </c>
      <c r="S34" s="1578">
        <f t="shared" si="10"/>
        <v>96</v>
      </c>
      <c r="T34" s="1577" t="s">
        <v>8</v>
      </c>
      <c r="U34" s="1578">
        <f t="shared" si="11"/>
        <v>96</v>
      </c>
      <c r="V34" s="1577" t="s">
        <v>8</v>
      </c>
      <c r="W34" s="1578">
        <f t="shared" si="12"/>
        <v>98</v>
      </c>
      <c r="X34" s="1571"/>
      <c r="Y34" s="3382"/>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3113</v>
      </c>
      <c r="D35" s="560"/>
      <c r="E35" s="579" t="s">
        <v>3129</v>
      </c>
      <c r="F35" s="558"/>
      <c r="G35" s="557" t="s">
        <v>3129</v>
      </c>
      <c r="H35" s="558"/>
      <c r="I35" s="579" t="s">
        <v>3115</v>
      </c>
      <c r="J35" s="558"/>
      <c r="K35" s="584"/>
      <c r="L35" s="2147"/>
      <c r="M35" s="2137"/>
      <c r="N35" s="2137"/>
      <c r="O35" s="2146"/>
      <c r="P35" s="3382"/>
      <c r="Q35" s="1576"/>
      <c r="R35" s="1577"/>
      <c r="S35" s="1578"/>
      <c r="T35" s="1577"/>
      <c r="U35" s="1578"/>
      <c r="V35" s="1577"/>
      <c r="W35" s="1578"/>
      <c r="X35" s="1571"/>
      <c r="Y35" s="3382"/>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2"/>
      <c r="Q36" s="1576" t="str">
        <f t="shared" si="8"/>
        <v>土地级别</v>
      </c>
      <c r="R36" s="1577" t="s">
        <v>8</v>
      </c>
      <c r="S36" s="1578">
        <f t="shared" si="10"/>
        <v>100</v>
      </c>
      <c r="T36" s="1577" t="s">
        <v>8</v>
      </c>
      <c r="U36" s="1578">
        <f t="shared" si="11"/>
        <v>100</v>
      </c>
      <c r="V36" s="1577" t="s">
        <v>8</v>
      </c>
      <c r="W36" s="1578">
        <f t="shared" si="12"/>
        <v>100</v>
      </c>
      <c r="X36" s="1571"/>
      <c r="Y36" s="3382"/>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2"/>
      <c r="Q37" s="1576">
        <f t="shared" si="8"/>
        <v>111</v>
      </c>
      <c r="R37" s="1577" t="s">
        <v>8</v>
      </c>
      <c r="S37" s="1578">
        <f t="shared" si="10"/>
        <v>100</v>
      </c>
      <c r="T37" s="1577" t="s">
        <v>8</v>
      </c>
      <c r="U37" s="1578">
        <f t="shared" si="11"/>
        <v>100</v>
      </c>
      <c r="V37" s="1577" t="s">
        <v>8</v>
      </c>
      <c r="W37" s="1578">
        <f t="shared" si="12"/>
        <v>100</v>
      </c>
      <c r="X37" s="1571"/>
      <c r="Y37" s="3382"/>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3" t="s">
        <v>551</v>
      </c>
      <c r="Q38" s="1576">
        <f t="shared" si="8"/>
        <v>111</v>
      </c>
      <c r="R38" s="1577" t="s">
        <v>8</v>
      </c>
      <c r="S38" s="1578">
        <f t="shared" si="10"/>
        <v>100</v>
      </c>
      <c r="T38" s="1577" t="s">
        <v>8</v>
      </c>
      <c r="U38" s="1578">
        <f t="shared" si="11"/>
        <v>100</v>
      </c>
      <c r="V38" s="1577" t="s">
        <v>8</v>
      </c>
      <c r="W38" s="1578">
        <f t="shared" si="12"/>
        <v>100</v>
      </c>
      <c r="X38" s="1571"/>
      <c r="Y38" s="3384"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4"/>
      <c r="Q39" s="1576">
        <f t="shared" si="8"/>
        <v>111</v>
      </c>
      <c r="R39" s="1581" t="s">
        <v>8</v>
      </c>
      <c r="S39" s="1582">
        <f t="shared" si="10"/>
        <v>100</v>
      </c>
      <c r="T39" s="1581" t="s">
        <v>8</v>
      </c>
      <c r="U39" s="1582">
        <f t="shared" si="11"/>
        <v>100</v>
      </c>
      <c r="V39" s="1581" t="s">
        <v>8</v>
      </c>
      <c r="W39" s="1582">
        <f t="shared" si="12"/>
        <v>100</v>
      </c>
      <c r="X39" s="1583"/>
      <c r="Y39" s="3384"/>
      <c r="Z39" s="1584">
        <f t="shared" si="13"/>
        <v>111</v>
      </c>
      <c r="AA39" s="1580">
        <f t="shared" si="3"/>
        <v>1</v>
      </c>
      <c r="AB39" s="1580">
        <f t="shared" si="4"/>
        <v>1</v>
      </c>
      <c r="AC39" s="1580">
        <f t="shared" si="5"/>
        <v>1</v>
      </c>
    </row>
    <row r="40" spans="1:29" ht="20.25">
      <c r="A40" s="2938" t="s">
        <v>2762</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384"/>
      <c r="Q40" s="1576" t="str">
        <f>B40</f>
        <v>宗地面积</v>
      </c>
      <c r="R40" s="1577" t="s">
        <v>8</v>
      </c>
      <c r="S40" s="1578">
        <f t="shared" si="10"/>
        <v>102</v>
      </c>
      <c r="T40" s="1577" t="s">
        <v>8</v>
      </c>
      <c r="U40" s="1578">
        <f t="shared" si="11"/>
        <v>100</v>
      </c>
      <c r="V40" s="1577" t="s">
        <v>8</v>
      </c>
      <c r="W40" s="1578">
        <f t="shared" si="12"/>
        <v>106</v>
      </c>
      <c r="X40" s="1571"/>
      <c r="Y40" s="3384"/>
      <c r="Z40" s="1579" t="str">
        <f t="shared" si="13"/>
        <v>宗地面积</v>
      </c>
      <c r="AA40" s="1580">
        <f t="shared" si="3"/>
        <v>0.98039215686274506</v>
      </c>
      <c r="AB40" s="1580">
        <f t="shared" si="4"/>
        <v>1</v>
      </c>
      <c r="AC40" s="1580">
        <f t="shared" si="5"/>
        <v>0.94339622641509435</v>
      </c>
    </row>
    <row r="41" spans="1:29" ht="20.25">
      <c r="A41" s="597"/>
      <c r="B41" s="530" t="s">
        <v>554</v>
      </c>
      <c r="C41" s="3193" t="s">
        <v>3088</v>
      </c>
      <c r="D41" s="543">
        <v>100</v>
      </c>
      <c r="E41" s="602" t="s">
        <v>3088</v>
      </c>
      <c r="F41" s="543">
        <f>SUMIF(121:121,E41,122:122)-SUMIF(121:121,C41,122:122)+100</f>
        <v>100</v>
      </c>
      <c r="G41" s="602" t="s">
        <v>3088</v>
      </c>
      <c r="H41" s="543">
        <f>SUMIF(121:121,G41,122:122)-SUMIF(121:121,C41,122:122)+100</f>
        <v>100</v>
      </c>
      <c r="I41" s="602" t="s">
        <v>3088</v>
      </c>
      <c r="J41" s="543">
        <f>SUMIF(121:121,I41,122:122)-SUMIF(121:121,C41,122:122)+100</f>
        <v>100</v>
      </c>
      <c r="K41" s="587">
        <v>2</v>
      </c>
      <c r="L41" s="2147"/>
      <c r="M41" s="2137"/>
      <c r="N41" s="2137"/>
      <c r="O41" s="2146"/>
      <c r="P41" s="3384"/>
      <c r="Q41" s="1576" t="str">
        <f t="shared" ref="Q41:Q47" si="14">B41</f>
        <v>宗地形状</v>
      </c>
      <c r="R41" s="1577" t="s">
        <v>8</v>
      </c>
      <c r="S41" s="1578">
        <f t="shared" si="10"/>
        <v>100</v>
      </c>
      <c r="T41" s="1577" t="s">
        <v>8</v>
      </c>
      <c r="U41" s="1578">
        <f t="shared" si="11"/>
        <v>100</v>
      </c>
      <c r="V41" s="1577" t="s">
        <v>8</v>
      </c>
      <c r="W41" s="1578">
        <f t="shared" si="12"/>
        <v>100</v>
      </c>
      <c r="X41" s="1571"/>
      <c r="Y41" s="3384"/>
      <c r="Z41" s="1579" t="str">
        <f t="shared" si="13"/>
        <v>宗地形状</v>
      </c>
      <c r="AA41" s="1580">
        <f t="shared" si="3"/>
        <v>1</v>
      </c>
      <c r="AB41" s="1580">
        <f t="shared" si="4"/>
        <v>1</v>
      </c>
      <c r="AC41" s="1580">
        <f t="shared" si="5"/>
        <v>1</v>
      </c>
    </row>
    <row r="42" spans="1:29" ht="20.25">
      <c r="A42" s="597"/>
      <c r="B42" s="530" t="s">
        <v>555</v>
      </c>
      <c r="C42" s="3193" t="s">
        <v>3039</v>
      </c>
      <c r="D42" s="543">
        <v>100</v>
      </c>
      <c r="E42" s="602" t="s">
        <v>3039</v>
      </c>
      <c r="F42" s="543">
        <f>SUMIF(123:123,E42,124:124)-SUMIF(123:123,C42,124:124)+100</f>
        <v>100</v>
      </c>
      <c r="G42" s="602" t="s">
        <v>3039</v>
      </c>
      <c r="H42" s="543">
        <f>SUMIF(123:123,G42,124:124)-SUMIF(123:123,C42,124:124)+100</f>
        <v>100</v>
      </c>
      <c r="I42" s="602" t="s">
        <v>3039</v>
      </c>
      <c r="J42" s="543">
        <f>SUMIF(123:123,I42,124:124)-SUMIF(123:123,C42,124:124)+100</f>
        <v>100</v>
      </c>
      <c r="K42" s="587">
        <v>2</v>
      </c>
      <c r="L42" s="2147"/>
      <c r="M42" s="2137"/>
      <c r="N42" s="2137"/>
      <c r="O42" s="2146"/>
      <c r="P42" s="3384"/>
      <c r="Q42" s="1576" t="str">
        <f t="shared" si="14"/>
        <v>临街宽度及深度</v>
      </c>
      <c r="R42" s="1577" t="s">
        <v>8</v>
      </c>
      <c r="S42" s="1578">
        <f t="shared" si="10"/>
        <v>100</v>
      </c>
      <c r="T42" s="1577" t="s">
        <v>8</v>
      </c>
      <c r="U42" s="1578">
        <f t="shared" si="11"/>
        <v>100</v>
      </c>
      <c r="V42" s="1577" t="s">
        <v>8</v>
      </c>
      <c r="W42" s="1578">
        <f t="shared" si="12"/>
        <v>100</v>
      </c>
      <c r="X42" s="1571"/>
      <c r="Y42" s="3384"/>
      <c r="Z42" s="1579" t="str">
        <f t="shared" si="13"/>
        <v>临街宽度及深度</v>
      </c>
      <c r="AA42" s="1580">
        <f t="shared" si="3"/>
        <v>1</v>
      </c>
      <c r="AB42" s="1580">
        <f t="shared" si="4"/>
        <v>1</v>
      </c>
      <c r="AC42" s="1580">
        <f t="shared" si="5"/>
        <v>1</v>
      </c>
    </row>
    <row r="43" spans="1:29" s="1223" customFormat="1" ht="20.25">
      <c r="A43" s="603"/>
      <c r="B43" s="1900" t="s">
        <v>2427</v>
      </c>
      <c r="C43" s="3194" t="s">
        <v>3107</v>
      </c>
      <c r="D43" s="255">
        <v>100</v>
      </c>
      <c r="E43" s="604" t="s">
        <v>3110</v>
      </c>
      <c r="F43" s="543">
        <f>SUMIF(125:125,E43,126:126)-SUMIF(125:125,C43,126:126)+100</f>
        <v>98</v>
      </c>
      <c r="G43" s="604" t="s">
        <v>3110</v>
      </c>
      <c r="H43" s="543">
        <f>SUMIF(125:125,G43,126:126)-SUMIF(125:125,C43,126:126)+100</f>
        <v>98</v>
      </c>
      <c r="I43" s="604" t="s">
        <v>3110</v>
      </c>
      <c r="J43" s="543">
        <f>SUMIF(125:125,I43,126:126)-SUMIF(125:125,C43,126:126)+100</f>
        <v>98</v>
      </c>
      <c r="K43" s="587">
        <v>1</v>
      </c>
      <c r="L43" s="2140"/>
      <c r="M43" s="2137"/>
      <c r="N43" s="2137"/>
      <c r="O43" s="2142"/>
      <c r="P43" s="3384"/>
      <c r="Q43" s="1576" t="str">
        <f t="shared" si="14"/>
        <v>宗地开发程度</v>
      </c>
      <c r="R43" s="1572" t="s">
        <v>8</v>
      </c>
      <c r="S43" s="1573">
        <f t="shared" si="10"/>
        <v>98</v>
      </c>
      <c r="T43" s="1572" t="s">
        <v>8</v>
      </c>
      <c r="U43" s="1573">
        <f t="shared" si="11"/>
        <v>98</v>
      </c>
      <c r="V43" s="1572" t="s">
        <v>8</v>
      </c>
      <c r="W43" s="1573">
        <f t="shared" si="12"/>
        <v>98</v>
      </c>
      <c r="X43" s="1574"/>
      <c r="Y43" s="3384"/>
      <c r="Z43" s="1153" t="str">
        <f t="shared" si="13"/>
        <v>宗地开发程度</v>
      </c>
      <c r="AA43" s="1575">
        <f t="shared" si="3"/>
        <v>1.0204081632653061</v>
      </c>
      <c r="AB43" s="1575">
        <f t="shared" si="4"/>
        <v>1.0204081632653061</v>
      </c>
      <c r="AC43" s="1575">
        <f t="shared" si="5"/>
        <v>1.0204081632653061</v>
      </c>
    </row>
    <row r="44" spans="1:29" ht="21" thickBot="1">
      <c r="A44" s="597"/>
      <c r="B44" s="530" t="s">
        <v>556</v>
      </c>
      <c r="C44" s="3193" t="s">
        <v>3039</v>
      </c>
      <c r="D44" s="543">
        <v>100</v>
      </c>
      <c r="E44" s="602" t="s">
        <v>3039</v>
      </c>
      <c r="F44" s="543">
        <f>SUMIF(127:127,E44,128:128)-SUMIF(127:127,C44,128:128)+100</f>
        <v>100</v>
      </c>
      <c r="G44" s="602" t="s">
        <v>3039</v>
      </c>
      <c r="H44" s="543">
        <f>SUMIF(127:127,G44,128:128)-SUMIF(127:127,C44,128:128)+100</f>
        <v>100</v>
      </c>
      <c r="I44" s="602" t="s">
        <v>3039</v>
      </c>
      <c r="J44" s="543">
        <f>SUMIF(127:127,I44,128:128)-SUMIF(127:127,C44,128:128)+100</f>
        <v>100</v>
      </c>
      <c r="K44" s="587">
        <v>2</v>
      </c>
      <c r="L44" s="2147"/>
      <c r="M44" s="2137"/>
      <c r="N44" s="2137"/>
      <c r="O44" s="2146"/>
      <c r="P44" s="3384" t="s">
        <v>551</v>
      </c>
      <c r="Q44" s="1576" t="str">
        <f t="shared" si="14"/>
        <v>工程地质条件</v>
      </c>
      <c r="R44" s="1577" t="s">
        <v>8</v>
      </c>
      <c r="S44" s="1578">
        <f t="shared" si="10"/>
        <v>100</v>
      </c>
      <c r="T44" s="1577" t="s">
        <v>8</v>
      </c>
      <c r="U44" s="1578">
        <f t="shared" si="11"/>
        <v>100</v>
      </c>
      <c r="V44" s="1577" t="s">
        <v>8</v>
      </c>
      <c r="W44" s="1578">
        <f t="shared" si="12"/>
        <v>100</v>
      </c>
      <c r="X44" s="1571"/>
      <c r="Y44" s="3384"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4"/>
      <c r="Q45" s="1576">
        <f t="shared" si="14"/>
        <v>111</v>
      </c>
      <c r="R45" s="1577" t="s">
        <v>8</v>
      </c>
      <c r="S45" s="1578">
        <f t="shared" si="10"/>
        <v>100</v>
      </c>
      <c r="T45" s="1577" t="s">
        <v>8</v>
      </c>
      <c r="U45" s="1578">
        <f t="shared" si="11"/>
        <v>100</v>
      </c>
      <c r="V45" s="1577" t="s">
        <v>8</v>
      </c>
      <c r="W45" s="1578">
        <f t="shared" si="12"/>
        <v>100</v>
      </c>
      <c r="X45" s="1571"/>
      <c r="Y45" s="3384"/>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4"/>
      <c r="Q46" s="1576">
        <f t="shared" si="14"/>
        <v>111</v>
      </c>
      <c r="R46" s="1577" t="s">
        <v>8</v>
      </c>
      <c r="S46" s="1578">
        <f t="shared" si="10"/>
        <v>100</v>
      </c>
      <c r="T46" s="1577" t="s">
        <v>8</v>
      </c>
      <c r="U46" s="1578">
        <f t="shared" si="11"/>
        <v>100</v>
      </c>
      <c r="V46" s="1577" t="s">
        <v>8</v>
      </c>
      <c r="W46" s="1578">
        <f t="shared" si="12"/>
        <v>100</v>
      </c>
      <c r="X46" s="1571"/>
      <c r="Y46" s="3384"/>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4"/>
      <c r="Q47" s="1576">
        <f t="shared" si="14"/>
        <v>111</v>
      </c>
      <c r="R47" s="1581" t="s">
        <v>8</v>
      </c>
      <c r="S47" s="1582">
        <f t="shared" si="10"/>
        <v>100</v>
      </c>
      <c r="T47" s="1581" t="s">
        <v>8</v>
      </c>
      <c r="U47" s="1582">
        <f t="shared" si="11"/>
        <v>100</v>
      </c>
      <c r="V47" s="1581" t="s">
        <v>8</v>
      </c>
      <c r="W47" s="1582">
        <f t="shared" si="12"/>
        <v>100</v>
      </c>
      <c r="X47" s="1583"/>
      <c r="Y47" s="3384"/>
      <c r="Z47" s="1584">
        <f t="shared" si="13"/>
        <v>111</v>
      </c>
      <c r="AA47" s="1580">
        <f t="shared" si="3"/>
        <v>1</v>
      </c>
      <c r="AB47" s="1580">
        <f t="shared" si="4"/>
        <v>1</v>
      </c>
      <c r="AC47" s="1580">
        <f t="shared" si="5"/>
        <v>1</v>
      </c>
    </row>
    <row r="48" spans="1:29" ht="20.25">
      <c r="A48" s="610" t="s">
        <v>557</v>
      </c>
      <c r="B48" s="611" t="s">
        <v>3072</v>
      </c>
      <c r="C48" s="612" t="s">
        <v>1</v>
      </c>
      <c r="D48" s="613"/>
      <c r="E48" s="614">
        <f>ROUND(土地案例!C2,0)</f>
        <v>4367</v>
      </c>
      <c r="F48" s="615"/>
      <c r="G48" s="616">
        <f>ROUND(土地案例!C3,0)</f>
        <v>4359</v>
      </c>
      <c r="H48" s="617"/>
      <c r="I48" s="614">
        <f>土地案例!C6</f>
        <v>3930</v>
      </c>
      <c r="J48" s="617"/>
      <c r="K48" s="1343"/>
      <c r="L48" s="2149"/>
      <c r="M48" s="2137"/>
      <c r="N48" s="2137"/>
      <c r="O48" s="2150"/>
      <c r="P48" s="3379" t="str">
        <f>A48</f>
        <v>成交单价</v>
      </c>
      <c r="Q48" s="3379"/>
      <c r="R48" s="3393">
        <f>E48</f>
        <v>4367</v>
      </c>
      <c r="S48" s="3393"/>
      <c r="T48" s="3393">
        <f>G48</f>
        <v>4359</v>
      </c>
      <c r="U48" s="3393"/>
      <c r="V48" s="3393">
        <f>I48</f>
        <v>3930</v>
      </c>
      <c r="W48" s="3393"/>
      <c r="X48" s="1563"/>
      <c r="Y48" s="1585"/>
      <c r="Z48" s="1563"/>
      <c r="AA48" s="1563"/>
      <c r="AB48" s="1563"/>
      <c r="AC48" s="1563"/>
    </row>
    <row r="49" spans="1:29" ht="21" thickBot="1">
      <c r="A49" s="618" t="s">
        <v>2700</v>
      </c>
      <c r="B49" s="619"/>
      <c r="C49" s="620">
        <f>R50</f>
        <v>4409</v>
      </c>
      <c r="D49" s="621"/>
      <c r="E49" s="620">
        <f>R49</f>
        <v>4561</v>
      </c>
      <c r="F49" s="622"/>
      <c r="G49" s="623">
        <f>T49</f>
        <v>4597</v>
      </c>
      <c r="H49" s="621"/>
      <c r="I49" s="620">
        <f>V49</f>
        <v>4069</v>
      </c>
      <c r="J49" s="621"/>
      <c r="K49" s="1344"/>
      <c r="L49" s="2149"/>
      <c r="M49" s="2137"/>
      <c r="N49" s="2137"/>
      <c r="O49" s="2150"/>
      <c r="P49" s="3379" t="str">
        <f>A49</f>
        <v>比较价格（元/平方米）</v>
      </c>
      <c r="Q49" s="3379"/>
      <c r="R49" s="3404">
        <f>ROUND(PRODUCT(R48,AA9:AA47),0)</f>
        <v>4561</v>
      </c>
      <c r="S49" s="3404"/>
      <c r="T49" s="3404">
        <f>ROUND(PRODUCT(T48,AB9:AB47),0)</f>
        <v>4597</v>
      </c>
      <c r="U49" s="3404"/>
      <c r="V49" s="3404">
        <f>ROUND(PRODUCT(V48,AC9:AC47),0)</f>
        <v>4069</v>
      </c>
      <c r="W49" s="3404"/>
      <c r="X49" s="1563"/>
      <c r="Y49" s="1563"/>
      <c r="Z49" s="1563"/>
      <c r="AA49" s="1563"/>
      <c r="AB49" s="1563"/>
      <c r="AC49" s="1563"/>
    </row>
    <row r="50" spans="1:29" ht="21" thickBot="1">
      <c r="A50" s="624" t="s">
        <v>2939</v>
      </c>
      <c r="B50" s="625"/>
      <c r="C50" s="626">
        <f>R50</f>
        <v>4409</v>
      </c>
      <c r="D50" s="626"/>
      <c r="E50" s="626"/>
      <c r="F50" s="626"/>
      <c r="G50" s="626"/>
      <c r="H50" s="626"/>
      <c r="I50" s="626"/>
      <c r="J50" s="626"/>
      <c r="K50" s="1345"/>
      <c r="L50" s="2149"/>
      <c r="M50" s="2137"/>
      <c r="N50" s="2137"/>
      <c r="O50" s="2150"/>
      <c r="P50" s="3401" t="str">
        <f>A50</f>
        <v>估价对象XX用房的比较价格（楼面单价，元/平方米）</v>
      </c>
      <c r="Q50" s="3402"/>
      <c r="R50" s="3403">
        <f>ROUND(AVERAGE(R49:V49),0)</f>
        <v>4409</v>
      </c>
      <c r="S50" s="3403"/>
      <c r="T50" s="3403"/>
      <c r="U50" s="3403"/>
      <c r="V50" s="3403"/>
      <c r="W50" s="3403"/>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4.442408976414014E-2</v>
      </c>
      <c r="F53" s="630" t="str">
        <f>IF(OR(E53&gt;=0.3,E53&lt;=-0.3),"超过30%","")</f>
        <v/>
      </c>
      <c r="G53" s="629">
        <f>IF(G48&lt;G49,G49/G48-1,G48/G49-1)</f>
        <v>5.4599678825418607E-2</v>
      </c>
      <c r="H53" s="630" t="str">
        <f>IF(OR(G53&gt;=0.3,G53&lt;=-0.3),"超过30%","")</f>
        <v/>
      </c>
      <c r="I53" s="629">
        <f>IF(I48&lt;I49,I49/I48-1,I48/I49-1)</f>
        <v>3.5368956743002444E-2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7.8930059197543923E-3</v>
      </c>
      <c r="F54" s="630" t="str">
        <f>IF(OR(E54&gt;=0.2,E54&lt;=-0.2),"超过20%","")</f>
        <v/>
      </c>
      <c r="G54" s="629">
        <f>IF(G49&lt;I49,I49/G49-1,G49/I49-1)</f>
        <v>0.12976161218972715</v>
      </c>
      <c r="H54" s="630" t="str">
        <f>IF(OR(G54&gt;=0.2,G54&lt;=-0.2),"超过20%","")</f>
        <v/>
      </c>
      <c r="I54" s="629">
        <f>IF(I49&lt;E49,E49/I49-1,I49/E49-1)</f>
        <v>0.12091422954042752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363" t="s">
        <v>2283</v>
      </c>
      <c r="H57" s="3364"/>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4409</v>
      </c>
      <c r="C58" s="638">
        <v>1</v>
      </c>
      <c r="D58" s="2233">
        <v>1</v>
      </c>
      <c r="E58" s="638">
        <f>'数据-汇总表'!E8+'数据-汇总表'!E9</f>
        <v>14309.68</v>
      </c>
      <c r="F58" s="639">
        <f t="shared" ref="F58:F67" si="15">ROUND(B58*E58/10000,0)</f>
        <v>6309</v>
      </c>
      <c r="G58" s="3365"/>
      <c r="H58" s="3366"/>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67"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67"/>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67"/>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67"/>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16687.060000000001</v>
      </c>
      <c r="F68" s="647">
        <f>IF(B48="楼面地价",SUM(F58:F67),ROUND(C50*E68/10000,0))</f>
        <v>6309</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3059</v>
      </c>
      <c r="D77" s="3176" t="s">
        <v>3061</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3114</v>
      </c>
      <c r="D108" s="3174" t="s">
        <v>3116</v>
      </c>
      <c r="E108" s="3174" t="s">
        <v>3130</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3117</v>
      </c>
      <c r="D121" s="3175" t="s">
        <v>3118</v>
      </c>
      <c r="E121" s="3175" t="s">
        <v>3119</v>
      </c>
      <c r="F121" s="3175" t="s">
        <v>3120</v>
      </c>
      <c r="G121" s="3175" t="s">
        <v>3121</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3122</v>
      </c>
      <c r="D123" s="3174" t="s">
        <v>3123</v>
      </c>
      <c r="E123" s="3174" t="s">
        <v>3119</v>
      </c>
      <c r="F123" s="3175" t="s">
        <v>3124</v>
      </c>
      <c r="G123" s="3175" t="s">
        <v>3125</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3126</v>
      </c>
      <c r="D125" s="1379" t="s">
        <v>3128</v>
      </c>
      <c r="E125" s="1379" t="s">
        <v>3127</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3122</v>
      </c>
      <c r="D127" s="3174" t="s">
        <v>3123</v>
      </c>
      <c r="E127" s="3175" t="s">
        <v>3119</v>
      </c>
      <c r="F127" s="3175" t="s">
        <v>3124</v>
      </c>
      <c r="G127" s="3175" t="s">
        <v>3125</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85" t="s">
        <v>523</v>
      </c>
      <c r="D6" s="3386"/>
      <c r="E6" s="3410" t="s">
        <v>524</v>
      </c>
      <c r="F6" s="3411"/>
      <c r="G6" s="3385" t="s">
        <v>525</v>
      </c>
      <c r="H6" s="3386"/>
      <c r="I6" s="3385" t="s">
        <v>526</v>
      </c>
      <c r="J6" s="3386"/>
      <c r="K6" s="517" t="s">
        <v>527</v>
      </c>
      <c r="L6" s="2138"/>
      <c r="M6" s="2139"/>
      <c r="N6" s="2139"/>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29" ht="15">
      <c r="A7" s="518"/>
      <c r="B7" s="519"/>
      <c r="C7" s="3398" t="s">
        <v>2933</v>
      </c>
      <c r="D7" s="3397"/>
      <c r="E7" s="3412" t="s">
        <v>2934</v>
      </c>
      <c r="F7" s="3413"/>
      <c r="G7" s="3398" t="s">
        <v>2935</v>
      </c>
      <c r="H7" s="3397"/>
      <c r="I7" s="3398" t="s">
        <v>2936</v>
      </c>
      <c r="J7" s="3397"/>
      <c r="K7" s="517"/>
      <c r="L7" s="2138"/>
      <c r="M7" s="2139"/>
      <c r="N7" s="2139"/>
      <c r="O7" s="2139"/>
      <c r="P7" s="3389"/>
      <c r="Q7" s="3390"/>
      <c r="R7" s="3375"/>
      <c r="S7" s="3376"/>
      <c r="T7" s="3375"/>
      <c r="U7" s="3376"/>
      <c r="V7" s="3393"/>
      <c r="W7" s="3393"/>
      <c r="X7" s="1571"/>
      <c r="Y7" s="3375"/>
      <c r="Z7" s="3376"/>
      <c r="AA7" s="3369"/>
      <c r="AB7" s="3369"/>
      <c r="AC7" s="3369"/>
    </row>
    <row r="8" spans="1:29" ht="15.75" thickBot="1">
      <c r="A8" s="520"/>
      <c r="B8" s="521"/>
      <c r="C8" s="3394" t="s">
        <v>2937</v>
      </c>
      <c r="D8" s="3395"/>
      <c r="E8" s="3414" t="s">
        <v>2937</v>
      </c>
      <c r="F8" s="3415"/>
      <c r="G8" s="3394" t="s">
        <v>2937</v>
      </c>
      <c r="H8" s="3395"/>
      <c r="I8" s="3394" t="s">
        <v>2937</v>
      </c>
      <c r="J8" s="3395"/>
      <c r="K8" s="517" t="s">
        <v>529</v>
      </c>
      <c r="L8" s="2138"/>
      <c r="M8" s="2139"/>
      <c r="N8" s="2139"/>
      <c r="O8" s="2139"/>
      <c r="P8" s="3391"/>
      <c r="Q8" s="3392"/>
      <c r="R8" s="3375"/>
      <c r="S8" s="3376"/>
      <c r="T8" s="3377"/>
      <c r="U8" s="3378"/>
      <c r="V8" s="3393"/>
      <c r="W8" s="3393"/>
      <c r="X8" s="1571"/>
      <c r="Y8" s="3377"/>
      <c r="Z8" s="3378"/>
      <c r="AA8" s="3370"/>
      <c r="AB8" s="3370"/>
      <c r="AC8" s="3370"/>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71" t="s">
        <v>531</v>
      </c>
      <c r="Q9" s="3380"/>
      <c r="R9" s="1572" t="s">
        <v>8</v>
      </c>
      <c r="S9" s="1573">
        <f t="shared" ref="S9:S17" si="0">F9</f>
        <v>0</v>
      </c>
      <c r="T9" s="1572" t="s">
        <v>8</v>
      </c>
      <c r="U9" s="1573">
        <f t="shared" ref="U9:U17" si="1">H9</f>
        <v>0</v>
      </c>
      <c r="V9" s="1572" t="s">
        <v>8</v>
      </c>
      <c r="W9" s="1573">
        <f t="shared" ref="W9:W17" si="2">J9</f>
        <v>0</v>
      </c>
      <c r="X9" s="1574"/>
      <c r="Y9" s="3371" t="s">
        <v>531</v>
      </c>
      <c r="Z9" s="3372"/>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71" t="s">
        <v>534</v>
      </c>
      <c r="Q10" s="3372"/>
      <c r="R10" s="1572" t="s">
        <v>8</v>
      </c>
      <c r="S10" s="1573">
        <f t="shared" si="0"/>
        <v>0</v>
      </c>
      <c r="T10" s="1572" t="s">
        <v>8</v>
      </c>
      <c r="U10" s="1573">
        <f t="shared" si="1"/>
        <v>0</v>
      </c>
      <c r="V10" s="1572" t="s">
        <v>8</v>
      </c>
      <c r="W10" s="1573">
        <f t="shared" si="2"/>
        <v>0</v>
      </c>
      <c r="X10" s="1574"/>
      <c r="Y10" s="3371" t="s">
        <v>534</v>
      </c>
      <c r="Z10" s="3372"/>
      <c r="AA10" s="1575" t="e">
        <f t="shared" ref="AA10:AA42" si="3">D10/F10</f>
        <v>#DIV/0!</v>
      </c>
      <c r="AB10" s="1575" t="e">
        <f t="shared" ref="AB10:AB42" si="4">D10/H10</f>
        <v>#DIV/0!</v>
      </c>
      <c r="AC10" s="1575" t="e">
        <f t="shared" ref="AC10:AC42" si="5">D10/J10</f>
        <v>#DIV/0!</v>
      </c>
    </row>
    <row r="11" spans="1:29" s="1223" customFormat="1" ht="15">
      <c r="A11" s="2945"/>
      <c r="B11" s="2952"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9" t="s">
        <v>536</v>
      </c>
      <c r="Q11" s="1154" t="str">
        <f t="shared" ref="Q11:Q17" si="6">B11</f>
        <v>用途</v>
      </c>
      <c r="R11" s="1572" t="s">
        <v>8</v>
      </c>
      <c r="S11" s="1573">
        <f t="shared" si="0"/>
        <v>100</v>
      </c>
      <c r="T11" s="1572" t="s">
        <v>8</v>
      </c>
      <c r="U11" s="1573">
        <f t="shared" si="1"/>
        <v>100</v>
      </c>
      <c r="V11" s="1572" t="s">
        <v>8</v>
      </c>
      <c r="W11" s="1573">
        <f t="shared" si="2"/>
        <v>100</v>
      </c>
      <c r="X11" s="1574"/>
      <c r="Y11" s="3336" t="s">
        <v>537</v>
      </c>
      <c r="Z11" s="1153" t="str">
        <f t="shared" ref="Z11:Z17" si="7">Q11</f>
        <v>用途</v>
      </c>
      <c r="AA11" s="1575">
        <f t="shared" si="3"/>
        <v>1</v>
      </c>
      <c r="AB11" s="1575">
        <f t="shared" si="4"/>
        <v>1</v>
      </c>
      <c r="AC11" s="1575">
        <f t="shared" si="5"/>
        <v>1</v>
      </c>
    </row>
    <row r="12" spans="1:29" s="1341" customFormat="1" ht="27">
      <c r="A12" s="2946"/>
      <c r="B12" s="2951" t="s">
        <v>2764</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29" ht="15">
      <c r="A13" s="2947"/>
      <c r="B13" s="2951"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9"/>
      <c r="Q13" s="1154" t="str">
        <f t="shared" si="6"/>
        <v>容积率</v>
      </c>
      <c r="R13" s="1572" t="s">
        <v>8</v>
      </c>
      <c r="S13" s="1573" t="e">
        <f t="shared" si="0"/>
        <v>#N/A</v>
      </c>
      <c r="T13" s="1572" t="s">
        <v>8</v>
      </c>
      <c r="U13" s="1573" t="e">
        <f t="shared" si="1"/>
        <v>#N/A</v>
      </c>
      <c r="V13" s="1572" t="s">
        <v>8</v>
      </c>
      <c r="W13" s="1573" t="e">
        <f t="shared" si="2"/>
        <v>#N/A</v>
      </c>
      <c r="X13" s="1574"/>
      <c r="Y13" s="333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 t="shared" si="3"/>
        <v>1</v>
      </c>
      <c r="AB16" s="1575">
        <f t="shared" si="4"/>
        <v>1</v>
      </c>
      <c r="AC16" s="1575">
        <f t="shared" si="5"/>
        <v>1</v>
      </c>
    </row>
    <row r="17" spans="1:29" ht="57">
      <c r="A17" s="2941"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1" t="s">
        <v>541</v>
      </c>
      <c r="Q17" s="1576" t="str">
        <f t="shared" si="6"/>
        <v>产业集聚程度</v>
      </c>
      <c r="R17" s="1577" t="s">
        <v>8</v>
      </c>
      <c r="S17" s="1578">
        <f t="shared" si="0"/>
        <v>100</v>
      </c>
      <c r="T17" s="1577" t="s">
        <v>8</v>
      </c>
      <c r="U17" s="1578">
        <f t="shared" si="1"/>
        <v>100</v>
      </c>
      <c r="V17" s="1577" t="s">
        <v>8</v>
      </c>
      <c r="W17" s="1578">
        <f t="shared" si="2"/>
        <v>100</v>
      </c>
      <c r="X17" s="1571"/>
      <c r="Y17" s="3381"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2"/>
      <c r="Q19" s="1576" t="str">
        <f>B19</f>
        <v>交通便捷度</v>
      </c>
      <c r="R19" s="1577" t="s">
        <v>8</v>
      </c>
      <c r="S19" s="1578">
        <f>F19</f>
        <v>100</v>
      </c>
      <c r="T19" s="1577" t="s">
        <v>8</v>
      </c>
      <c r="U19" s="1578">
        <f>H19</f>
        <v>100</v>
      </c>
      <c r="V19" s="1577" t="s">
        <v>8</v>
      </c>
      <c r="W19" s="1578">
        <f>J19</f>
        <v>100</v>
      </c>
      <c r="X19" s="1571"/>
      <c r="Y19" s="3382"/>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2"/>
      <c r="Q21" s="1576" t="str">
        <f t="shared" ref="Q21:Q35" si="8">B21</f>
        <v>区域土地利用方向</v>
      </c>
      <c r="R21" s="1577" t="s">
        <v>8</v>
      </c>
      <c r="S21" s="1578">
        <f>F21</f>
        <v>100</v>
      </c>
      <c r="T21" s="1577" t="s">
        <v>8</v>
      </c>
      <c r="U21" s="1578">
        <f>H21</f>
        <v>100</v>
      </c>
      <c r="V21" s="1577" t="s">
        <v>8</v>
      </c>
      <c r="W21" s="1578">
        <f>J21</f>
        <v>100</v>
      </c>
      <c r="X21" s="1571"/>
      <c r="Y21" s="3382"/>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2"/>
      <c r="Q22" s="1576"/>
      <c r="R22" s="1577"/>
      <c r="S22" s="1578"/>
      <c r="T22" s="1577"/>
      <c r="U22" s="1578"/>
      <c r="V22" s="1577"/>
      <c r="W22" s="1578"/>
      <c r="X22" s="1571"/>
      <c r="Y22" s="3382"/>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2"/>
      <c r="Q23" s="1576" t="str">
        <f t="shared" si="8"/>
        <v>环境状况</v>
      </c>
      <c r="R23" s="1577" t="s">
        <v>8</v>
      </c>
      <c r="S23" s="1578">
        <f>F23</f>
        <v>100</v>
      </c>
      <c r="T23" s="1577" t="s">
        <v>8</v>
      </c>
      <c r="U23" s="1578">
        <f>H23</f>
        <v>100</v>
      </c>
      <c r="V23" s="1577" t="s">
        <v>8</v>
      </c>
      <c r="W23" s="1578">
        <f>J23</f>
        <v>100</v>
      </c>
      <c r="X23" s="1571"/>
      <c r="Y23" s="3382"/>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2"/>
      <c r="Q24" s="1576"/>
      <c r="R24" s="1577"/>
      <c r="S24" s="1578"/>
      <c r="T24" s="1577"/>
      <c r="U24" s="1578"/>
      <c r="V24" s="1577"/>
      <c r="W24" s="1578"/>
      <c r="X24" s="1571"/>
      <c r="Y24" s="3382"/>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2"/>
      <c r="Q25" s="1154" t="str">
        <f t="shared" si="8"/>
        <v>公共配套设施</v>
      </c>
      <c r="R25" s="1572" t="s">
        <v>8</v>
      </c>
      <c r="S25" s="1573">
        <f>F25</f>
        <v>100</v>
      </c>
      <c r="T25" s="1572" t="s">
        <v>8</v>
      </c>
      <c r="U25" s="1573">
        <f>H25</f>
        <v>100</v>
      </c>
      <c r="V25" s="1572" t="s">
        <v>8</v>
      </c>
      <c r="W25" s="1573">
        <f>J25</f>
        <v>100</v>
      </c>
      <c r="X25" s="1574"/>
      <c r="Y25" s="3382"/>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2"/>
      <c r="Q26" s="1154"/>
      <c r="R26" s="1572"/>
      <c r="S26" s="1573"/>
      <c r="T26" s="1572"/>
      <c r="U26" s="1573"/>
      <c r="V26" s="1572"/>
      <c r="W26" s="1573"/>
      <c r="X26" s="1574"/>
      <c r="Y26" s="3382"/>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2"/>
      <c r="Q27" s="2607" t="str">
        <f t="shared" ref="Q27" si="9">B27</f>
        <v>基础设施水平</v>
      </c>
      <c r="R27" s="1572" t="s">
        <v>8</v>
      </c>
      <c r="S27" s="1573">
        <f>F27</f>
        <v>100</v>
      </c>
      <c r="T27" s="1572" t="s">
        <v>8</v>
      </c>
      <c r="U27" s="1573">
        <f>H27</f>
        <v>100</v>
      </c>
      <c r="V27" s="1572" t="s">
        <v>8</v>
      </c>
      <c r="W27" s="1573">
        <f>J27</f>
        <v>100</v>
      </c>
      <c r="X27" s="1574"/>
      <c r="Y27" s="3382"/>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2"/>
      <c r="Q28" s="2607"/>
      <c r="R28" s="1572"/>
      <c r="S28" s="1573"/>
      <c r="T28" s="1572"/>
      <c r="U28" s="1573"/>
      <c r="V28" s="1572"/>
      <c r="W28" s="1573"/>
      <c r="X28" s="1574"/>
      <c r="Y28" s="3382"/>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2"/>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2"/>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2"/>
      <c r="Q30" s="1576" t="str">
        <f t="shared" si="8"/>
        <v>毗邻道路的类型与等级</v>
      </c>
      <c r="R30" s="1577" t="s">
        <v>8</v>
      </c>
      <c r="S30" s="1578">
        <f t="shared" si="10"/>
        <v>100</v>
      </c>
      <c r="T30" s="1577" t="s">
        <v>8</v>
      </c>
      <c r="U30" s="1578">
        <f t="shared" si="11"/>
        <v>100</v>
      </c>
      <c r="V30" s="1577" t="s">
        <v>8</v>
      </c>
      <c r="W30" s="1578">
        <f t="shared" si="12"/>
        <v>100</v>
      </c>
      <c r="X30" s="1571"/>
      <c r="Y30" s="3382"/>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2"/>
      <c r="Q31" s="1576"/>
      <c r="R31" s="1577"/>
      <c r="S31" s="1578"/>
      <c r="T31" s="1577"/>
      <c r="U31" s="1578"/>
      <c r="V31" s="1577"/>
      <c r="W31" s="1578"/>
      <c r="X31" s="1571"/>
      <c r="Y31" s="3382"/>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2"/>
      <c r="Q32" s="1576" t="str">
        <f t="shared" si="8"/>
        <v>土地级别</v>
      </c>
      <c r="R32" s="1577" t="s">
        <v>8</v>
      </c>
      <c r="S32" s="1578">
        <f t="shared" si="10"/>
        <v>100</v>
      </c>
      <c r="T32" s="1577" t="s">
        <v>8</v>
      </c>
      <c r="U32" s="1578">
        <f t="shared" si="11"/>
        <v>100</v>
      </c>
      <c r="V32" s="1577" t="s">
        <v>8</v>
      </c>
      <c r="W32" s="1578">
        <f t="shared" si="12"/>
        <v>100</v>
      </c>
      <c r="X32" s="1571"/>
      <c r="Y32" s="3382"/>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2"/>
      <c r="Q33" s="1576">
        <f t="shared" si="8"/>
        <v>111</v>
      </c>
      <c r="R33" s="1577" t="s">
        <v>8</v>
      </c>
      <c r="S33" s="1578">
        <f t="shared" si="10"/>
        <v>100</v>
      </c>
      <c r="T33" s="1577" t="s">
        <v>8</v>
      </c>
      <c r="U33" s="1578">
        <f t="shared" si="11"/>
        <v>100</v>
      </c>
      <c r="V33" s="1577" t="s">
        <v>8</v>
      </c>
      <c r="W33" s="1578">
        <f t="shared" si="12"/>
        <v>100</v>
      </c>
      <c r="X33" s="1571"/>
      <c r="Y33" s="3382"/>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3" t="s">
        <v>551</v>
      </c>
      <c r="Q34" s="1576">
        <f t="shared" si="8"/>
        <v>111</v>
      </c>
      <c r="R34" s="1577" t="s">
        <v>8</v>
      </c>
      <c r="S34" s="1578">
        <f t="shared" si="10"/>
        <v>100</v>
      </c>
      <c r="T34" s="1577" t="s">
        <v>8</v>
      </c>
      <c r="U34" s="1578">
        <f t="shared" si="11"/>
        <v>100</v>
      </c>
      <c r="V34" s="1577" t="s">
        <v>8</v>
      </c>
      <c r="W34" s="1578">
        <f t="shared" si="12"/>
        <v>100</v>
      </c>
      <c r="X34" s="1571"/>
      <c r="Y34" s="3384"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4"/>
      <c r="Q35" s="1576">
        <f t="shared" si="8"/>
        <v>111</v>
      </c>
      <c r="R35" s="1581" t="s">
        <v>8</v>
      </c>
      <c r="S35" s="1582">
        <f t="shared" si="10"/>
        <v>100</v>
      </c>
      <c r="T35" s="1581" t="s">
        <v>8</v>
      </c>
      <c r="U35" s="1582">
        <f t="shared" si="11"/>
        <v>100</v>
      </c>
      <c r="V35" s="1581" t="s">
        <v>8</v>
      </c>
      <c r="W35" s="1582">
        <f t="shared" si="12"/>
        <v>100</v>
      </c>
      <c r="X35" s="1583"/>
      <c r="Y35" s="3384"/>
      <c r="Z35" s="1584">
        <f t="shared" si="13"/>
        <v>111</v>
      </c>
      <c r="AA35" s="1580">
        <f t="shared" si="3"/>
        <v>1</v>
      </c>
      <c r="AB35" s="1580">
        <f t="shared" si="4"/>
        <v>1</v>
      </c>
      <c r="AC35" s="1580">
        <f t="shared" si="5"/>
        <v>1</v>
      </c>
    </row>
    <row r="36" spans="1:29" ht="15">
      <c r="A36" s="2938"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4"/>
      <c r="Q36" s="1576" t="str">
        <f>B36</f>
        <v>宗地面积</v>
      </c>
      <c r="R36" s="1577" t="s">
        <v>8</v>
      </c>
      <c r="S36" s="1578" t="e">
        <f t="shared" si="10"/>
        <v>#N/A</v>
      </c>
      <c r="T36" s="1577" t="s">
        <v>8</v>
      </c>
      <c r="U36" s="1578" t="e">
        <f t="shared" si="11"/>
        <v>#N/A</v>
      </c>
      <c r="V36" s="1577" t="s">
        <v>8</v>
      </c>
      <c r="W36" s="1578" t="e">
        <f t="shared" si="12"/>
        <v>#N/A</v>
      </c>
      <c r="X36" s="1571"/>
      <c r="Y36" s="3384"/>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4"/>
      <c r="Q37" s="1576" t="str">
        <f t="shared" ref="Q37:Q42" si="14">B37</f>
        <v>宗地形状</v>
      </c>
      <c r="R37" s="1577" t="s">
        <v>8</v>
      </c>
      <c r="S37" s="1578">
        <f t="shared" si="10"/>
        <v>100</v>
      </c>
      <c r="T37" s="1577" t="s">
        <v>8</v>
      </c>
      <c r="U37" s="1578">
        <f t="shared" si="11"/>
        <v>100</v>
      </c>
      <c r="V37" s="1577" t="s">
        <v>8</v>
      </c>
      <c r="W37" s="1578">
        <f t="shared" si="12"/>
        <v>100</v>
      </c>
      <c r="X37" s="1571"/>
      <c r="Y37" s="3384"/>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4"/>
      <c r="Q38" s="1576" t="str">
        <f t="shared" si="14"/>
        <v>宗地开发程度</v>
      </c>
      <c r="R38" s="1572" t="s">
        <v>8</v>
      </c>
      <c r="S38" s="1573">
        <f t="shared" si="10"/>
        <v>100</v>
      </c>
      <c r="T38" s="1572" t="s">
        <v>8</v>
      </c>
      <c r="U38" s="1573">
        <f t="shared" si="11"/>
        <v>100</v>
      </c>
      <c r="V38" s="1572" t="s">
        <v>8</v>
      </c>
      <c r="W38" s="1573">
        <f t="shared" si="12"/>
        <v>100</v>
      </c>
      <c r="X38" s="1574"/>
      <c r="Y38" s="3384"/>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t="s">
        <v>602</v>
      </c>
      <c r="Q39" s="1576" t="str">
        <f t="shared" si="14"/>
        <v>工程地质条件</v>
      </c>
      <c r="R39" s="1577" t="s">
        <v>8</v>
      </c>
      <c r="S39" s="1578">
        <f t="shared" si="10"/>
        <v>100</v>
      </c>
      <c r="T39" s="1577" t="s">
        <v>8</v>
      </c>
      <c r="U39" s="1578">
        <f t="shared" si="11"/>
        <v>100</v>
      </c>
      <c r="V39" s="1577" t="s">
        <v>8</v>
      </c>
      <c r="W39" s="1578">
        <f t="shared" si="12"/>
        <v>100</v>
      </c>
      <c r="X39" s="1571"/>
      <c r="Y39" s="3384"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4"/>
      <c r="Q40" s="1576">
        <f t="shared" si="14"/>
        <v>111</v>
      </c>
      <c r="R40" s="1577" t="s">
        <v>8</v>
      </c>
      <c r="S40" s="1578">
        <f t="shared" si="10"/>
        <v>100</v>
      </c>
      <c r="T40" s="1577" t="s">
        <v>8</v>
      </c>
      <c r="U40" s="1578">
        <f t="shared" si="11"/>
        <v>100</v>
      </c>
      <c r="V40" s="1577" t="s">
        <v>8</v>
      </c>
      <c r="W40" s="1578">
        <f t="shared" si="12"/>
        <v>100</v>
      </c>
      <c r="X40" s="1571"/>
      <c r="Y40" s="3384"/>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4"/>
      <c r="Q41" s="1576">
        <f t="shared" si="14"/>
        <v>111</v>
      </c>
      <c r="R41" s="1577" t="s">
        <v>8</v>
      </c>
      <c r="S41" s="1578">
        <f t="shared" si="10"/>
        <v>100</v>
      </c>
      <c r="T41" s="1577" t="s">
        <v>8</v>
      </c>
      <c r="U41" s="1578">
        <f t="shared" si="11"/>
        <v>100</v>
      </c>
      <c r="V41" s="1577" t="s">
        <v>8</v>
      </c>
      <c r="W41" s="1578">
        <f t="shared" si="12"/>
        <v>100</v>
      </c>
      <c r="X41" s="1571"/>
      <c r="Y41" s="3384"/>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4"/>
      <c r="Q42" s="1576">
        <f t="shared" si="14"/>
        <v>111</v>
      </c>
      <c r="R42" s="1581" t="s">
        <v>8</v>
      </c>
      <c r="S42" s="1582">
        <f t="shared" si="10"/>
        <v>100</v>
      </c>
      <c r="T42" s="1581" t="s">
        <v>8</v>
      </c>
      <c r="U42" s="1582">
        <f t="shared" si="11"/>
        <v>100</v>
      </c>
      <c r="V42" s="1581" t="s">
        <v>8</v>
      </c>
      <c r="W42" s="1582">
        <f t="shared" si="12"/>
        <v>100</v>
      </c>
      <c r="X42" s="1583"/>
      <c r="Y42" s="3384"/>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49"/>
      <c r="M43" s="2139"/>
      <c r="N43" s="2139"/>
      <c r="O43" s="2150"/>
      <c r="P43" s="3379" t="str">
        <f>A43</f>
        <v>成交单价</v>
      </c>
      <c r="Q43" s="3379"/>
      <c r="R43" s="3393">
        <f>E43</f>
        <v>0</v>
      </c>
      <c r="S43" s="3393"/>
      <c r="T43" s="3393">
        <f>G43</f>
        <v>0</v>
      </c>
      <c r="U43" s="3393"/>
      <c r="V43" s="3393">
        <f>I43</f>
        <v>0</v>
      </c>
      <c r="W43" s="3393"/>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79" t="str">
        <f>A44</f>
        <v>比较价格（元/平方米）</v>
      </c>
      <c r="Q44" s="3379"/>
      <c r="R44" s="3404" t="e">
        <f>ROUND(PRODUCT(R43,AA9:AA42),0)</f>
        <v>#DIV/0!</v>
      </c>
      <c r="S44" s="3404"/>
      <c r="T44" s="3404" t="e">
        <f>ROUND(PRODUCT(T43,AB9:AB42),0)</f>
        <v>#DIV/0!</v>
      </c>
      <c r="U44" s="3404"/>
      <c r="V44" s="3404" t="e">
        <f>ROUND(PRODUCT(V43,AC9:AC42),0)</f>
        <v>#DIV/0!</v>
      </c>
      <c r="W44" s="3404"/>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49"/>
      <c r="M45" s="2139"/>
      <c r="N45" s="2139"/>
      <c r="O45" s="2150"/>
      <c r="P45" s="3401" t="str">
        <f>A45</f>
        <v>估价对象XX用房的比较价格（楼面单价，元/平方米）</v>
      </c>
      <c r="Q45" s="3402"/>
      <c r="R45" s="3403" t="e">
        <f>ROUND(AVERAGE(R44:V44),0)</f>
        <v>#DIV/0!</v>
      </c>
      <c r="S45" s="3403"/>
      <c r="T45" s="3403"/>
      <c r="U45" s="3403"/>
      <c r="V45" s="3403"/>
      <c r="W45" s="3403"/>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05" t="s">
        <v>2286</v>
      </c>
      <c r="H52" s="3406"/>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14309.68</v>
      </c>
      <c r="F53" s="1955" t="e">
        <f t="shared" ref="F53:F62" si="15">ROUND(B53*E53/10000,0)</f>
        <v>#DIV/0!</v>
      </c>
      <c r="G53" s="3407"/>
      <c r="H53" s="3408"/>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09"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09"/>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09"/>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09"/>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2656</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2769</v>
      </c>
      <c r="S1" s="2967" t="s">
        <v>2770</v>
      </c>
      <c r="T1" s="2967" t="s">
        <v>2791</v>
      </c>
      <c r="U1" s="2967" t="s">
        <v>2792</v>
      </c>
      <c r="V1" s="2967" t="s">
        <v>2793</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2940</v>
      </c>
      <c r="G3" s="1042">
        <f>IF(F3="宗地容积率",'数据-汇总表'!I4,IF(F3="估价对象容积率",'数据-汇总表'!I6,'数据-汇总表'!I7))</f>
        <v>1.85</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17"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2772</v>
      </c>
      <c r="X7" s="2958">
        <f>G2</f>
        <v>0</v>
      </c>
      <c r="Y7" s="2958" t="s">
        <v>2773</v>
      </c>
      <c r="Z7" s="2959">
        <f>G3</f>
        <v>1.85</v>
      </c>
      <c r="AA7" s="2197"/>
      <c r="AB7" s="2197"/>
      <c r="AC7" s="2198"/>
      <c r="AD7" s="2960"/>
      <c r="AE7" s="2960"/>
      <c r="AF7" s="2960"/>
      <c r="AG7" s="2960"/>
      <c r="AH7" s="2960"/>
      <c r="AI7" s="2960"/>
      <c r="AJ7" s="2961"/>
    </row>
    <row r="8" spans="1:39" ht="15">
      <c r="A8" s="3418"/>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27" t="s">
        <v>2790</v>
      </c>
      <c r="X8" s="3428"/>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18"/>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26" t="s">
        <v>2786</v>
      </c>
      <c r="X9" s="2962" t="s">
        <v>2787</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18"/>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26"/>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18"/>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26" t="s">
        <v>2788</v>
      </c>
      <c r="X11" s="1051" t="s">
        <v>2773</v>
      </c>
      <c r="Y11" s="1657">
        <f>$G$3</f>
        <v>1.85</v>
      </c>
      <c r="Z11" s="1657">
        <f t="shared" ref="Z11:AJ11" si="3">$G$3</f>
        <v>1.85</v>
      </c>
      <c r="AA11" s="1657">
        <f t="shared" si="3"/>
        <v>1.85</v>
      </c>
      <c r="AB11" s="1657">
        <f t="shared" si="3"/>
        <v>1.85</v>
      </c>
      <c r="AC11" s="1657">
        <f t="shared" si="3"/>
        <v>1.85</v>
      </c>
      <c r="AD11" s="1657">
        <f t="shared" si="3"/>
        <v>1.85</v>
      </c>
      <c r="AE11" s="1657">
        <f t="shared" si="3"/>
        <v>1.85</v>
      </c>
      <c r="AF11" s="1657">
        <f t="shared" si="3"/>
        <v>1.85</v>
      </c>
      <c r="AG11" s="1657">
        <f t="shared" si="3"/>
        <v>1.85</v>
      </c>
      <c r="AH11" s="1657">
        <f t="shared" si="3"/>
        <v>1.85</v>
      </c>
      <c r="AI11" s="1657">
        <f t="shared" si="3"/>
        <v>1.85</v>
      </c>
      <c r="AJ11" s="1657">
        <f t="shared" si="3"/>
        <v>1.85</v>
      </c>
    </row>
    <row r="12" spans="1:39" ht="25.5" thickBot="1">
      <c r="A12" s="3417"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26"/>
      <c r="X12" s="2965" t="s">
        <v>2789</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19"/>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26"/>
      <c r="X13" s="2965"/>
      <c r="Y13" s="2964">
        <f>(-0.163*(Y12^2)-0.59*Y12+7617)*(10^(-4))/Y11</f>
        <v>0.41172972972972971</v>
      </c>
      <c r="Z13" s="2964">
        <f t="shared" ref="Z13:AJ13" si="5">(-0.163*(Z12^2)-0.59*Z12+7617)*(10^(-4))/Z11</f>
        <v>0.41172972972972971</v>
      </c>
      <c r="AA13" s="2964">
        <f t="shared" si="5"/>
        <v>0.41172972972972971</v>
      </c>
      <c r="AB13" s="2964">
        <f t="shared" si="5"/>
        <v>0.41172972972972971</v>
      </c>
      <c r="AC13" s="2964">
        <f t="shared" si="5"/>
        <v>0.41172972972972971</v>
      </c>
      <c r="AD13" s="2964">
        <f t="shared" si="5"/>
        <v>0.41172972972972971</v>
      </c>
      <c r="AE13" s="2964">
        <f t="shared" si="5"/>
        <v>0.41172972972972971</v>
      </c>
      <c r="AF13" s="2964">
        <f t="shared" si="5"/>
        <v>0.41172972972972971</v>
      </c>
      <c r="AG13" s="2964">
        <f t="shared" si="5"/>
        <v>0.41172972972972971</v>
      </c>
      <c r="AH13" s="2964">
        <f t="shared" si="5"/>
        <v>0.41172972972972971</v>
      </c>
      <c r="AI13" s="2964">
        <f t="shared" si="5"/>
        <v>0.41172972972972971</v>
      </c>
      <c r="AJ13" s="2964">
        <f t="shared" si="5"/>
        <v>0.41172972972972971</v>
      </c>
    </row>
    <row r="14" spans="1:39" ht="12.75" customHeight="1" thickBot="1">
      <c r="A14" s="3419"/>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20"/>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17"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18"/>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2941</v>
      </c>
      <c r="I19" s="2815" t="str">
        <f>IF(H19="季度增幅（自定义）",SUMIF(N21:N24,E2,O21:O24),"")</f>
        <v/>
      </c>
      <c r="J19" s="1475"/>
      <c r="K19" s="1485"/>
      <c r="L19" s="3071" t="s">
        <v>2848</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2849</v>
      </c>
      <c r="M20" s="3074">
        <f>ROUND(SUMPRODUCT((地价!A5:A20=YEAR(G19)&amp;"-"&amp;ROUNDUP(MONTH(G19)/3,0))*(地价!B2:F2=E2)*(地价!B5:F20)),0)</f>
        <v>0</v>
      </c>
      <c r="N20" s="2820" t="s">
        <v>2652</v>
      </c>
      <c r="O20" s="2818" t="s">
        <v>2651</v>
      </c>
      <c r="P20" s="2819" t="s">
        <v>2657</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2768</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1.9000000000000001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2655</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23" t="s">
        <v>2968</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24"/>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24"/>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25"/>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2943</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2942</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2944</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2942</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2942</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2942</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21" t="s">
        <v>1634</v>
      </c>
      <c r="B90" s="3421"/>
      <c r="C90" s="3421"/>
      <c r="D90" s="3421"/>
      <c r="E90" s="3421"/>
      <c r="F90" s="3421"/>
      <c r="G90" s="3421"/>
      <c r="H90" s="3421"/>
      <c r="I90" s="3421"/>
      <c r="J90" s="3421"/>
      <c r="K90" s="2479"/>
      <c r="L90" s="2479"/>
      <c r="M90" s="2479"/>
      <c r="N90" s="2479"/>
    </row>
    <row r="91" spans="1:40">
      <c r="A91" s="3422" t="s">
        <v>1444</v>
      </c>
      <c r="B91" s="3422" t="s">
        <v>1635</v>
      </c>
      <c r="C91" s="1143" t="s">
        <v>1636</v>
      </c>
      <c r="D91" s="1144"/>
      <c r="E91" s="1144"/>
      <c r="F91" s="1144"/>
      <c r="G91" s="1144"/>
      <c r="H91" s="1144"/>
      <c r="I91" s="1144"/>
      <c r="J91" s="1145"/>
      <c r="K91" s="1137"/>
      <c r="L91" s="1137"/>
      <c r="M91" s="1137"/>
      <c r="N91" s="1137"/>
    </row>
    <row r="92" spans="1:40">
      <c r="A92" s="3422"/>
      <c r="B92" s="3422"/>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29"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0"/>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9" t="s">
        <v>1638</v>
      </c>
      <c r="B101" s="1150" t="s">
        <v>906</v>
      </c>
      <c r="C101" s="1151">
        <f>$G$3</f>
        <v>1.85</v>
      </c>
      <c r="D101" s="1151">
        <f t="shared" ref="D101:N101" si="31">$G$3</f>
        <v>1.85</v>
      </c>
      <c r="E101" s="1151">
        <f t="shared" si="31"/>
        <v>1.85</v>
      </c>
      <c r="F101" s="1151">
        <f t="shared" si="31"/>
        <v>1.85</v>
      </c>
      <c r="G101" s="1151">
        <f t="shared" si="31"/>
        <v>1.85</v>
      </c>
      <c r="H101" s="1151">
        <f t="shared" si="31"/>
        <v>1.85</v>
      </c>
      <c r="I101" s="1151">
        <f t="shared" si="31"/>
        <v>1.85</v>
      </c>
      <c r="J101" s="1151">
        <f t="shared" si="31"/>
        <v>1.85</v>
      </c>
      <c r="K101" s="1151">
        <f t="shared" si="31"/>
        <v>1.85</v>
      </c>
      <c r="L101" s="1151">
        <f t="shared" si="31"/>
        <v>1.85</v>
      </c>
      <c r="M101" s="1151">
        <f t="shared" si="31"/>
        <v>1.85</v>
      </c>
      <c r="N101" s="1151">
        <f t="shared" si="31"/>
        <v>1.85</v>
      </c>
    </row>
    <row r="102" spans="1:14">
      <c r="A102" s="3430"/>
      <c r="B102" s="1146">
        <v>1</v>
      </c>
      <c r="C102" s="1147">
        <f>1.9362/C101</f>
        <v>1.0465945945945945</v>
      </c>
      <c r="D102" s="1147">
        <f>1.9362/D101</f>
        <v>1.0465945945945945</v>
      </c>
      <c r="E102" s="1147">
        <f>1.8629/E101</f>
        <v>1.0069729729729728</v>
      </c>
      <c r="F102" s="1147">
        <f>1.8629/F101</f>
        <v>1.0069729729729728</v>
      </c>
      <c r="G102" s="1147">
        <f>1.8629/G101</f>
        <v>1.0069729729729728</v>
      </c>
      <c r="H102" s="1147">
        <f>1.8629/H101</f>
        <v>1.0069729729729728</v>
      </c>
      <c r="I102" s="1147">
        <f>1.8629/I101</f>
        <v>1.0069729729729728</v>
      </c>
      <c r="J102" s="1147">
        <f>1.942/J101</f>
        <v>1.0497297297297297</v>
      </c>
      <c r="K102" s="1147">
        <f>1.942/K101</f>
        <v>1.0497297297297297</v>
      </c>
      <c r="L102" s="1147">
        <f>1.942/L101</f>
        <v>1.0497297297297297</v>
      </c>
      <c r="M102" s="1147">
        <f>1.942/M101</f>
        <v>1.0497297297297297</v>
      </c>
      <c r="N102" s="1147">
        <f>1.942/N101</f>
        <v>1.0497297297297297</v>
      </c>
    </row>
    <row r="103" spans="1:14">
      <c r="A103" s="3430"/>
      <c r="B103" s="1146">
        <v>2</v>
      </c>
      <c r="C103" s="1147">
        <f>1.4198/C101</f>
        <v>0.76745945945945937</v>
      </c>
      <c r="D103" s="1147">
        <f>1.4198/D101</f>
        <v>0.76745945945945937</v>
      </c>
      <c r="E103" s="1147">
        <f>1.3372/E101</f>
        <v>0.72281081081081078</v>
      </c>
      <c r="F103" s="1147">
        <f>1.3372/F101</f>
        <v>0.72281081081081078</v>
      </c>
      <c r="G103" s="1147">
        <f>1.3372/G101</f>
        <v>0.72281081081081078</v>
      </c>
      <c r="H103" s="1147">
        <f>1.3372/H101</f>
        <v>0.72281081081081078</v>
      </c>
      <c r="I103" s="1147">
        <f>1.3372/I101</f>
        <v>0.72281081081081078</v>
      </c>
      <c r="J103" s="1147">
        <f>1.2799/J101</f>
        <v>0.69183783783783781</v>
      </c>
      <c r="K103" s="1147">
        <f>1.2799/K101</f>
        <v>0.69183783783783781</v>
      </c>
      <c r="L103" s="1147">
        <f>1.2799/L101</f>
        <v>0.69183783783783781</v>
      </c>
      <c r="M103" s="1147">
        <f>1.2799/M101</f>
        <v>0.69183783783783781</v>
      </c>
      <c r="N103" s="1147">
        <f>1.2799/N101</f>
        <v>0.69183783783783781</v>
      </c>
    </row>
    <row r="104" spans="1:14">
      <c r="A104" s="3430"/>
      <c r="B104" s="1146">
        <v>3</v>
      </c>
      <c r="C104" s="1147">
        <f>1.1594/C101</f>
        <v>0.62670270270270267</v>
      </c>
      <c r="D104" s="1147">
        <f>1.1594/D101</f>
        <v>0.62670270270270267</v>
      </c>
      <c r="E104" s="1147">
        <f>1.0788/E101</f>
        <v>0.58313513513513515</v>
      </c>
      <c r="F104" s="1147">
        <f>1.0788/F101</f>
        <v>0.58313513513513515</v>
      </c>
      <c r="G104" s="1147">
        <f>1.0788/G101</f>
        <v>0.58313513513513515</v>
      </c>
      <c r="H104" s="1147">
        <f>1.0788/H101</f>
        <v>0.58313513513513515</v>
      </c>
      <c r="I104" s="1147">
        <f>1.0788/I101</f>
        <v>0.58313513513513515</v>
      </c>
      <c r="J104" s="1147">
        <f>1.0072/J101</f>
        <v>0.54443243243243244</v>
      </c>
      <c r="K104" s="1147">
        <f>1.0072/K101</f>
        <v>0.54443243243243244</v>
      </c>
      <c r="L104" s="1147">
        <f>1.0072/L101</f>
        <v>0.54443243243243244</v>
      </c>
      <c r="M104" s="1147">
        <f>1.0072/M101</f>
        <v>0.54443243243243244</v>
      </c>
      <c r="N104" s="1147">
        <f>1.0072/N101</f>
        <v>0.54443243243243244</v>
      </c>
    </row>
    <row r="105" spans="1:14">
      <c r="A105" s="3430"/>
      <c r="B105" s="1146">
        <v>4</v>
      </c>
      <c r="C105" s="1147">
        <f>0.9622/C101</f>
        <v>0.52010810810810815</v>
      </c>
      <c r="D105" s="1147">
        <f>0.9622/D101</f>
        <v>0.52010810810810815</v>
      </c>
      <c r="E105" s="1147">
        <f>0.8656/E101</f>
        <v>0.4678918918918919</v>
      </c>
      <c r="F105" s="1147">
        <f>0.8656/F101</f>
        <v>0.4678918918918919</v>
      </c>
      <c r="G105" s="1147">
        <f>0.8656/G101</f>
        <v>0.4678918918918919</v>
      </c>
      <c r="H105" s="1147">
        <f>0.8656/H101</f>
        <v>0.4678918918918919</v>
      </c>
      <c r="I105" s="1147">
        <f>0.8656/I101</f>
        <v>0.4678918918918919</v>
      </c>
      <c r="J105" s="1147">
        <f>0.7525/J101</f>
        <v>0.40675675675675671</v>
      </c>
      <c r="K105" s="1147">
        <f>0.7525/K101</f>
        <v>0.40675675675675671</v>
      </c>
      <c r="L105" s="1147">
        <f>0.7525/L101</f>
        <v>0.40675675675675671</v>
      </c>
      <c r="M105" s="1147">
        <f>0.7525/M101</f>
        <v>0.40675675675675671</v>
      </c>
      <c r="N105" s="1147">
        <f>0.7525/N101</f>
        <v>0.40675675675675671</v>
      </c>
    </row>
    <row r="106" spans="1:14">
      <c r="A106" s="3430"/>
      <c r="B106" s="1146">
        <v>5</v>
      </c>
      <c r="C106" s="1147">
        <f>0.8417/C101</f>
        <v>0.45497297297297296</v>
      </c>
      <c r="D106" s="1147">
        <f>0.8417/D101</f>
        <v>0.45497297297297296</v>
      </c>
      <c r="E106" s="1147">
        <f>0.7371/E101</f>
        <v>0.39843243243243243</v>
      </c>
      <c r="F106" s="1147">
        <f>0.7371/F101</f>
        <v>0.39843243243243243</v>
      </c>
      <c r="G106" s="1147">
        <f>0.7371/G101</f>
        <v>0.39843243243243243</v>
      </c>
      <c r="H106" s="1147">
        <f>0.7371/H101</f>
        <v>0.39843243243243243</v>
      </c>
      <c r="I106" s="1147">
        <f>0.7371/I101</f>
        <v>0.39843243243243243</v>
      </c>
      <c r="J106" s="1147">
        <f>0.5659/J101</f>
        <v>0.30589189189189187</v>
      </c>
      <c r="K106" s="1147">
        <f>0.5659/K101</f>
        <v>0.30589189189189187</v>
      </c>
      <c r="L106" s="1147">
        <f>0.5659/L101</f>
        <v>0.30589189189189187</v>
      </c>
      <c r="M106" s="1147">
        <f>0.5659/M101</f>
        <v>0.30589189189189187</v>
      </c>
      <c r="N106" s="1147">
        <f>0.5659/N101</f>
        <v>0.30589189189189187</v>
      </c>
    </row>
    <row r="107" spans="1:14">
      <c r="A107" s="3430"/>
      <c r="B107" s="1146">
        <v>6</v>
      </c>
      <c r="C107" s="1147">
        <f>0.7608/C101</f>
        <v>0.41124324324324324</v>
      </c>
      <c r="D107" s="1147">
        <f>0.7608/D101</f>
        <v>0.41124324324324324</v>
      </c>
      <c r="E107" s="1147">
        <f>0.6482/E101</f>
        <v>0.35037837837837837</v>
      </c>
      <c r="F107" s="1147">
        <f>0.6482/F101</f>
        <v>0.35037837837837837</v>
      </c>
      <c r="G107" s="1147">
        <f>0.6482/G101</f>
        <v>0.35037837837837837</v>
      </c>
      <c r="H107" s="1147">
        <f>0.6482/H101</f>
        <v>0.35037837837837837</v>
      </c>
      <c r="I107" s="1147">
        <f>0.6482/I101</f>
        <v>0.35037837837837837</v>
      </c>
      <c r="J107" s="1147">
        <f>0.4525/J101</f>
        <v>0.24459459459459459</v>
      </c>
      <c r="K107" s="1147">
        <f>0.4525/K101</f>
        <v>0.24459459459459459</v>
      </c>
      <c r="L107" s="1147">
        <f>0.4525/L101</f>
        <v>0.24459459459459459</v>
      </c>
      <c r="M107" s="1147">
        <f>0.4525/M101</f>
        <v>0.24459459459459459</v>
      </c>
      <c r="N107" s="1147">
        <f>0.4525/N101</f>
        <v>0.24459459459459459</v>
      </c>
    </row>
    <row r="108" spans="1:14">
      <c r="A108" s="3430"/>
      <c r="B108" s="3432"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1"/>
      <c r="B109" s="3433"/>
      <c r="C109" s="1149">
        <f>(-0.163*(C108^2)-0.59*C108+7617)*(10^(-4))/C101</f>
        <v>0.41091070270270269</v>
      </c>
      <c r="D109" s="1149">
        <f>(-0.163*(D108^2)-0.59*D108+7617)*(10^(-4))/D101</f>
        <v>0.41091070270270269</v>
      </c>
      <c r="E109" s="1149">
        <f>(-0.161*(E108^2)-7.509*E108+6533)*(10^(-4))/E101</f>
        <v>0.34933102702702701</v>
      </c>
      <c r="F109" s="1149">
        <f>(-0.161*(F108^2)-7.509*F108+6533)*(10^(-4))/F101</f>
        <v>0.34933102702702701</v>
      </c>
      <c r="G109" s="1149">
        <f>(-0.161*(G108^2)-7.509*G108+6533)*(10^(-4))/G101</f>
        <v>0.34933102702702701</v>
      </c>
      <c r="H109" s="1149">
        <f>(-0.161*(H108^2)-7.509*H108+6533)*(10^(-4))/H101</f>
        <v>0.34933102702702701</v>
      </c>
      <c r="I109" s="1149">
        <f>(-0.161*(I108^2)-7.509*I108+6533)*(10^(-4))/I101</f>
        <v>0.34933102702702701</v>
      </c>
      <c r="J109" s="1149">
        <f>(-0.214*(J108^2)-21.991*J108+4665)*(10^(-4))/J101</f>
        <v>0.24191221621621622</v>
      </c>
      <c r="K109" s="1149">
        <f>(-0.214*(K108^2)-21.991*K108+4665)*(10^(-4))/K101</f>
        <v>0.24191221621621622</v>
      </c>
      <c r="L109" s="1149">
        <f>(-0.214*(L108^2)-21.991*L108+4665)*(10^(-4))/L101</f>
        <v>0.24191221621621622</v>
      </c>
      <c r="M109" s="1149">
        <f>(-0.214*(M108^2)-21.991*M108+4665)*(10^(-4))/M101</f>
        <v>0.24191221621621622</v>
      </c>
      <c r="N109" s="1149">
        <f>(-0.214*(N108^2)-21.991*N108+4665)*(10^(-4))/N101</f>
        <v>0.24191221621621622</v>
      </c>
    </row>
    <row r="110" spans="1:14">
      <c r="A110" s="3416" t="s">
        <v>1640</v>
      </c>
      <c r="B110" s="3416"/>
      <c r="C110" s="3416"/>
      <c r="D110" s="3416"/>
      <c r="E110" s="3416"/>
      <c r="F110" s="3416"/>
      <c r="G110" s="3416"/>
      <c r="H110" s="3416"/>
      <c r="I110" s="3416"/>
      <c r="J110" s="3416"/>
      <c r="K110" s="2477"/>
      <c r="L110" s="2477"/>
      <c r="M110" s="2477"/>
      <c r="N110" s="2477"/>
    </row>
    <row r="112" spans="1:14" ht="12.75" thickBot="1"/>
    <row r="113" spans="1:13" ht="25.5" thickBot="1">
      <c r="A113" s="1019" t="s">
        <v>896</v>
      </c>
      <c r="B113" s="2480">
        <f>G3</f>
        <v>1.85</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0.91610000000000003</v>
      </c>
      <c r="C115" s="1033">
        <f>B115</f>
        <v>0.91610000000000003</v>
      </c>
      <c r="D115" s="1033">
        <f>ROUND(0.8331-0.0109*B113,4)</f>
        <v>0.81289999999999996</v>
      </c>
      <c r="E115" s="1033">
        <f>D115</f>
        <v>0.81289999999999996</v>
      </c>
      <c r="F115" s="1033">
        <f>E115</f>
        <v>0.81289999999999996</v>
      </c>
      <c r="G115" s="1033">
        <f>F115</f>
        <v>0.81289999999999996</v>
      </c>
      <c r="H115" s="1033">
        <f>G115</f>
        <v>0.81289999999999996</v>
      </c>
      <c r="I115" s="1033">
        <f>ROUND(0.689-0.0155*B113,4)</f>
        <v>0.6603</v>
      </c>
      <c r="J115" s="1033">
        <f t="shared" ref="J115:M118" si="33">I115</f>
        <v>0.6603</v>
      </c>
      <c r="K115" s="1033">
        <f t="shared" si="33"/>
        <v>0.6603</v>
      </c>
      <c r="L115" s="1033">
        <f t="shared" si="33"/>
        <v>0.6603</v>
      </c>
      <c r="M115" s="1034">
        <f t="shared" si="33"/>
        <v>0.6603</v>
      </c>
    </row>
    <row r="116" spans="1:13" ht="12.75">
      <c r="A116" s="1032" t="s">
        <v>901</v>
      </c>
      <c r="B116" s="1033">
        <f>ROUND(0.949-0.012*B113,4)</f>
        <v>0.92679999999999996</v>
      </c>
      <c r="C116" s="1033">
        <f>B116</f>
        <v>0.92679999999999996</v>
      </c>
      <c r="D116" s="1033">
        <f>ROUND(0.8567-0.013*B113,4)</f>
        <v>0.8327</v>
      </c>
      <c r="E116" s="1033">
        <f t="shared" ref="E116:H117" si="34">D116</f>
        <v>0.8327</v>
      </c>
      <c r="F116" s="1033">
        <f t="shared" si="34"/>
        <v>0.8327</v>
      </c>
      <c r="G116" s="1033">
        <f t="shared" si="34"/>
        <v>0.8327</v>
      </c>
      <c r="H116" s="1033">
        <f t="shared" si="34"/>
        <v>0.8327</v>
      </c>
      <c r="I116" s="1033">
        <f>ROUND(0.7694-0.014*B113,4)</f>
        <v>0.74350000000000005</v>
      </c>
      <c r="J116" s="1033">
        <f t="shared" si="33"/>
        <v>0.74350000000000005</v>
      </c>
      <c r="K116" s="1033">
        <f t="shared" si="33"/>
        <v>0.74350000000000005</v>
      </c>
      <c r="L116" s="1033">
        <f t="shared" si="33"/>
        <v>0.74350000000000005</v>
      </c>
      <c r="M116" s="1034">
        <f t="shared" si="33"/>
        <v>0.74350000000000005</v>
      </c>
    </row>
    <row r="117" spans="1:13" ht="12.75">
      <c r="A117" s="1035" t="s">
        <v>902</v>
      </c>
      <c r="B117" s="1033">
        <f>ROUND(0.8808-0.006*B113,4)</f>
        <v>0.86970000000000003</v>
      </c>
      <c r="C117" s="1033">
        <f>B117</f>
        <v>0.86970000000000003</v>
      </c>
      <c r="D117" s="1033">
        <f>ROUND(0.8748-0.008*B113,4)</f>
        <v>0.86</v>
      </c>
      <c r="E117" s="1033">
        <f t="shared" si="34"/>
        <v>0.86</v>
      </c>
      <c r="F117" s="1033">
        <f t="shared" si="34"/>
        <v>0.86</v>
      </c>
      <c r="G117" s="1033">
        <f t="shared" si="34"/>
        <v>0.86</v>
      </c>
      <c r="H117" s="1033">
        <f t="shared" si="34"/>
        <v>0.86</v>
      </c>
      <c r="I117" s="1033">
        <f>ROUND(0.7412-0.0095*B113,4)</f>
        <v>0.72360000000000002</v>
      </c>
      <c r="J117" s="1033">
        <f t="shared" si="33"/>
        <v>0.72360000000000002</v>
      </c>
      <c r="K117" s="1033">
        <f t="shared" si="33"/>
        <v>0.72360000000000002</v>
      </c>
      <c r="L117" s="1033">
        <f t="shared" si="33"/>
        <v>0.72360000000000002</v>
      </c>
      <c r="M117" s="1034">
        <f t="shared" si="33"/>
        <v>0.72360000000000002</v>
      </c>
    </row>
    <row r="118" spans="1:13" ht="13.5" thickBot="1">
      <c r="A118" s="1036" t="s">
        <v>903</v>
      </c>
      <c r="B118" s="1037">
        <f>ROUND(0.7275-0.01*B113,4)</f>
        <v>0.70899999999999996</v>
      </c>
      <c r="C118" s="1037">
        <f>B118</f>
        <v>0.70899999999999996</v>
      </c>
      <c r="D118" s="1037">
        <f>ROUND(0.7043-0.012*B113,4)</f>
        <v>0.68210000000000004</v>
      </c>
      <c r="E118" s="1037">
        <f>D118</f>
        <v>0.68210000000000004</v>
      </c>
      <c r="F118" s="1037">
        <f>E118</f>
        <v>0.68210000000000004</v>
      </c>
      <c r="G118" s="1037">
        <f>ROUND(0.6299-0.0122*B113,4)</f>
        <v>0.60729999999999995</v>
      </c>
      <c r="H118" s="1037">
        <f>G118</f>
        <v>0.60729999999999995</v>
      </c>
      <c r="I118" s="1037">
        <f>ROUND(0.5667-0.0136*B113,4)</f>
        <v>0.54149999999999998</v>
      </c>
      <c r="J118" s="1037">
        <f t="shared" si="33"/>
        <v>0.54149999999999998</v>
      </c>
      <c r="K118" s="1037">
        <f t="shared" si="33"/>
        <v>0.54149999999999998</v>
      </c>
      <c r="L118" s="1037">
        <f t="shared" si="33"/>
        <v>0.54149999999999998</v>
      </c>
      <c r="M118" s="1038">
        <f t="shared" si="33"/>
        <v>0.54149999999999998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22" t="s">
        <v>1008</v>
      </c>
      <c r="B18" s="1157" t="s">
        <v>1447</v>
      </c>
      <c r="C18" s="1134" t="s">
        <v>1448</v>
      </c>
      <c r="D18" s="1135"/>
      <c r="E18" s="1157">
        <v>1</v>
      </c>
      <c r="F18" s="1136" t="s">
        <v>1449</v>
      </c>
      <c r="G18" s="1137"/>
      <c r="H18" s="1108"/>
      <c r="I18" s="1108"/>
    </row>
    <row r="19" spans="1:9" s="1603" customFormat="1" ht="19.5" customHeight="1">
      <c r="A19" s="3422"/>
      <c r="B19" s="3422" t="s">
        <v>1450</v>
      </c>
      <c r="C19" s="1134" t="s">
        <v>1451</v>
      </c>
      <c r="D19" s="1135"/>
      <c r="E19" s="1157">
        <v>0.9</v>
      </c>
      <c r="F19" s="1136" t="s">
        <v>1452</v>
      </c>
      <c r="G19" s="1137"/>
      <c r="H19" s="1108"/>
      <c r="I19" s="1108"/>
    </row>
    <row r="20" spans="1:9" s="1603" customFormat="1" ht="19.5" customHeight="1">
      <c r="A20" s="3422"/>
      <c r="B20" s="3422"/>
      <c r="C20" s="1134" t="s">
        <v>1453</v>
      </c>
      <c r="D20" s="1135"/>
      <c r="E20" s="1157">
        <v>1.1000000000000001</v>
      </c>
      <c r="F20" s="1136" t="s">
        <v>1454</v>
      </c>
      <c r="G20" s="1137"/>
      <c r="H20" s="1108"/>
      <c r="I20" s="1108"/>
    </row>
    <row r="21" spans="1:9" s="1603" customFormat="1" ht="19.5" customHeight="1">
      <c r="A21" s="3422"/>
      <c r="B21" s="3422"/>
      <c r="C21" s="1134" t="s">
        <v>1455</v>
      </c>
      <c r="D21" s="1135"/>
      <c r="E21" s="1157">
        <v>0.8</v>
      </c>
      <c r="F21" s="1136" t="s">
        <v>1456</v>
      </c>
      <c r="G21" s="1137"/>
      <c r="H21" s="1108"/>
      <c r="I21" s="1108"/>
    </row>
    <row r="22" spans="1:9" s="1603" customFormat="1" ht="19.5" customHeight="1">
      <c r="A22" s="3422"/>
      <c r="B22" s="3422"/>
      <c r="C22" s="1134" t="s">
        <v>1457</v>
      </c>
      <c r="D22" s="1135"/>
      <c r="E22" s="1157">
        <v>0.5</v>
      </c>
      <c r="F22" s="1136"/>
      <c r="G22" s="1137"/>
      <c r="H22" s="1108"/>
      <c r="I22" s="1108"/>
    </row>
    <row r="23" spans="1:9" s="1603" customFormat="1" ht="19.5" customHeight="1">
      <c r="A23" s="3422" t="s">
        <v>1030</v>
      </c>
      <c r="B23" s="1157" t="s">
        <v>1447</v>
      </c>
      <c r="C23" s="1134" t="s">
        <v>1458</v>
      </c>
      <c r="D23" s="1135"/>
      <c r="E23" s="1157">
        <v>1</v>
      </c>
      <c r="F23" s="1136" t="s">
        <v>1459</v>
      </c>
      <c r="G23" s="1137"/>
      <c r="H23" s="1108"/>
      <c r="I23" s="1108"/>
    </row>
    <row r="24" spans="1:9" s="1603" customFormat="1" ht="19.5" customHeight="1">
      <c r="A24" s="3422"/>
      <c r="B24" s="3422" t="s">
        <v>1450</v>
      </c>
      <c r="C24" s="1134" t="s">
        <v>1460</v>
      </c>
      <c r="D24" s="1135"/>
      <c r="E24" s="1157">
        <v>0.5</v>
      </c>
      <c r="F24" s="1136"/>
      <c r="G24" s="1137"/>
      <c r="H24" s="1108"/>
      <c r="I24" s="1108"/>
    </row>
    <row r="25" spans="1:9" s="1603" customFormat="1" ht="19.5" customHeight="1">
      <c r="A25" s="3422"/>
      <c r="B25" s="3422"/>
      <c r="C25" s="1134" t="s">
        <v>1461</v>
      </c>
      <c r="D25" s="1135"/>
      <c r="E25" s="1157">
        <v>1.1000000000000001</v>
      </c>
      <c r="F25" s="1136"/>
      <c r="G25" s="1137"/>
      <c r="H25" s="1108"/>
      <c r="I25" s="1108"/>
    </row>
    <row r="26" spans="1:9" s="1603" customFormat="1" ht="19.5" customHeight="1">
      <c r="A26" s="3422"/>
      <c r="B26" s="3422"/>
      <c r="C26" s="1134" t="s">
        <v>1462</v>
      </c>
      <c r="D26" s="1135"/>
      <c r="E26" s="1157">
        <v>1.1000000000000001</v>
      </c>
      <c r="F26" s="1136"/>
      <c r="G26" s="1137"/>
      <c r="H26" s="1108"/>
      <c r="I26" s="1108"/>
    </row>
    <row r="27" spans="1:9" s="1603" customFormat="1" ht="19.5" customHeight="1">
      <c r="A27" s="3422"/>
      <c r="B27" s="3422"/>
      <c r="C27" s="1134" t="s">
        <v>1463</v>
      </c>
      <c r="D27" s="1135"/>
      <c r="E27" s="1157">
        <v>0.9</v>
      </c>
      <c r="F27" s="1136" t="s">
        <v>1464</v>
      </c>
      <c r="G27" s="1137"/>
      <c r="H27" s="1108"/>
      <c r="I27" s="1108"/>
    </row>
    <row r="28" spans="1:9" s="1603" customFormat="1" ht="19.5" customHeight="1">
      <c r="A28" s="3422"/>
      <c r="B28" s="3422"/>
      <c r="C28" s="1134" t="s">
        <v>1465</v>
      </c>
      <c r="D28" s="1135"/>
      <c r="E28" s="1157">
        <v>0.9</v>
      </c>
      <c r="F28" s="1136" t="s">
        <v>1466</v>
      </c>
      <c r="G28" s="1137"/>
      <c r="H28" s="1108"/>
      <c r="I28" s="1108"/>
    </row>
    <row r="29" spans="1:9" s="1603" customFormat="1" ht="19.5" customHeight="1">
      <c r="A29" s="3422"/>
      <c r="B29" s="3422"/>
      <c r="C29" s="1134" t="s">
        <v>1467</v>
      </c>
      <c r="D29" s="1135"/>
      <c r="E29" s="1157">
        <v>0.9</v>
      </c>
      <c r="F29" s="1136" t="s">
        <v>1468</v>
      </c>
      <c r="G29" s="1137"/>
      <c r="H29" s="1108"/>
      <c r="I29" s="1108"/>
    </row>
    <row r="30" spans="1:9" s="1603" customFormat="1" ht="19.5" customHeight="1">
      <c r="A30" s="3422"/>
      <c r="B30" s="3422"/>
      <c r="C30" s="1134" t="s">
        <v>1469</v>
      </c>
      <c r="D30" s="1135"/>
      <c r="E30" s="1157">
        <v>0.9</v>
      </c>
      <c r="F30" s="1136" t="s">
        <v>1470</v>
      </c>
      <c r="G30" s="1137"/>
      <c r="H30" s="1108"/>
      <c r="I30" s="1108"/>
    </row>
    <row r="31" spans="1:9" s="1603" customFormat="1" ht="19.5" customHeight="1">
      <c r="A31" s="3422"/>
      <c r="B31" s="3422"/>
      <c r="C31" s="1134" t="s">
        <v>1471</v>
      </c>
      <c r="D31" s="1135"/>
      <c r="E31" s="1157">
        <v>0.8</v>
      </c>
      <c r="F31" s="1136" t="s">
        <v>1472</v>
      </c>
      <c r="G31" s="1137"/>
      <c r="H31" s="1108"/>
      <c r="I31" s="1108"/>
    </row>
    <row r="32" spans="1:9" s="1603" customFormat="1" ht="19.5" customHeight="1">
      <c r="A32" s="3422"/>
      <c r="B32" s="3422"/>
      <c r="C32" s="1134" t="s">
        <v>1473</v>
      </c>
      <c r="D32" s="1135"/>
      <c r="E32" s="1157">
        <v>0.8</v>
      </c>
      <c r="F32" s="1136" t="s">
        <v>1474</v>
      </c>
      <c r="G32" s="1137"/>
      <c r="H32" s="1108"/>
      <c r="I32" s="1108"/>
    </row>
    <row r="33" spans="1:9" s="1603" customFormat="1" ht="19.5" customHeight="1">
      <c r="A33" s="3422" t="s">
        <v>1475</v>
      </c>
      <c r="B33" s="1157" t="s">
        <v>1447</v>
      </c>
      <c r="C33" s="1134" t="s">
        <v>1476</v>
      </c>
      <c r="D33" s="1135"/>
      <c r="E33" s="1157">
        <v>1</v>
      </c>
      <c r="F33" s="1136" t="s">
        <v>1477</v>
      </c>
      <c r="G33" s="1137"/>
      <c r="H33" s="1108"/>
      <c r="I33" s="1108"/>
    </row>
    <row r="34" spans="1:9" s="1603" customFormat="1" ht="19.5" customHeight="1">
      <c r="A34" s="3422"/>
      <c r="B34" s="1157" t="s">
        <v>1450</v>
      </c>
      <c r="C34" s="1134" t="s">
        <v>1478</v>
      </c>
      <c r="D34" s="1135"/>
      <c r="E34" s="1157">
        <v>1.5</v>
      </c>
      <c r="F34" s="1136" t="s">
        <v>1479</v>
      </c>
      <c r="G34" s="1137"/>
      <c r="H34" s="1108"/>
      <c r="I34" s="1108"/>
    </row>
    <row r="35" spans="1:9" s="1603" customFormat="1" ht="19.5" customHeight="1">
      <c r="A35" s="3422" t="s">
        <v>1433</v>
      </c>
      <c r="B35" s="1157" t="s">
        <v>1447</v>
      </c>
      <c r="C35" s="1134" t="s">
        <v>1480</v>
      </c>
      <c r="D35" s="1135"/>
      <c r="E35" s="1157">
        <v>1</v>
      </c>
      <c r="F35" s="1136" t="s">
        <v>1481</v>
      </c>
      <c r="G35" s="1137"/>
      <c r="H35" s="1108"/>
      <c r="I35" s="1108"/>
    </row>
    <row r="36" spans="1:9" s="1603" customFormat="1" ht="19.5" customHeight="1">
      <c r="A36" s="3422"/>
      <c r="B36" s="3422" t="s">
        <v>1450</v>
      </c>
      <c r="C36" s="1134" t="s">
        <v>1482</v>
      </c>
      <c r="D36" s="1135"/>
      <c r="E36" s="1157">
        <v>1</v>
      </c>
      <c r="F36" s="1136" t="s">
        <v>1483</v>
      </c>
      <c r="G36" s="1137"/>
      <c r="H36" s="1108"/>
      <c r="I36" s="1108"/>
    </row>
    <row r="37" spans="1:9" s="1603" customFormat="1" ht="19.5" customHeight="1">
      <c r="A37" s="3422"/>
      <c r="B37" s="3422"/>
      <c r="C37" s="1134" t="s">
        <v>1484</v>
      </c>
      <c r="D37" s="1135"/>
      <c r="E37" s="1157">
        <v>1.5</v>
      </c>
      <c r="F37" s="1136" t="s">
        <v>1485</v>
      </c>
      <c r="G37" s="1137"/>
      <c r="H37" s="1108"/>
      <c r="I37" s="1108"/>
    </row>
    <row r="38" spans="1:9" s="1603" customFormat="1" ht="19.5" customHeight="1">
      <c r="A38" s="3422"/>
      <c r="B38" s="3422"/>
      <c r="C38" s="1134" t="s">
        <v>1486</v>
      </c>
      <c r="D38" s="1135"/>
      <c r="E38" s="1157">
        <v>1</v>
      </c>
      <c r="F38" s="1136" t="s">
        <v>1487</v>
      </c>
      <c r="G38" s="1137"/>
      <c r="H38" s="1108"/>
      <c r="I38" s="1108"/>
    </row>
    <row r="39" spans="1:9" s="1603" customFormat="1" ht="19.5" customHeight="1">
      <c r="A39" s="3422"/>
      <c r="B39" s="3422"/>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22" t="s">
        <v>1502</v>
      </c>
      <c r="C61" s="1071" t="s">
        <v>1503</v>
      </c>
      <c r="D61" s="1071" t="s">
        <v>1504</v>
      </c>
      <c r="E61" s="1142">
        <v>0.5</v>
      </c>
      <c r="F61" s="1157">
        <v>80</v>
      </c>
      <c r="H61" s="1108">
        <f>SUMIF(C59:C119,基准地价!C8,E59:E119)</f>
        <v>0</v>
      </c>
    </row>
    <row r="62" spans="1:8" s="1108" customFormat="1" ht="24">
      <c r="A62" s="1157">
        <v>2</v>
      </c>
      <c r="B62" s="3422"/>
      <c r="C62" s="1071" t="s">
        <v>1505</v>
      </c>
      <c r="D62" s="1071" t="s">
        <v>1506</v>
      </c>
      <c r="E62" s="1142">
        <v>0.5</v>
      </c>
      <c r="F62" s="1157">
        <v>80</v>
      </c>
    </row>
    <row r="63" spans="1:8" s="1108" customFormat="1" ht="36">
      <c r="A63" s="1157">
        <v>3</v>
      </c>
      <c r="B63" s="3422"/>
      <c r="C63" s="1071" t="s">
        <v>1507</v>
      </c>
      <c r="D63" s="1071" t="s">
        <v>1508</v>
      </c>
      <c r="E63" s="1142">
        <v>0.5</v>
      </c>
      <c r="F63" s="1157">
        <v>80</v>
      </c>
    </row>
    <row r="64" spans="1:8" s="1108" customFormat="1" ht="36">
      <c r="A64" s="1157">
        <v>4</v>
      </c>
      <c r="B64" s="3422"/>
      <c r="C64" s="1071" t="s">
        <v>1509</v>
      </c>
      <c r="D64" s="1071" t="s">
        <v>1510</v>
      </c>
      <c r="E64" s="1142">
        <v>0.4</v>
      </c>
      <c r="F64" s="1157">
        <v>60</v>
      </c>
    </row>
    <row r="65" spans="1:6" s="1108" customFormat="1" ht="36">
      <c r="A65" s="1157">
        <v>5</v>
      </c>
      <c r="B65" s="3422"/>
      <c r="C65" s="1071" t="s">
        <v>1511</v>
      </c>
      <c r="D65" s="1071" t="s">
        <v>1512</v>
      </c>
      <c r="E65" s="1142">
        <v>0.2</v>
      </c>
      <c r="F65" s="1157">
        <v>30</v>
      </c>
    </row>
    <row r="66" spans="1:6" s="1108" customFormat="1" ht="36">
      <c r="A66" s="1157">
        <v>6</v>
      </c>
      <c r="B66" s="3422"/>
      <c r="C66" s="1071" t="s">
        <v>1513</v>
      </c>
      <c r="D66" s="1071" t="s">
        <v>1514</v>
      </c>
      <c r="E66" s="1142">
        <v>0.3</v>
      </c>
      <c r="F66" s="1157">
        <v>50</v>
      </c>
    </row>
    <row r="67" spans="1:6" s="1108" customFormat="1" ht="36">
      <c r="A67" s="1157">
        <v>7</v>
      </c>
      <c r="B67" s="3422"/>
      <c r="C67" s="1071" t="s">
        <v>1515</v>
      </c>
      <c r="D67" s="1071" t="s">
        <v>1516</v>
      </c>
      <c r="E67" s="1142">
        <v>0.2</v>
      </c>
      <c r="F67" s="1157">
        <v>30</v>
      </c>
    </row>
    <row r="68" spans="1:6" s="1108" customFormat="1" ht="36">
      <c r="A68" s="1157">
        <v>8</v>
      </c>
      <c r="B68" s="3422"/>
      <c r="C68" s="1071" t="s">
        <v>1517</v>
      </c>
      <c r="D68" s="1071" t="s">
        <v>1518</v>
      </c>
      <c r="E68" s="1142">
        <v>0.2</v>
      </c>
      <c r="F68" s="1157">
        <v>30</v>
      </c>
    </row>
    <row r="69" spans="1:6" s="1108" customFormat="1" ht="36">
      <c r="A69" s="1157">
        <v>9</v>
      </c>
      <c r="B69" s="3422"/>
      <c r="C69" s="1071" t="s">
        <v>1519</v>
      </c>
      <c r="D69" s="1071" t="s">
        <v>1520</v>
      </c>
      <c r="E69" s="1142">
        <v>0.2</v>
      </c>
      <c r="F69" s="1157">
        <v>30</v>
      </c>
    </row>
    <row r="70" spans="1:6" s="1108" customFormat="1" ht="48">
      <c r="A70" s="1157">
        <v>10</v>
      </c>
      <c r="B70" s="3422"/>
      <c r="C70" s="1071" t="s">
        <v>1521</v>
      </c>
      <c r="D70" s="1071" t="s">
        <v>1522</v>
      </c>
      <c r="E70" s="1142">
        <v>0.2</v>
      </c>
      <c r="F70" s="1157">
        <v>30</v>
      </c>
    </row>
    <row r="71" spans="1:6" s="1108" customFormat="1" ht="48">
      <c r="A71" s="1157">
        <v>11</v>
      </c>
      <c r="B71" s="3422"/>
      <c r="C71" s="1071" t="s">
        <v>1523</v>
      </c>
      <c r="D71" s="1071" t="s">
        <v>1524</v>
      </c>
      <c r="E71" s="1142">
        <v>0.2</v>
      </c>
      <c r="F71" s="1157">
        <v>30</v>
      </c>
    </row>
    <row r="72" spans="1:6" s="1108" customFormat="1" ht="36">
      <c r="A72" s="1157">
        <v>12</v>
      </c>
      <c r="B72" s="3422"/>
      <c r="C72" s="1071" t="s">
        <v>1525</v>
      </c>
      <c r="D72" s="1071" t="s">
        <v>1526</v>
      </c>
      <c r="E72" s="1142">
        <v>0.5</v>
      </c>
      <c r="F72" s="1157">
        <v>80</v>
      </c>
    </row>
    <row r="73" spans="1:6" s="1108" customFormat="1" ht="24">
      <c r="A73" s="1157">
        <v>13</v>
      </c>
      <c r="B73" s="3422"/>
      <c r="C73" s="1071" t="s">
        <v>1527</v>
      </c>
      <c r="D73" s="1071" t="s">
        <v>1528</v>
      </c>
      <c r="E73" s="1142">
        <v>0.4</v>
      </c>
      <c r="F73" s="1157">
        <v>60</v>
      </c>
    </row>
    <row r="74" spans="1:6" s="1108" customFormat="1" ht="24">
      <c r="A74" s="1157">
        <v>14</v>
      </c>
      <c r="B74" s="3422"/>
      <c r="C74" s="1071" t="s">
        <v>1529</v>
      </c>
      <c r="D74" s="1071" t="s">
        <v>1530</v>
      </c>
      <c r="E74" s="1142">
        <v>0.2</v>
      </c>
      <c r="F74" s="1157">
        <v>30</v>
      </c>
    </row>
    <row r="75" spans="1:6" s="1108" customFormat="1" ht="24">
      <c r="A75" s="1157">
        <v>15</v>
      </c>
      <c r="B75" s="3422"/>
      <c r="C75" s="1071" t="s">
        <v>1531</v>
      </c>
      <c r="D75" s="1071" t="s">
        <v>1532</v>
      </c>
      <c r="E75" s="1142">
        <v>0.2</v>
      </c>
      <c r="F75" s="1157">
        <v>30</v>
      </c>
    </row>
    <row r="76" spans="1:6" s="1108" customFormat="1" ht="24">
      <c r="A76" s="1157">
        <v>16</v>
      </c>
      <c r="B76" s="3422" t="s">
        <v>1533</v>
      </c>
      <c r="C76" s="1071" t="s">
        <v>1534</v>
      </c>
      <c r="D76" s="1071" t="s">
        <v>1535</v>
      </c>
      <c r="E76" s="1142">
        <v>0.5</v>
      </c>
      <c r="F76" s="1157">
        <v>80</v>
      </c>
    </row>
    <row r="77" spans="1:6" s="1108" customFormat="1" ht="24">
      <c r="A77" s="1157">
        <v>17</v>
      </c>
      <c r="B77" s="3422"/>
      <c r="C77" s="1071" t="s">
        <v>1536</v>
      </c>
      <c r="D77" s="1071" t="s">
        <v>1537</v>
      </c>
      <c r="E77" s="1142">
        <v>0.5</v>
      </c>
      <c r="F77" s="1157">
        <v>80</v>
      </c>
    </row>
    <row r="78" spans="1:6" s="1108" customFormat="1" ht="24">
      <c r="A78" s="1157">
        <v>18</v>
      </c>
      <c r="B78" s="3422"/>
      <c r="C78" s="1071" t="s">
        <v>1538</v>
      </c>
      <c r="D78" s="1071" t="s">
        <v>1539</v>
      </c>
      <c r="E78" s="1142">
        <v>0.2</v>
      </c>
      <c r="F78" s="1157">
        <v>30</v>
      </c>
    </row>
    <row r="79" spans="1:6" s="1108" customFormat="1" ht="24">
      <c r="A79" s="1157">
        <v>19</v>
      </c>
      <c r="B79" s="3422"/>
      <c r="C79" s="1071" t="s">
        <v>1540</v>
      </c>
      <c r="D79" s="1071" t="s">
        <v>1541</v>
      </c>
      <c r="E79" s="1142">
        <v>0.5</v>
      </c>
      <c r="F79" s="1157">
        <v>80</v>
      </c>
    </row>
    <row r="80" spans="1:6" s="1108" customFormat="1" ht="36">
      <c r="A80" s="1157">
        <v>20</v>
      </c>
      <c r="B80" s="3422"/>
      <c r="C80" s="1071" t="s">
        <v>1542</v>
      </c>
      <c r="D80" s="1071" t="s">
        <v>1543</v>
      </c>
      <c r="E80" s="1142">
        <v>0.2</v>
      </c>
      <c r="F80" s="1157">
        <v>30</v>
      </c>
    </row>
    <row r="81" spans="1:6" s="1108" customFormat="1" ht="36">
      <c r="A81" s="1157">
        <v>21</v>
      </c>
      <c r="B81" s="3422"/>
      <c r="C81" s="1071" t="s">
        <v>1544</v>
      </c>
      <c r="D81" s="1071" t="s">
        <v>1545</v>
      </c>
      <c r="E81" s="1142">
        <v>0.2</v>
      </c>
      <c r="F81" s="1157">
        <v>30</v>
      </c>
    </row>
    <row r="82" spans="1:6" s="1108" customFormat="1" ht="48">
      <c r="A82" s="1157">
        <v>22</v>
      </c>
      <c r="B82" s="3422"/>
      <c r="C82" s="1071" t="s">
        <v>1546</v>
      </c>
      <c r="D82" s="1071" t="s">
        <v>1547</v>
      </c>
      <c r="E82" s="1142">
        <v>0.2</v>
      </c>
      <c r="F82" s="1157">
        <v>30</v>
      </c>
    </row>
    <row r="83" spans="1:6" s="1108" customFormat="1" ht="48">
      <c r="A83" s="1157">
        <v>23</v>
      </c>
      <c r="B83" s="3422"/>
      <c r="C83" s="1071" t="s">
        <v>1548</v>
      </c>
      <c r="D83" s="1071" t="s">
        <v>1549</v>
      </c>
      <c r="E83" s="1142">
        <v>0.2</v>
      </c>
      <c r="F83" s="1157">
        <v>30</v>
      </c>
    </row>
    <row r="84" spans="1:6" s="1108" customFormat="1" ht="36">
      <c r="A84" s="1157">
        <v>24</v>
      </c>
      <c r="B84" s="3422"/>
      <c r="C84" s="1071" t="s">
        <v>1550</v>
      </c>
      <c r="D84" s="1071" t="s">
        <v>1551</v>
      </c>
      <c r="E84" s="1142">
        <v>0.2</v>
      </c>
      <c r="F84" s="1157">
        <v>30</v>
      </c>
    </row>
    <row r="85" spans="1:6" s="1108" customFormat="1" ht="36">
      <c r="A85" s="1157">
        <v>25</v>
      </c>
      <c r="B85" s="3422"/>
      <c r="C85" s="1071" t="s">
        <v>1552</v>
      </c>
      <c r="D85" s="1071" t="s">
        <v>1553</v>
      </c>
      <c r="E85" s="1142">
        <v>0.5</v>
      </c>
      <c r="F85" s="1157">
        <v>80</v>
      </c>
    </row>
    <row r="86" spans="1:6" s="1108" customFormat="1" ht="36">
      <c r="A86" s="1157">
        <v>26</v>
      </c>
      <c r="B86" s="3422"/>
      <c r="C86" s="1071" t="s">
        <v>1554</v>
      </c>
      <c r="D86" s="1071" t="s">
        <v>1555</v>
      </c>
      <c r="E86" s="1142">
        <v>0.2</v>
      </c>
      <c r="F86" s="1157">
        <v>30</v>
      </c>
    </row>
    <row r="87" spans="1:6" s="1108" customFormat="1" ht="36">
      <c r="A87" s="1157">
        <v>27</v>
      </c>
      <c r="B87" s="3422"/>
      <c r="C87" s="1071" t="s">
        <v>1556</v>
      </c>
      <c r="D87" s="1071" t="s">
        <v>1557</v>
      </c>
      <c r="E87" s="1142">
        <v>0.2</v>
      </c>
      <c r="F87" s="1157">
        <v>30</v>
      </c>
    </row>
    <row r="88" spans="1:6" s="1108" customFormat="1" ht="36">
      <c r="A88" s="1157">
        <v>28</v>
      </c>
      <c r="B88" s="3422"/>
      <c r="C88" s="1071" t="s">
        <v>1558</v>
      </c>
      <c r="D88" s="1071" t="s">
        <v>1559</v>
      </c>
      <c r="E88" s="1142">
        <v>0.2</v>
      </c>
      <c r="F88" s="1157">
        <v>30</v>
      </c>
    </row>
    <row r="89" spans="1:6" s="1108" customFormat="1" ht="24">
      <c r="A89" s="1157">
        <v>29</v>
      </c>
      <c r="B89" s="3422"/>
      <c r="C89" s="1071" t="s">
        <v>1560</v>
      </c>
      <c r="D89" s="1071" t="s">
        <v>1561</v>
      </c>
      <c r="E89" s="1142">
        <v>0.2</v>
      </c>
      <c r="F89" s="1157">
        <v>30</v>
      </c>
    </row>
    <row r="90" spans="1:6" s="1108" customFormat="1" ht="24">
      <c r="A90" s="1157">
        <v>30</v>
      </c>
      <c r="B90" s="3422"/>
      <c r="C90" s="1071" t="s">
        <v>1562</v>
      </c>
      <c r="D90" s="1071" t="s">
        <v>1563</v>
      </c>
      <c r="E90" s="1142">
        <v>0.2</v>
      </c>
      <c r="F90" s="1157">
        <v>30</v>
      </c>
    </row>
    <row r="91" spans="1:6" s="1108" customFormat="1" ht="36">
      <c r="A91" s="1157">
        <v>31</v>
      </c>
      <c r="B91" s="3422"/>
      <c r="C91" s="1071" t="s">
        <v>1564</v>
      </c>
      <c r="D91" s="1071" t="s">
        <v>1565</v>
      </c>
      <c r="E91" s="1142">
        <v>0.2</v>
      </c>
      <c r="F91" s="1157">
        <v>30</v>
      </c>
    </row>
    <row r="92" spans="1:6" s="1108" customFormat="1" ht="24">
      <c r="A92" s="1157">
        <v>32</v>
      </c>
      <c r="B92" s="3422" t="s">
        <v>1566</v>
      </c>
      <c r="C92" s="1157" t="s">
        <v>1567</v>
      </c>
      <c r="D92" s="1071" t="s">
        <v>1568</v>
      </c>
      <c r="E92" s="1142">
        <v>0.2</v>
      </c>
      <c r="F92" s="1157">
        <v>30</v>
      </c>
    </row>
    <row r="93" spans="1:6" s="1108" customFormat="1" ht="36">
      <c r="A93" s="1157">
        <v>33</v>
      </c>
      <c r="B93" s="3422"/>
      <c r="C93" s="1157" t="s">
        <v>1569</v>
      </c>
      <c r="D93" s="1071" t="s">
        <v>1570</v>
      </c>
      <c r="E93" s="1142">
        <v>0.2</v>
      </c>
      <c r="F93" s="1157">
        <v>30</v>
      </c>
    </row>
    <row r="94" spans="1:6" s="1108" customFormat="1" ht="48">
      <c r="A94" s="1157">
        <v>34</v>
      </c>
      <c r="B94" s="3422"/>
      <c r="C94" s="1157" t="s">
        <v>1571</v>
      </c>
      <c r="D94" s="1071" t="s">
        <v>1572</v>
      </c>
      <c r="E94" s="1142">
        <v>0.2</v>
      </c>
      <c r="F94" s="1157">
        <v>30</v>
      </c>
    </row>
    <row r="95" spans="1:6" s="1108" customFormat="1" ht="36">
      <c r="A95" s="1157">
        <v>35</v>
      </c>
      <c r="B95" s="3422"/>
      <c r="C95" s="1157" t="s">
        <v>1573</v>
      </c>
      <c r="D95" s="1071" t="s">
        <v>1574</v>
      </c>
      <c r="E95" s="1142">
        <v>0.2</v>
      </c>
      <c r="F95" s="1157">
        <v>30</v>
      </c>
    </row>
    <row r="96" spans="1:6" s="1108" customFormat="1" ht="48">
      <c r="A96" s="1157">
        <v>36</v>
      </c>
      <c r="B96" s="3422"/>
      <c r="C96" s="1071" t="s">
        <v>1575</v>
      </c>
      <c r="D96" s="1071" t="s">
        <v>1576</v>
      </c>
      <c r="E96" s="1142">
        <v>0.2</v>
      </c>
      <c r="F96" s="1157">
        <v>30</v>
      </c>
    </row>
    <row r="97" spans="1:6" s="1108" customFormat="1" ht="36">
      <c r="A97" s="1157">
        <v>37</v>
      </c>
      <c r="B97" s="3422"/>
      <c r="C97" s="1157" t="s">
        <v>1577</v>
      </c>
      <c r="D97" s="1071" t="s">
        <v>1578</v>
      </c>
      <c r="E97" s="1142">
        <v>0.2</v>
      </c>
      <c r="F97" s="1157">
        <v>30</v>
      </c>
    </row>
    <row r="98" spans="1:6" s="1108" customFormat="1" ht="36">
      <c r="A98" s="1157">
        <v>38</v>
      </c>
      <c r="B98" s="3422"/>
      <c r="C98" s="1157" t="s">
        <v>1579</v>
      </c>
      <c r="D98" s="1071" t="s">
        <v>1580</v>
      </c>
      <c r="E98" s="1142">
        <v>0.2</v>
      </c>
      <c r="F98" s="1157">
        <v>30</v>
      </c>
    </row>
    <row r="99" spans="1:6" s="1108" customFormat="1" ht="36">
      <c r="A99" s="1157">
        <v>39</v>
      </c>
      <c r="B99" s="3422" t="s">
        <v>1581</v>
      </c>
      <c r="C99" s="1157" t="s">
        <v>1582</v>
      </c>
      <c r="D99" s="1071" t="s">
        <v>1583</v>
      </c>
      <c r="E99" s="1142">
        <v>0.3</v>
      </c>
      <c r="F99" s="1157">
        <v>50</v>
      </c>
    </row>
    <row r="100" spans="1:6" s="1108" customFormat="1" ht="24">
      <c r="A100" s="1157">
        <v>40</v>
      </c>
      <c r="B100" s="3422"/>
      <c r="C100" s="1157" t="s">
        <v>1584</v>
      </c>
      <c r="D100" s="1071" t="s">
        <v>1585</v>
      </c>
      <c r="E100" s="1142">
        <v>0.2</v>
      </c>
      <c r="F100" s="1157">
        <v>30</v>
      </c>
    </row>
    <row r="101" spans="1:6" s="1108" customFormat="1" ht="36">
      <c r="A101" s="1157">
        <v>41</v>
      </c>
      <c r="B101" s="3422"/>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22" t="s">
        <v>1596</v>
      </c>
      <c r="C105" s="1157" t="s">
        <v>1597</v>
      </c>
      <c r="D105" s="1071" t="s">
        <v>1598</v>
      </c>
      <c r="E105" s="1142">
        <v>0.2</v>
      </c>
      <c r="F105" s="1157">
        <v>30</v>
      </c>
    </row>
    <row r="106" spans="1:6" s="1108" customFormat="1" ht="36">
      <c r="A106" s="1157">
        <v>46</v>
      </c>
      <c r="B106" s="3422"/>
      <c r="C106" s="1157" t="s">
        <v>1599</v>
      </c>
      <c r="D106" s="1071" t="s">
        <v>1600</v>
      </c>
      <c r="E106" s="1142">
        <v>0.2</v>
      </c>
      <c r="F106" s="1157">
        <v>30</v>
      </c>
    </row>
    <row r="107" spans="1:6" s="1108" customFormat="1" ht="36">
      <c r="A107" s="1157">
        <v>47</v>
      </c>
      <c r="B107" s="3422" t="s">
        <v>1601</v>
      </c>
      <c r="C107" s="1157" t="s">
        <v>1602</v>
      </c>
      <c r="D107" s="1071" t="s">
        <v>1603</v>
      </c>
      <c r="E107" s="1142">
        <v>0.3</v>
      </c>
      <c r="F107" s="1157">
        <v>50</v>
      </c>
    </row>
    <row r="108" spans="1:6" s="1108" customFormat="1" ht="36">
      <c r="A108" s="1157">
        <v>48</v>
      </c>
      <c r="B108" s="3422"/>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22" t="s">
        <v>1612</v>
      </c>
      <c r="C111" s="1157" t="s">
        <v>1613</v>
      </c>
      <c r="D111" s="1071" t="s">
        <v>1614</v>
      </c>
      <c r="E111" s="1142">
        <v>0.2</v>
      </c>
      <c r="F111" s="1157">
        <v>30</v>
      </c>
    </row>
    <row r="112" spans="1:6" s="1108" customFormat="1" ht="24">
      <c r="A112" s="1157">
        <v>52</v>
      </c>
      <c r="B112" s="3422"/>
      <c r="C112" s="1157" t="s">
        <v>1615</v>
      </c>
      <c r="D112" s="1071" t="s">
        <v>1616</v>
      </c>
      <c r="E112" s="1142">
        <v>0.2</v>
      </c>
      <c r="F112" s="1157">
        <v>30</v>
      </c>
    </row>
    <row r="113" spans="1:14" s="1108" customFormat="1" ht="24">
      <c r="A113" s="1157">
        <v>53</v>
      </c>
      <c r="B113" s="3422"/>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22" t="s">
        <v>1625</v>
      </c>
      <c r="C116" s="1157" t="s">
        <v>1626</v>
      </c>
      <c r="D116" s="1071" t="s">
        <v>1627</v>
      </c>
      <c r="E116" s="1142">
        <v>0.2</v>
      </c>
      <c r="F116" s="1157">
        <v>30</v>
      </c>
    </row>
    <row r="117" spans="1:14" ht="36">
      <c r="A117" s="1157">
        <v>57</v>
      </c>
      <c r="B117" s="3422"/>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21" t="s">
        <v>1634</v>
      </c>
      <c r="B121" s="3421"/>
      <c r="C121" s="3421"/>
      <c r="D121" s="3421"/>
      <c r="E121" s="3421"/>
      <c r="F121" s="3421"/>
      <c r="G121" s="3421"/>
      <c r="H121" s="3421"/>
      <c r="I121" s="3421"/>
      <c r="J121" s="342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4" t="s">
        <v>1040</v>
      </c>
      <c r="B1" s="3434"/>
      <c r="C1" s="3434"/>
      <c r="D1" s="3434"/>
      <c r="E1" s="3434"/>
      <c r="F1" s="3434"/>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5" t="s">
        <v>1053</v>
      </c>
      <c r="B2" s="3435"/>
      <c r="C2" s="3435"/>
      <c r="D2" s="3435"/>
      <c r="E2" s="3435"/>
      <c r="F2" s="3435"/>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6"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7"/>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8" t="s">
        <v>2081</v>
      </c>
      <c r="B1" s="3438"/>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2956</v>
      </c>
      <c r="B1" s="3140"/>
      <c r="C1" s="3140"/>
      <c r="D1" s="3140"/>
      <c r="E1" s="3140"/>
      <c r="F1" s="3140"/>
    </row>
    <row r="2" spans="1:6" ht="14.25">
      <c r="A2" s="3141" t="s">
        <v>2950</v>
      </c>
      <c r="B2" s="3142" t="e">
        <f ca="1">SUMIF(B7:B14,"&lt;&gt;#ref!",B7:B14)</f>
        <v>#DIV/0!</v>
      </c>
      <c r="C2" s="3141" t="s">
        <v>2951</v>
      </c>
      <c r="D2" s="3140"/>
      <c r="E2" s="3140"/>
      <c r="F2" s="3140"/>
    </row>
    <row r="3" spans="1:6" ht="14.25">
      <c r="A3" s="3141" t="s">
        <v>2953</v>
      </c>
      <c r="B3" s="3142" t="e">
        <f ca="1">ROUND(B2*10000/E3,0)</f>
        <v>#DIV/0!</v>
      </c>
      <c r="C3" s="3141" t="s">
        <v>2080</v>
      </c>
      <c r="D3" s="3141" t="s">
        <v>2952</v>
      </c>
      <c r="E3" s="3142" t="e">
        <f ca="1">SUM(E7:E14)</f>
        <v>#REF!</v>
      </c>
      <c r="F3" s="3140"/>
    </row>
    <row r="4" spans="1:6" ht="14.25">
      <c r="A4" s="3141" t="s">
        <v>2960</v>
      </c>
      <c r="B4" s="3142" t="e">
        <f ca="1">ROUND(B2*10000/E4,0)</f>
        <v>#DIV/0!</v>
      </c>
      <c r="C4" s="3141" t="s">
        <v>2080</v>
      </c>
      <c r="D4" s="3141" t="s">
        <v>2961</v>
      </c>
      <c r="E4" s="3142" t="e">
        <f ca="1">SUM(F7:F14)</f>
        <v>#REF!</v>
      </c>
      <c r="F4" s="3140"/>
    </row>
    <row r="5" spans="1:6" ht="14.25">
      <c r="A5" s="3143"/>
      <c r="B5" s="1886"/>
      <c r="C5" s="1886"/>
      <c r="D5" s="1886"/>
      <c r="E5" s="1886"/>
      <c r="F5" s="3140"/>
    </row>
    <row r="6" spans="1:6" ht="28.5">
      <c r="A6" s="3144" t="s">
        <v>2957</v>
      </c>
      <c r="B6" s="3141" t="s">
        <v>2954</v>
      </c>
      <c r="C6" s="3142"/>
      <c r="D6" s="1886"/>
      <c r="E6" s="3141" t="s">
        <v>2955</v>
      </c>
      <c r="F6" s="3141" t="s">
        <v>2959</v>
      </c>
    </row>
    <row r="7" spans="1:6" ht="14.25">
      <c r="A7" s="260" t="s">
        <v>2958</v>
      </c>
      <c r="B7" s="3145" t="e">
        <f ca="1">SUMIF(INDIRECT("'"&amp;A7&amp;"'"&amp;"!A:A"),"总价",INDIRECT("'"&amp;A7&amp;"'"&amp;"!B:B"))</f>
        <v>#DIV/0!</v>
      </c>
      <c r="C7" s="3141" t="s">
        <v>2951</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2951</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2951</v>
      </c>
      <c r="D9" s="1886"/>
      <c r="E9" s="3146" t="e">
        <f t="shared" ca="1" si="1"/>
        <v>#REF!</v>
      </c>
      <c r="F9" s="3146" t="e">
        <f t="shared" ca="1" si="2"/>
        <v>#REF!</v>
      </c>
    </row>
    <row r="10" spans="1:6" ht="14.25">
      <c r="A10" s="260"/>
      <c r="B10" s="3145" t="e">
        <f t="shared" ca="1" si="0"/>
        <v>#REF!</v>
      </c>
      <c r="C10" s="3141" t="s">
        <v>2951</v>
      </c>
      <c r="D10" s="1886"/>
      <c r="E10" s="3146" t="e">
        <f t="shared" ca="1" si="1"/>
        <v>#REF!</v>
      </c>
      <c r="F10" s="3146" t="e">
        <f t="shared" ca="1" si="2"/>
        <v>#REF!</v>
      </c>
    </row>
    <row r="11" spans="1:6" ht="14.25">
      <c r="A11" s="260"/>
      <c r="B11" s="3145" t="e">
        <f t="shared" ca="1" si="0"/>
        <v>#REF!</v>
      </c>
      <c r="C11" s="3141" t="s">
        <v>2951</v>
      </c>
      <c r="D11" s="1886"/>
      <c r="E11" s="3146" t="e">
        <f t="shared" ca="1" si="1"/>
        <v>#REF!</v>
      </c>
      <c r="F11" s="3146" t="e">
        <f t="shared" ca="1" si="2"/>
        <v>#REF!</v>
      </c>
    </row>
    <row r="12" spans="1:6" ht="14.25">
      <c r="A12" s="260"/>
      <c r="B12" s="3145" t="e">
        <f t="shared" ca="1" si="0"/>
        <v>#REF!</v>
      </c>
      <c r="C12" s="3141" t="s">
        <v>2951</v>
      </c>
      <c r="D12" s="1886"/>
      <c r="E12" s="3146" t="e">
        <f t="shared" ca="1" si="1"/>
        <v>#REF!</v>
      </c>
      <c r="F12" s="3146" t="e">
        <f t="shared" ca="1" si="2"/>
        <v>#REF!</v>
      </c>
    </row>
    <row r="13" spans="1:6" ht="14.25">
      <c r="A13" s="260"/>
      <c r="B13" s="3145" t="e">
        <f t="shared" ca="1" si="0"/>
        <v>#REF!</v>
      </c>
      <c r="C13" s="3141" t="s">
        <v>2951</v>
      </c>
      <c r="D13" s="1886"/>
      <c r="E13" s="3146" t="e">
        <f t="shared" ca="1" si="1"/>
        <v>#REF!</v>
      </c>
      <c r="F13" s="3146" t="e">
        <f t="shared" ca="1" si="2"/>
        <v>#REF!</v>
      </c>
    </row>
    <row r="14" spans="1:6" ht="14.25">
      <c r="A14" s="3139"/>
      <c r="B14" s="3145" t="e">
        <f t="shared" ca="1" si="0"/>
        <v>#REF!</v>
      </c>
      <c r="C14" s="3141" t="s">
        <v>2951</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40" t="s">
        <v>2467</v>
      </c>
      <c r="C8" s="1830">
        <f ca="1">ROUND(F8*F10*F9*(1-F11)/10000,0)</f>
        <v>0</v>
      </c>
      <c r="D8" s="1827" t="s">
        <v>2539</v>
      </c>
      <c r="E8" s="61" t="s">
        <v>638</v>
      </c>
      <c r="F8" s="788">
        <f ca="1">INDIRECT("'数据-取费表'!u"&amp;$G$1)</f>
        <v>0</v>
      </c>
      <c r="G8" s="1596"/>
      <c r="H8" s="2533" t="s">
        <v>1825</v>
      </c>
      <c r="I8" s="3440" t="s">
        <v>2467</v>
      </c>
      <c r="J8" s="786">
        <f ca="1">ROUND(M8*M10*M9*(1-M11)/10000,0)</f>
        <v>0</v>
      </c>
      <c r="K8" s="344" t="s">
        <v>2539</v>
      </c>
      <c r="L8" s="787" t="s">
        <v>1739</v>
      </c>
      <c r="M8" s="788">
        <f ca="1">INDIRECT("'数据-取费表'!z"&amp;$G$1)</f>
        <v>0</v>
      </c>
    </row>
    <row r="9" spans="1:25" ht="18" customHeight="1">
      <c r="A9" s="2529"/>
      <c r="B9" s="3441"/>
      <c r="C9" s="1831"/>
      <c r="D9" s="1828"/>
      <c r="E9" s="61" t="s">
        <v>639</v>
      </c>
      <c r="F9" s="788">
        <f ca="1">IF(INDIRECT("'数据-取费表'!ah"&amp;$G$1)="",INDIRECT("'数据-取费表'!k"&amp;$G$1),INDIRECT("'数据-取费表'!ah"&amp;$G$1))</f>
        <v>0</v>
      </c>
      <c r="G9" s="1596"/>
      <c r="H9" s="2518"/>
      <c r="I9" s="3441"/>
      <c r="J9" s="791"/>
      <c r="K9" s="792"/>
      <c r="L9" s="787" t="s">
        <v>1740</v>
      </c>
      <c r="M9" s="788">
        <f ca="1">F9</f>
        <v>0</v>
      </c>
    </row>
    <row r="10" spans="1:25" ht="18" customHeight="1">
      <c r="A10" s="2522"/>
      <c r="B10" s="3442"/>
      <c r="C10" s="1831"/>
      <c r="D10" s="1828"/>
      <c r="E10" s="61" t="s">
        <v>640</v>
      </c>
      <c r="F10" s="788">
        <f ca="1">INDIRECT("'数据-取费表'!ai"&amp;$G$1)</f>
        <v>0</v>
      </c>
      <c r="G10" s="1596"/>
      <c r="H10" s="2518"/>
      <c r="I10" s="3442"/>
      <c r="J10" s="791"/>
      <c r="K10" s="792"/>
      <c r="L10" s="787" t="s">
        <v>1741</v>
      </c>
      <c r="M10" s="788">
        <f ca="1">INDIRECT("'数据-取费表'!ai"&amp;$G$1)</f>
        <v>0</v>
      </c>
    </row>
    <row r="11" spans="1:25" ht="18" customHeight="1">
      <c r="A11" s="789"/>
      <c r="B11" s="3443"/>
      <c r="C11" s="1831"/>
      <c r="D11" s="1828"/>
      <c r="E11" s="61" t="s">
        <v>641</v>
      </c>
      <c r="F11" s="797">
        <f ca="1">INDIRECT("'数据-取费表'!w"&amp;$G$1)</f>
        <v>0</v>
      </c>
      <c r="G11" s="1596"/>
      <c r="H11" s="2534"/>
      <c r="I11" s="3442"/>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2832</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0.03</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0.03</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2829</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2830</v>
      </c>
      <c r="C31" s="2573">
        <f ca="1">ROUND((C21+C22+C25+C28)/(1-F23-C26-C29-C30),0)</f>
        <v>0</v>
      </c>
      <c r="D31" s="2574"/>
      <c r="E31" s="2575"/>
      <c r="F31" s="2576"/>
      <c r="G31" s="1597"/>
      <c r="H31" s="826" t="s">
        <v>1873</v>
      </c>
      <c r="I31" s="3043"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39"/>
      <c r="J36" s="2084"/>
      <c r="K36" s="2085"/>
      <c r="L36" s="2084"/>
      <c r="M36" s="2084"/>
    </row>
    <row r="37" spans="1:18" ht="18" customHeight="1">
      <c r="A37" s="818"/>
      <c r="B37" s="796"/>
      <c r="C37" s="69"/>
      <c r="D37" s="819"/>
      <c r="E37" s="787" t="s">
        <v>675</v>
      </c>
      <c r="F37" s="788">
        <f ca="1">INDIRECT("'数据-取费表'!r"&amp;$G$1)</f>
        <v>0</v>
      </c>
      <c r="G37" s="2067"/>
      <c r="H37" s="2070"/>
      <c r="I37" s="3439"/>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2969</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2972</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44"/>
      <c r="L54" s="3445"/>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2948</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48" t="s">
        <v>2581</v>
      </c>
      <c r="C1" s="3448"/>
      <c r="D1" s="3448"/>
      <c r="E1" s="3448"/>
      <c r="F1" s="3448"/>
      <c r="G1" s="3447" t="s">
        <v>2582</v>
      </c>
      <c r="H1" s="3447"/>
      <c r="I1" s="3447"/>
      <c r="J1" s="3447"/>
      <c r="K1" s="3447"/>
      <c r="L1" s="3447"/>
      <c r="N1" s="3447" t="s">
        <v>2583</v>
      </c>
      <c r="O1" s="3447"/>
      <c r="P1" s="3447"/>
      <c r="Q1" s="3447"/>
      <c r="R1" s="2684"/>
      <c r="S1" s="3447" t="s">
        <v>2584</v>
      </c>
      <c r="T1" s="3447"/>
      <c r="U1" s="3447"/>
      <c r="V1" s="3447"/>
      <c r="X1" s="3446" t="s">
        <v>2645</v>
      </c>
      <c r="Y1" s="3447"/>
      <c r="Z1" s="3447"/>
      <c r="AA1" s="3447"/>
      <c r="AB1" s="3447"/>
      <c r="AD1" s="3446" t="s">
        <v>2650</v>
      </c>
      <c r="AE1" s="3447"/>
      <c r="AF1" s="3447"/>
      <c r="AG1" s="3447"/>
      <c r="AH1" s="3447"/>
    </row>
    <row r="2" spans="1:34" s="2786" customFormat="1" ht="14.25" thickBot="1">
      <c r="B2" s="2795" t="s">
        <v>2585</v>
      </c>
      <c r="C2" s="2795" t="s">
        <v>2648</v>
      </c>
      <c r="D2" s="2787" t="s">
        <v>1645</v>
      </c>
      <c r="E2" s="2787" t="s">
        <v>1952</v>
      </c>
      <c r="F2" s="2795" t="s">
        <v>2649</v>
      </c>
      <c r="G2" s="2790"/>
      <c r="H2" s="2789"/>
      <c r="I2" s="2795" t="s">
        <v>2963</v>
      </c>
      <c r="J2" s="2787" t="s">
        <v>2965</v>
      </c>
      <c r="K2" s="2787" t="s">
        <v>2966</v>
      </c>
      <c r="L2" s="2795" t="s">
        <v>2967</v>
      </c>
      <c r="N2" s="2795" t="s">
        <v>2585</v>
      </c>
      <c r="O2" s="2787" t="s">
        <v>2964</v>
      </c>
      <c r="P2" s="2787" t="s">
        <v>1952</v>
      </c>
      <c r="Q2" s="2795" t="s">
        <v>2649</v>
      </c>
      <c r="R2" s="2788"/>
      <c r="S2" s="2795" t="s">
        <v>2585</v>
      </c>
      <c r="T2" s="2787" t="s">
        <v>2964</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2975</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2974</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5">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0"/>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50"/>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51"/>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55">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0"/>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50"/>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51"/>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49">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0"/>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50"/>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51"/>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49">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0"/>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50"/>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51"/>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52">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53"/>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53"/>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54"/>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49">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50"/>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50"/>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51"/>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49">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0">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50">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51">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49">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0">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50">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51">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49">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0">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50">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51">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49">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0">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50">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51">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49">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0">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50">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51">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49">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0">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50">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51">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49">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0">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50">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51">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49">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0">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50">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51">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49">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50">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50">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51">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49">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50">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50">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51">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56.25">
      <c r="A7" s="1800"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2947</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8" zoomScale="70" zoomScaleNormal="70" workbookViewId="0">
      <selection activeCell="D16" sqref="D16"/>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3015</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899</v>
      </c>
      <c r="C2" s="2062"/>
      <c r="D2" s="2060"/>
      <c r="E2" s="2061"/>
      <c r="F2" s="2061"/>
      <c r="G2" s="1594"/>
      <c r="H2" s="2062"/>
      <c r="I2" s="2062"/>
      <c r="J2" s="2062"/>
      <c r="K2" s="2063"/>
      <c r="L2" s="2062"/>
      <c r="M2" s="2062"/>
    </row>
    <row r="3" spans="1:33" ht="18" customHeight="1" thickBot="1">
      <c r="A3" s="836" t="s">
        <v>1728</v>
      </c>
      <c r="B3" s="837">
        <f ca="1">IF(ISERROR(B2*10000/F43),0,ROUND(B2*10000/F43,0))</f>
        <v>3781</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55</v>
      </c>
      <c r="D5" s="2525" t="s">
        <v>2465</v>
      </c>
      <c r="E5" s="2519"/>
      <c r="F5" s="2520"/>
      <c r="G5" s="1596"/>
      <c r="H5" s="784">
        <v>1</v>
      </c>
      <c r="I5" s="785" t="s">
        <v>2462</v>
      </c>
      <c r="J5" s="55">
        <f ca="1">J6+J10+J12</f>
        <v>0</v>
      </c>
      <c r="K5" s="2525" t="s">
        <v>2465</v>
      </c>
      <c r="L5" s="2519"/>
      <c r="M5" s="2520"/>
    </row>
    <row r="6" spans="1:33" ht="18" customHeight="1">
      <c r="A6" s="1835" t="s">
        <v>1825</v>
      </c>
      <c r="B6" s="3440" t="s">
        <v>2467</v>
      </c>
      <c r="C6" s="786">
        <f ca="1">ROUND(F6*F8*F7*(1-F9)/10000,0)</f>
        <v>55</v>
      </c>
      <c r="D6" s="2526" t="s">
        <v>2466</v>
      </c>
      <c r="E6" s="787" t="s">
        <v>1739</v>
      </c>
      <c r="F6" s="788">
        <f ca="1">INDIRECT("'数据-取费表'!u"&amp;$G$1)</f>
        <v>0.7</v>
      </c>
      <c r="G6" s="1596"/>
      <c r="H6" s="2533" t="s">
        <v>2473</v>
      </c>
      <c r="I6" s="3440" t="s">
        <v>2467</v>
      </c>
      <c r="J6" s="786">
        <f ca="1">ROUND(M6*M8*M7*(1-M9)/10000,0)</f>
        <v>0</v>
      </c>
      <c r="K6" s="344" t="s">
        <v>1738</v>
      </c>
      <c r="L6" s="787" t="s">
        <v>1739</v>
      </c>
      <c r="M6" s="788">
        <f ca="1">INDIRECT("'数据-取费表'!z"&amp;$G$1)</f>
        <v>0</v>
      </c>
    </row>
    <row r="7" spans="1:33" ht="18" customHeight="1">
      <c r="A7" s="2529"/>
      <c r="B7" s="3441"/>
      <c r="C7" s="791"/>
      <c r="D7" s="792"/>
      <c r="E7" s="787" t="s">
        <v>1740</v>
      </c>
      <c r="F7" s="788">
        <f ca="1">IF(INDIRECT("'数据-取费表'!ah"&amp;$G$1)="",INDIRECT("'数据-取费表'!k"&amp;$G$1),INDIRECT("'数据-取费表'!ah"&amp;$G$1))</f>
        <v>2377.38</v>
      </c>
      <c r="G7" s="1596"/>
      <c r="H7" s="2518"/>
      <c r="I7" s="3441"/>
      <c r="J7" s="791"/>
      <c r="K7" s="792"/>
      <c r="L7" s="787" t="s">
        <v>1740</v>
      </c>
      <c r="M7" s="788">
        <f ca="1">F7</f>
        <v>2377.38</v>
      </c>
    </row>
    <row r="8" spans="1:33" ht="18" customHeight="1">
      <c r="A8" s="2522"/>
      <c r="B8" s="3442"/>
      <c r="C8" s="791"/>
      <c r="D8" s="792"/>
      <c r="E8" s="787" t="s">
        <v>1741</v>
      </c>
      <c r="F8" s="788">
        <f ca="1">INDIRECT("'数据-取费表'!ai"&amp;$G$1)</f>
        <v>365</v>
      </c>
      <c r="G8" s="1596"/>
      <c r="H8" s="2518"/>
      <c r="I8" s="3442"/>
      <c r="J8" s="791"/>
      <c r="K8" s="792"/>
      <c r="L8" s="787" t="s">
        <v>1741</v>
      </c>
      <c r="M8" s="788">
        <f ca="1">INDIRECT("'数据-取费表'!ai"&amp;$G$1)</f>
        <v>365</v>
      </c>
    </row>
    <row r="9" spans="1:33" ht="18" customHeight="1">
      <c r="A9" s="789"/>
      <c r="B9" s="3443"/>
      <c r="C9" s="791"/>
      <c r="D9" s="792"/>
      <c r="E9" s="787" t="s">
        <v>1742</v>
      </c>
      <c r="F9" s="797">
        <f ca="1">INDIRECT("'数据-取费表'!w"&amp;$G$1)</f>
        <v>0.1</v>
      </c>
      <c r="G9" s="1596"/>
      <c r="H9" s="2534"/>
      <c r="I9" s="3442"/>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3073</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550</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357</v>
      </c>
      <c r="D14" s="1984" t="s">
        <v>1746</v>
      </c>
      <c r="E14" s="1985"/>
      <c r="F14" s="808"/>
      <c r="G14" s="1596"/>
      <c r="H14" s="1653" t="s">
        <v>1831</v>
      </c>
      <c r="I14" s="2236" t="s">
        <v>2833</v>
      </c>
      <c r="J14" s="53">
        <f ca="1">C29</f>
        <v>550</v>
      </c>
      <c r="K14" s="26"/>
      <c r="L14" s="804"/>
      <c r="M14" s="805"/>
    </row>
    <row r="15" spans="1:33" s="2069" customFormat="1" ht="18" customHeight="1" thickBot="1">
      <c r="A15" s="1652" t="s">
        <v>1886</v>
      </c>
      <c r="B15" s="787" t="s">
        <v>648</v>
      </c>
      <c r="C15" s="53">
        <f ca="1">ROUND(C14*F15,0)</f>
        <v>14</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15</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7</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5</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424</v>
      </c>
      <c r="D19" s="261" t="s">
        <v>1758</v>
      </c>
      <c r="E19" s="1987"/>
      <c r="F19" s="56"/>
      <c r="G19" s="1596"/>
      <c r="H19" s="1652" t="s">
        <v>1886</v>
      </c>
      <c r="I19" s="787" t="s">
        <v>1759</v>
      </c>
      <c r="J19" s="53">
        <f ca="1">IF(K19="按租金收入计税",ROUND(J5*M19,1),ROUND(C29*F33*0.7,1))</f>
        <v>4.5999999999999996</v>
      </c>
      <c r="K19" s="814" t="s">
        <v>666</v>
      </c>
      <c r="L19" s="787" t="s">
        <v>1748</v>
      </c>
      <c r="M19" s="812">
        <f>IF(K19="按租金收入计税",'数据-取费表'!B51,'数据-取费表'!B50)</f>
        <v>1.2E-2</v>
      </c>
    </row>
    <row r="20" spans="1:33" s="2069" customFormat="1" ht="18" customHeight="1">
      <c r="A20" s="1653" t="s">
        <v>1890</v>
      </c>
      <c r="B20" s="787" t="s">
        <v>667</v>
      </c>
      <c r="C20" s="53">
        <f ca="1">ROUND(C19*F20,0)</f>
        <v>13</v>
      </c>
      <c r="D20" s="815" t="s">
        <v>1760</v>
      </c>
      <c r="E20" s="787" t="s">
        <v>1748</v>
      </c>
      <c r="F20" s="812">
        <f>'数据-取费表'!B37</f>
        <v>0.03</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0.03</v>
      </c>
      <c r="G21" s="1597"/>
      <c r="H21" s="2535"/>
      <c r="I21" s="796"/>
      <c r="J21" s="69"/>
      <c r="K21" s="819"/>
      <c r="L21" s="787" t="s">
        <v>1767</v>
      </c>
      <c r="M21" s="788">
        <f ca="1">INDIRECT("'数据-取费表'!r"&amp;$G$1)</f>
        <v>1102.95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8</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21</v>
      </c>
      <c r="D23" s="2600"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2829</v>
      </c>
      <c r="J25" s="795">
        <f ca="1">J5-J16</f>
        <v>-15</v>
      </c>
      <c r="K25" s="2577" t="s">
        <v>1778</v>
      </c>
      <c r="L25" s="2578"/>
      <c r="M25" s="2579"/>
    </row>
    <row r="26" spans="1:33" ht="18" customHeight="1">
      <c r="A26" s="1652" t="s">
        <v>1832</v>
      </c>
      <c r="B26" s="787" t="s">
        <v>2441</v>
      </c>
      <c r="C26" s="53">
        <f ca="1">ROUND((C19+C20)*F26,0)</f>
        <v>44</v>
      </c>
      <c r="D26" s="815" t="s">
        <v>1779</v>
      </c>
      <c r="E26" s="798" t="s">
        <v>1780</v>
      </c>
      <c r="F26" s="797">
        <f ca="1">INDIRECT("'数据-取费表'!q"&amp;$G$1)</f>
        <v>0.1</v>
      </c>
      <c r="G26" s="1596"/>
      <c r="H26" s="2531" t="s">
        <v>1781</v>
      </c>
      <c r="I26" s="2237" t="s">
        <v>2834</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3.0000000000000001E-3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550</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19</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9.1999999999999993</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2.9</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4.5999999999999996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1.7</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1102.95</v>
      </c>
      <c r="G35" s="2067"/>
      <c r="H35" s="2070"/>
      <c r="I35" s="840" t="s">
        <v>1815</v>
      </c>
      <c r="J35" s="841">
        <f ca="1">ROUND(C13*J36,0)</f>
        <v>44</v>
      </c>
      <c r="K35" s="2083"/>
      <c r="L35" s="2082"/>
      <c r="M35" s="2082"/>
    </row>
    <row r="36" spans="1:18" ht="18" customHeight="1">
      <c r="A36" s="1653" t="s">
        <v>1890</v>
      </c>
      <c r="B36" s="787" t="s">
        <v>1803</v>
      </c>
      <c r="C36" s="53">
        <f ca="1">ROUND(C29*F36,1)</f>
        <v>8.3000000000000007</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0.8</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1.1000000000000001</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2829</v>
      </c>
      <c r="C39" s="795">
        <f ca="1">C5-C30</f>
        <v>36</v>
      </c>
      <c r="D39" s="2577" t="s">
        <v>1807</v>
      </c>
      <c r="E39" s="2578"/>
      <c r="F39" s="2579"/>
      <c r="G39" s="2067"/>
      <c r="H39" s="2082"/>
      <c r="I39" s="840" t="s">
        <v>1819</v>
      </c>
      <c r="J39" s="848">
        <f ca="1">ROUND(J35/C39,3)</f>
        <v>1.222</v>
      </c>
      <c r="K39" s="2088"/>
      <c r="L39" s="2082"/>
      <c r="M39" s="2082"/>
    </row>
    <row r="40" spans="1:18" ht="18" customHeight="1">
      <c r="A40" s="784" t="s">
        <v>1896</v>
      </c>
      <c r="B40" s="2237" t="s">
        <v>2303</v>
      </c>
      <c r="C40" s="786">
        <f ca="1">ROUND(C39*(1-((1+F42)/(1+F40))^F41)/(F40-F42),0)</f>
        <v>899</v>
      </c>
      <c r="D40" s="817" t="s">
        <v>1808</v>
      </c>
      <c r="E40" s="787" t="s">
        <v>2422</v>
      </c>
      <c r="F40" s="797">
        <f ca="1">INDIRECT("'数据-取费表'!I"&amp;$G$1)</f>
        <v>0.05</v>
      </c>
      <c r="G40" s="2067"/>
      <c r="H40" s="2067"/>
      <c r="I40" s="840" t="s">
        <v>1820</v>
      </c>
      <c r="J40" s="848">
        <f ca="1">1-J39</f>
        <v>-0.22199999999999998</v>
      </c>
      <c r="K40" s="2088"/>
      <c r="L40" s="2067"/>
      <c r="M40" s="2067"/>
    </row>
    <row r="41" spans="1:18" ht="18" customHeight="1">
      <c r="A41" s="789"/>
      <c r="B41" s="790"/>
      <c r="C41" s="791"/>
      <c r="D41" s="824" t="s">
        <v>1809</v>
      </c>
      <c r="E41" s="787" t="s">
        <v>2971</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0.02</v>
      </c>
      <c r="G42" s="2067"/>
      <c r="H42" s="1993"/>
      <c r="I42" s="850" t="s">
        <v>1822</v>
      </c>
      <c r="J42" s="848">
        <f ca="1">ROUND(C13/C40,3)</f>
        <v>0.61199999999999999</v>
      </c>
      <c r="K42" s="2087"/>
      <c r="L42" s="1993"/>
      <c r="M42" s="1993"/>
    </row>
    <row r="43" spans="1:18" ht="18" customHeight="1" thickBot="1">
      <c r="A43" s="826" t="s">
        <v>1788</v>
      </c>
      <c r="B43" s="827" t="s">
        <v>1811</v>
      </c>
      <c r="C43" s="828">
        <f ca="1">ROUND(C40*10000/F43,0)</f>
        <v>3781</v>
      </c>
      <c r="D43" s="829" t="s">
        <v>1812</v>
      </c>
      <c r="E43" s="830" t="s">
        <v>1813</v>
      </c>
      <c r="F43" s="831">
        <f ca="1">INDIRECT("'数据-取费表'!k"&amp;$G$1)</f>
        <v>2377.38</v>
      </c>
      <c r="G43" s="2067"/>
      <c r="H43" s="1993"/>
      <c r="I43" s="850" t="s">
        <v>1823</v>
      </c>
      <c r="J43" s="851">
        <f ca="1">1-J42</f>
        <v>0.38800000000000001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-1170</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3035</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899</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550</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-156</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56" t="s">
        <v>2973</v>
      </c>
      <c r="L53" s="3457"/>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899</v>
      </c>
      <c r="R54" s="2432" t="s">
        <v>2395</v>
      </c>
    </row>
    <row r="55" spans="1:18" s="2064" customFormat="1" ht="18" customHeight="1" thickTop="1" thickBot="1">
      <c r="A55" s="800">
        <v>2</v>
      </c>
      <c r="B55" s="801" t="s">
        <v>645</v>
      </c>
      <c r="C55" s="802">
        <f ca="1">C13</f>
        <v>550</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550</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15</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899</v>
      </c>
      <c r="R57" s="2428" t="s">
        <v>2383</v>
      </c>
    </row>
    <row r="58" spans="1:18" s="2064" customFormat="1" ht="28.5" customHeight="1" thickBot="1">
      <c r="A58" s="1653" t="s">
        <v>1825</v>
      </c>
      <c r="B58" s="787" t="s">
        <v>657</v>
      </c>
      <c r="C58" s="53">
        <f ca="1">ROUND(IF(项目基本情况!B11="自然人",C47*F58,C59+C60+C61),1)</f>
        <v>6.3</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4.5999999999999996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1.7</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1102.95</v>
      </c>
      <c r="I62" s="2414" t="s">
        <v>2370</v>
      </c>
      <c r="J62" s="2415" t="s">
        <v>2371</v>
      </c>
      <c r="K62" s="2415" t="s">
        <v>2372</v>
      </c>
      <c r="L62" s="2415" t="s">
        <v>2353</v>
      </c>
      <c r="M62" s="3135" t="s">
        <v>2948</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8.3000000000000007</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899</v>
      </c>
      <c r="R63" s="2432" t="s">
        <v>2395</v>
      </c>
    </row>
    <row r="64" spans="1:18" s="2064" customFormat="1" ht="16.5" thickBot="1">
      <c r="A64" s="1653" t="s">
        <v>1891</v>
      </c>
      <c r="B64" s="787" t="s">
        <v>680</v>
      </c>
      <c r="C64" s="53">
        <f ca="1">ROUND(C55*F64,1)</f>
        <v>0.8</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2829</v>
      </c>
      <c r="C66" s="802">
        <f ca="1">C47-C57</f>
        <v>-15</v>
      </c>
      <c r="D66" s="2668" t="s">
        <v>701</v>
      </c>
      <c r="E66" s="2667"/>
      <c r="F66" s="823"/>
      <c r="K66" s="2091"/>
      <c r="O66" s="2427" t="s">
        <v>2382</v>
      </c>
      <c r="P66" s="2428" t="s">
        <v>2412</v>
      </c>
      <c r="Q66" s="2429">
        <f ca="1">C40+J29</f>
        <v>899</v>
      </c>
      <c r="R66" s="2428" t="s">
        <v>2383</v>
      </c>
    </row>
    <row r="67" spans="1:18" s="2064" customFormat="1" ht="20.25" thickBot="1">
      <c r="A67" s="784" t="s">
        <v>1781</v>
      </c>
      <c r="B67" s="2237" t="s">
        <v>2303</v>
      </c>
      <c r="C67" s="786">
        <f ca="1">ROUND(C66*(1-((1+F69)/(1+F67))^F68)/(F67-F69),0)</f>
        <v>-271</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-156</v>
      </c>
      <c r="R68" s="2435" t="s">
        <v>2419</v>
      </c>
    </row>
    <row r="69" spans="1:18" ht="20.25" thickBot="1">
      <c r="A69" s="793"/>
      <c r="B69" s="794"/>
      <c r="C69" s="795"/>
      <c r="D69" s="819"/>
      <c r="E69" s="787" t="s">
        <v>711</v>
      </c>
      <c r="F69" s="2376"/>
      <c r="O69" s="2430" t="s">
        <v>2387</v>
      </c>
      <c r="P69" s="2436" t="s">
        <v>2401</v>
      </c>
      <c r="Q69" s="2429">
        <f ca="1">ROUND(Q70-Q71*Q72,0)</f>
        <v>-8</v>
      </c>
      <c r="R69" s="2432"/>
    </row>
    <row r="70" spans="1:18" ht="15.75" thickBot="1">
      <c r="A70" s="826" t="s">
        <v>1788</v>
      </c>
      <c r="B70" s="827" t="s">
        <v>1811</v>
      </c>
      <c r="C70" s="828">
        <f ca="1">ROUND(C67*10000/F70,0)</f>
        <v>-1140</v>
      </c>
      <c r="D70" s="829" t="s">
        <v>1812</v>
      </c>
      <c r="E70" s="830" t="s">
        <v>1813</v>
      </c>
      <c r="F70" s="831">
        <f ca="1">F43</f>
        <v>2377.38</v>
      </c>
      <c r="O70" s="2430" t="s">
        <v>2402</v>
      </c>
      <c r="P70" s="2436" t="s">
        <v>2403</v>
      </c>
      <c r="Q70" s="2429">
        <f ca="1">C39</f>
        <v>36</v>
      </c>
      <c r="R70" s="2428" t="s">
        <v>2383</v>
      </c>
    </row>
    <row r="71" spans="1:18" ht="15.75" thickBot="1">
      <c r="O71" s="2430" t="s">
        <v>2404</v>
      </c>
      <c r="P71" s="2436" t="s">
        <v>2405</v>
      </c>
      <c r="Q71" s="2429">
        <f ca="1">C13</f>
        <v>550</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899</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2476</v>
      </c>
      <c r="B1" s="3475"/>
      <c r="C1" s="3476"/>
      <c r="D1" s="3477">
        <f>SUM(I10,I15,I20,I21,I23)</f>
        <v>0</v>
      </c>
      <c r="E1" s="3477"/>
      <c r="F1" s="3477"/>
      <c r="G1" s="3477"/>
      <c r="H1" s="3477"/>
      <c r="I1" s="3478"/>
    </row>
    <row r="2" spans="1:9">
      <c r="A2" s="3464" t="s">
        <v>2477</v>
      </c>
      <c r="B2" s="3465" t="s">
        <v>2478</v>
      </c>
      <c r="C2" s="3465"/>
      <c r="D2" s="2536" t="s">
        <v>2479</v>
      </c>
      <c r="E2" s="2536" t="s">
        <v>2480</v>
      </c>
      <c r="F2" s="2536" t="s">
        <v>2481</v>
      </c>
      <c r="G2" s="2536" t="s">
        <v>2482</v>
      </c>
      <c r="H2" s="2536" t="s">
        <v>2483</v>
      </c>
      <c r="I2" s="2537" t="s">
        <v>2484</v>
      </c>
    </row>
    <row r="3" spans="1:9">
      <c r="A3" s="3464"/>
      <c r="B3" s="3465" t="s">
        <v>2485</v>
      </c>
      <c r="C3" s="3465"/>
      <c r="D3" s="2538"/>
      <c r="E3" s="2536"/>
      <c r="F3" s="2539"/>
      <c r="G3" s="2539"/>
      <c r="H3" s="2540"/>
      <c r="I3" s="2541">
        <f>ROUND(D3*E3*F3*G3*H3/10000,0)</f>
        <v>0</v>
      </c>
    </row>
    <row r="4" spans="1:9">
      <c r="A4" s="3464"/>
      <c r="B4" s="3465" t="s">
        <v>2486</v>
      </c>
      <c r="C4" s="3465"/>
      <c r="D4" s="2538"/>
      <c r="E4" s="2536"/>
      <c r="F4" s="2539"/>
      <c r="G4" s="2539"/>
      <c r="H4" s="2540"/>
      <c r="I4" s="2541">
        <f t="shared" ref="I4:I9" si="0">ROUND(D4*E4*F4*G4*H4/10000,0)</f>
        <v>0</v>
      </c>
    </row>
    <row r="5" spans="1:9">
      <c r="A5" s="3464"/>
      <c r="B5" s="3465" t="s">
        <v>2487</v>
      </c>
      <c r="C5" s="3465"/>
      <c r="D5" s="2538"/>
      <c r="E5" s="2536"/>
      <c r="F5" s="2539"/>
      <c r="G5" s="2539"/>
      <c r="H5" s="2540"/>
      <c r="I5" s="2541">
        <f t="shared" si="0"/>
        <v>0</v>
      </c>
    </row>
    <row r="6" spans="1:9">
      <c r="A6" s="3464"/>
      <c r="B6" s="3465" t="s">
        <v>2488</v>
      </c>
      <c r="C6" s="3465"/>
      <c r="D6" s="2538"/>
      <c r="E6" s="2536"/>
      <c r="F6" s="2539"/>
      <c r="G6" s="2539"/>
      <c r="H6" s="2540"/>
      <c r="I6" s="2541">
        <f t="shared" si="0"/>
        <v>0</v>
      </c>
    </row>
    <row r="7" spans="1:9">
      <c r="A7" s="3464"/>
      <c r="B7" s="3465" t="s">
        <v>2489</v>
      </c>
      <c r="C7" s="3465"/>
      <c r="D7" s="2538"/>
      <c r="E7" s="2536"/>
      <c r="F7" s="2539"/>
      <c r="G7" s="2539"/>
      <c r="H7" s="2540"/>
      <c r="I7" s="2541">
        <f t="shared" si="0"/>
        <v>0</v>
      </c>
    </row>
    <row r="8" spans="1:9">
      <c r="A8" s="3464"/>
      <c r="B8" s="3465" t="s">
        <v>2490</v>
      </c>
      <c r="C8" s="3465"/>
      <c r="D8" s="2538"/>
      <c r="E8" s="2536"/>
      <c r="F8" s="2539"/>
      <c r="G8" s="2539"/>
      <c r="H8" s="2540"/>
      <c r="I8" s="2541">
        <f t="shared" si="0"/>
        <v>0</v>
      </c>
    </row>
    <row r="9" spans="1:9">
      <c r="A9" s="3464"/>
      <c r="B9" s="3465" t="s">
        <v>2491</v>
      </c>
      <c r="C9" s="3465"/>
      <c r="D9" s="2538"/>
      <c r="E9" s="2536"/>
      <c r="F9" s="2539"/>
      <c r="G9" s="2539"/>
      <c r="H9" s="2540"/>
      <c r="I9" s="2541">
        <f t="shared" si="0"/>
        <v>0</v>
      </c>
    </row>
    <row r="10" spans="1:9">
      <c r="A10" s="3464"/>
      <c r="B10" s="3466" t="s">
        <v>2492</v>
      </c>
      <c r="C10" s="3466"/>
      <c r="D10" s="2542">
        <v>527</v>
      </c>
      <c r="E10" s="2542" t="e">
        <f>ROUND(D1*10000/D10/H9,0)</f>
        <v>#DIV/0!</v>
      </c>
      <c r="F10" s="2543"/>
      <c r="G10" s="2543"/>
      <c r="H10" s="2544"/>
      <c r="I10" s="2545">
        <f>SUM(I3:I9)</f>
        <v>0</v>
      </c>
    </row>
    <row r="11" spans="1:9" ht="14.25">
      <c r="A11" s="3464" t="s">
        <v>2493</v>
      </c>
      <c r="B11" s="3465" t="s">
        <v>2494</v>
      </c>
      <c r="C11" s="3465"/>
      <c r="D11" s="2538" t="s">
        <v>2495</v>
      </c>
      <c r="E11" s="2538" t="s">
        <v>2496</v>
      </c>
      <c r="F11" s="2539" t="s">
        <v>2497</v>
      </c>
      <c r="G11" s="2539" t="s">
        <v>2498</v>
      </c>
      <c r="H11" s="2546" t="s">
        <v>2499</v>
      </c>
      <c r="I11" s="2537" t="s">
        <v>2500</v>
      </c>
    </row>
    <row r="12" spans="1:9">
      <c r="A12" s="3464"/>
      <c r="B12" s="3465" t="s">
        <v>2501</v>
      </c>
      <c r="C12" s="3465"/>
      <c r="D12" s="2538"/>
      <c r="E12" s="2538"/>
      <c r="F12" s="2539"/>
      <c r="G12" s="2540"/>
      <c r="H12" s="2547"/>
      <c r="I12" s="2537">
        <f>ROUND(D12*E12*F12*G12/10000,0)</f>
        <v>0</v>
      </c>
    </row>
    <row r="13" spans="1:9">
      <c r="A13" s="3464"/>
      <c r="B13" s="3465" t="s">
        <v>2502</v>
      </c>
      <c r="C13" s="3465"/>
      <c r="D13" s="2538"/>
      <c r="E13" s="2538"/>
      <c r="F13" s="2539"/>
      <c r="G13" s="2540"/>
      <c r="H13" s="2547"/>
      <c r="I13" s="2537">
        <f>ROUND(D13*E13*F13*G13/10000,0)</f>
        <v>0</v>
      </c>
    </row>
    <row r="14" spans="1:9">
      <c r="A14" s="3464"/>
      <c r="B14" s="3465" t="s">
        <v>2503</v>
      </c>
      <c r="C14" s="3465"/>
      <c r="D14" s="2538"/>
      <c r="E14" s="2538"/>
      <c r="F14" s="2539"/>
      <c r="G14" s="2540"/>
      <c r="H14" s="2547"/>
      <c r="I14" s="2537">
        <f>ROUND(D14*E14*F14*G14/10000,0)</f>
        <v>0</v>
      </c>
    </row>
    <row r="15" spans="1:9">
      <c r="A15" s="3464"/>
      <c r="B15" s="3466" t="s">
        <v>2492</v>
      </c>
      <c r="C15" s="3466"/>
      <c r="D15" s="2542"/>
      <c r="E15" s="2542">
        <f>SUM(E12:E14)</f>
        <v>0</v>
      </c>
      <c r="F15" s="2543"/>
      <c r="G15" s="2540"/>
      <c r="H15" s="2547"/>
      <c r="I15" s="2548">
        <f>SUM(I12:I14)</f>
        <v>0</v>
      </c>
    </row>
    <row r="16" spans="1:9" ht="24">
      <c r="A16" s="3464" t="s">
        <v>2504</v>
      </c>
      <c r="B16" s="3465" t="s">
        <v>2505</v>
      </c>
      <c r="C16" s="3465"/>
      <c r="D16" s="2538" t="s">
        <v>2506</v>
      </c>
      <c r="E16" s="2549" t="s">
        <v>2507</v>
      </c>
      <c r="F16" s="2539" t="s">
        <v>2508</v>
      </c>
      <c r="G16" s="2540" t="s">
        <v>2498</v>
      </c>
      <c r="H16" s="2546" t="s">
        <v>2499</v>
      </c>
      <c r="I16" s="2537" t="s">
        <v>2500</v>
      </c>
    </row>
    <row r="17" spans="1:9" ht="14.25">
      <c r="A17" s="3464"/>
      <c r="B17" s="3465" t="s">
        <v>2509</v>
      </c>
      <c r="C17" s="3465"/>
      <c r="D17" s="2538"/>
      <c r="E17" s="2538"/>
      <c r="F17" s="2539"/>
      <c r="G17" s="2540"/>
      <c r="H17" s="2550"/>
      <c r="I17" s="2551">
        <f>ROUND(D17*E17*F17*G17/10000,0)</f>
        <v>0</v>
      </c>
    </row>
    <row r="18" spans="1:9" ht="14.25">
      <c r="A18" s="3464"/>
      <c r="B18" s="3465" t="s">
        <v>2510</v>
      </c>
      <c r="C18" s="3465"/>
      <c r="D18" s="2538"/>
      <c r="E18" s="2538"/>
      <c r="F18" s="2539"/>
      <c r="G18" s="2540"/>
      <c r="H18" s="2550"/>
      <c r="I18" s="2551">
        <f>ROUND(D18*E18*F18*G18/10000,0)</f>
        <v>0</v>
      </c>
    </row>
    <row r="19" spans="1:9" ht="14.25">
      <c r="A19" s="3464"/>
      <c r="B19" s="3465" t="s">
        <v>2511</v>
      </c>
      <c r="C19" s="3465"/>
      <c r="D19" s="2538"/>
      <c r="E19" s="2538"/>
      <c r="F19" s="2539"/>
      <c r="G19" s="2540"/>
      <c r="H19" s="2550"/>
      <c r="I19" s="2551">
        <f>ROUND(D19*E19*F19*G19/10000,0)</f>
        <v>0</v>
      </c>
    </row>
    <row r="20" spans="1:9">
      <c r="A20" s="3464"/>
      <c r="B20" s="3466" t="s">
        <v>2492</v>
      </c>
      <c r="C20" s="3466"/>
      <c r="D20" s="2542">
        <f>SUM(D17:D19)</f>
        <v>0</v>
      </c>
      <c r="E20" s="2542"/>
      <c r="F20" s="2543"/>
      <c r="G20" s="2540"/>
      <c r="H20" s="2547"/>
      <c r="I20" s="2548">
        <f>SUM(I17:I19)</f>
        <v>0</v>
      </c>
    </row>
    <row r="21" spans="1:9">
      <c r="A21" s="3464" t="s">
        <v>2512</v>
      </c>
      <c r="B21" s="3467"/>
      <c r="C21" s="3467"/>
      <c r="D21" s="3467"/>
      <c r="E21" s="3467"/>
      <c r="F21" s="3467"/>
      <c r="G21" s="3467"/>
      <c r="H21" s="2552">
        <v>0.1</v>
      </c>
      <c r="I21" s="2545">
        <f>ROUND(I10*H21,0)</f>
        <v>0</v>
      </c>
    </row>
    <row r="22" spans="1:9" ht="14.25">
      <c r="A22" s="3468" t="s">
        <v>2513</v>
      </c>
      <c r="B22" s="3469"/>
      <c r="C22" s="3470"/>
      <c r="D22" s="2553" t="s">
        <v>2514</v>
      </c>
      <c r="E22" s="2553" t="s">
        <v>2515</v>
      </c>
      <c r="F22" s="2554" t="s">
        <v>2516</v>
      </c>
      <c r="G22" s="2554" t="s">
        <v>2517</v>
      </c>
      <c r="H22" s="2546" t="s">
        <v>2518</v>
      </c>
      <c r="I22" s="2537" t="s">
        <v>2519</v>
      </c>
    </row>
    <row r="23" spans="1:9" ht="14.25" thickBot="1">
      <c r="A23" s="3471"/>
      <c r="B23" s="3472"/>
      <c r="C23" s="3473"/>
      <c r="D23" s="2555"/>
      <c r="E23" s="2555"/>
      <c r="F23" s="2555"/>
      <c r="G23" s="2556"/>
      <c r="H23" s="2557"/>
      <c r="I23" s="2558">
        <f>ROUND(E23*D23*F23*(1-G23)/10000,0)</f>
        <v>0</v>
      </c>
    </row>
    <row r="26" spans="1:9">
      <c r="A26" s="2559" t="s">
        <v>2520</v>
      </c>
      <c r="B26" s="2559"/>
      <c r="C26" s="2559"/>
      <c r="D26" s="2559"/>
      <c r="E26" s="3461">
        <f>C27-C30-C31-C32</f>
        <v>0</v>
      </c>
      <c r="F26" s="3461"/>
      <c r="G26" s="3461"/>
      <c r="H26" s="3075" t="s">
        <v>2850</v>
      </c>
    </row>
    <row r="27" spans="1:9">
      <c r="A27" s="2560">
        <v>1</v>
      </c>
      <c r="B27" s="2561" t="s">
        <v>2521</v>
      </c>
      <c r="C27" s="2561"/>
      <c r="D27" s="2561"/>
      <c r="E27" s="3462"/>
      <c r="F27" s="3462"/>
      <c r="G27" s="3462"/>
    </row>
    <row r="28" spans="1:9">
      <c r="A28" s="2562" t="s">
        <v>2522</v>
      </c>
      <c r="B28" s="2561" t="s">
        <v>2523</v>
      </c>
      <c r="C28" s="2561"/>
      <c r="D28" s="2561"/>
      <c r="E28" s="3462"/>
      <c r="F28" s="3462"/>
      <c r="G28" s="3462"/>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63"/>
      <c r="F32" s="3463"/>
      <c r="G32" s="3463"/>
    </row>
    <row r="33" spans="1:7" hidden="1">
      <c r="A33" s="3458" t="s">
        <v>2531</v>
      </c>
      <c r="B33" s="3459"/>
      <c r="C33" s="3459"/>
      <c r="D33" s="3460"/>
      <c r="E33" s="3461"/>
      <c r="F33" s="3461"/>
      <c r="G33" s="3461"/>
    </row>
    <row r="34" spans="1:7" hidden="1">
      <c r="A34" s="2564">
        <v>1</v>
      </c>
      <c r="B34" s="2561" t="s">
        <v>2532</v>
      </c>
      <c r="C34" s="2561"/>
      <c r="D34" s="2561"/>
      <c r="E34" s="3462"/>
      <c r="F34" s="3462"/>
      <c r="G34" s="3462"/>
    </row>
    <row r="35" spans="1:7" hidden="1">
      <c r="A35" s="2564">
        <v>2</v>
      </c>
      <c r="B35" s="2561" t="s">
        <v>2533</v>
      </c>
      <c r="C35" s="2561"/>
      <c r="D35" s="2561"/>
      <c r="E35" s="3462"/>
      <c r="F35" s="3462"/>
      <c r="G35" s="3462"/>
    </row>
    <row r="36" spans="1:7" hidden="1">
      <c r="A36" s="2564">
        <v>3</v>
      </c>
      <c r="B36" s="2561" t="s">
        <v>2534</v>
      </c>
      <c r="C36" s="2561"/>
      <c r="D36" s="2561"/>
      <c r="E36" s="3462"/>
      <c r="F36" s="3462"/>
      <c r="G36" s="3462"/>
    </row>
    <row r="37" spans="1:7" hidden="1">
      <c r="A37" s="2564">
        <v>4</v>
      </c>
      <c r="B37" s="2561" t="s">
        <v>2535</v>
      </c>
      <c r="C37" s="2561"/>
      <c r="D37" s="2561"/>
      <c r="E37" s="3462"/>
      <c r="F37" s="3462"/>
      <c r="G37" s="3462"/>
    </row>
    <row r="38" spans="1:7" hidden="1">
      <c r="A38" s="3458" t="s">
        <v>2536</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16687.060000000001</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52</v>
      </c>
      <c r="D13" s="761">
        <f>'数据-汇总表'!E6</f>
        <v>2377.380000000001</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0.23</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0.95099999999999996</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8" zoomScale="80" zoomScaleNormal="80" workbookViewId="0">
      <selection activeCell="L19" sqref="L19"/>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3001</v>
      </c>
      <c r="E1" s="2655"/>
      <c r="F1" s="2838" t="s">
        <v>3054</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24322</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16997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85" t="s">
        <v>523</v>
      </c>
      <c r="D4" s="3386"/>
      <c r="E4" s="3410" t="s">
        <v>524</v>
      </c>
      <c r="F4" s="3411"/>
      <c r="G4" s="3385" t="s">
        <v>525</v>
      </c>
      <c r="H4" s="3386"/>
      <c r="I4" s="3385" t="s">
        <v>526</v>
      </c>
      <c r="J4" s="3386"/>
      <c r="K4" s="856"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6" t="s">
        <v>3030</v>
      </c>
      <c r="D5" s="3397"/>
      <c r="E5" s="3479" t="s">
        <v>3021</v>
      </c>
      <c r="F5" s="3413"/>
      <c r="G5" s="3396" t="s">
        <v>3026</v>
      </c>
      <c r="H5" s="3397"/>
      <c r="I5" s="3396" t="s">
        <v>3022</v>
      </c>
      <c r="J5" s="3397"/>
      <c r="K5" s="85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480" t="str">
        <f>项目基本情况!F10</f>
        <v>海口市椰海大道南侧、丘海大道延长线西侧</v>
      </c>
      <c r="D6" s="3395"/>
      <c r="E6" s="3481" t="s">
        <v>3028</v>
      </c>
      <c r="F6" s="3415"/>
      <c r="G6" s="3482" t="s">
        <v>3027</v>
      </c>
      <c r="H6" s="3395"/>
      <c r="I6" s="3482" t="s">
        <v>3029</v>
      </c>
      <c r="J6" s="3395"/>
      <c r="K6" s="85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371" t="s">
        <v>531</v>
      </c>
      <c r="Q7" s="3380"/>
      <c r="R7" s="1572" t="s">
        <v>13</v>
      </c>
      <c r="S7" s="1573">
        <f t="shared" ref="S7:S15" si="0">F7</f>
        <v>100</v>
      </c>
      <c r="T7" s="1572" t="s">
        <v>13</v>
      </c>
      <c r="U7" s="1573">
        <f t="shared" ref="U7:U15" si="1">H7</f>
        <v>100</v>
      </c>
      <c r="V7" s="1572" t="s">
        <v>13</v>
      </c>
      <c r="W7" s="1573">
        <f t="shared" ref="W7:W15" si="2">J7</f>
        <v>100</v>
      </c>
      <c r="X7" s="1574"/>
      <c r="Y7" s="3371" t="s">
        <v>531</v>
      </c>
      <c r="Z7" s="3372"/>
      <c r="AA7" s="1575">
        <f>D7/F7</f>
        <v>1</v>
      </c>
      <c r="AB7" s="1575">
        <f>D7/H7</f>
        <v>1</v>
      </c>
      <c r="AC7" s="1575">
        <f>D7/J7</f>
        <v>1</v>
      </c>
    </row>
    <row r="8" spans="1:29" s="1223" customFormat="1" ht="15.75" thickBot="1">
      <c r="A8" s="2944"/>
      <c r="B8" s="2951" t="s">
        <v>532</v>
      </c>
      <c r="C8" s="528" t="s">
        <v>577</v>
      </c>
      <c r="D8" s="523">
        <v>100</v>
      </c>
      <c r="E8" s="859" t="s">
        <v>3023</v>
      </c>
      <c r="F8" s="525">
        <f>SUMIF(61:61,E8,62:62)-SUMIF(61:61,C8,62:62)+100</f>
        <v>100</v>
      </c>
      <c r="G8" s="528" t="s">
        <v>3023</v>
      </c>
      <c r="H8" s="523">
        <f>SUMIF(61:61,G8,62:62)-SUMIF(61:61,C8,62:62)+100</f>
        <v>100</v>
      </c>
      <c r="I8" s="859" t="s">
        <v>3023</v>
      </c>
      <c r="J8" s="523">
        <f>SUMIF(61:61,I8,62:62)-SUMIF(61:61,C8,62:62)+100</f>
        <v>100</v>
      </c>
      <c r="K8" s="858"/>
      <c r="L8" s="2140"/>
      <c r="M8" s="2141"/>
      <c r="N8" s="2141"/>
      <c r="O8" s="2141"/>
      <c r="P8" s="3371" t="s">
        <v>534</v>
      </c>
      <c r="Q8" s="3372"/>
      <c r="R8" s="1572" t="s">
        <v>13</v>
      </c>
      <c r="S8" s="1573">
        <f t="shared" si="0"/>
        <v>100</v>
      </c>
      <c r="T8" s="1572" t="s">
        <v>13</v>
      </c>
      <c r="U8" s="1573">
        <f t="shared" si="1"/>
        <v>100</v>
      </c>
      <c r="V8" s="1572" t="s">
        <v>13</v>
      </c>
      <c r="W8" s="1573">
        <f t="shared" si="2"/>
        <v>100</v>
      </c>
      <c r="X8" s="1574"/>
      <c r="Y8" s="3371" t="s">
        <v>534</v>
      </c>
      <c r="Z8" s="3372"/>
      <c r="AA8" s="1575">
        <f t="shared" ref="AA8:AA46" si="3">D8/F8</f>
        <v>1</v>
      </c>
      <c r="AB8" s="1575">
        <f t="shared" ref="AB8:AB46" si="4">D8/H8</f>
        <v>1</v>
      </c>
      <c r="AC8" s="1575">
        <f t="shared" ref="AC8:AC46" si="5">D8/J8</f>
        <v>1</v>
      </c>
    </row>
    <row r="9" spans="1:29" s="1223" customFormat="1" ht="15">
      <c r="A9" s="2945"/>
      <c r="B9" s="2952" t="s">
        <v>2763</v>
      </c>
      <c r="C9" s="3171" t="s">
        <v>3024</v>
      </c>
      <c r="D9" s="254">
        <v>100</v>
      </c>
      <c r="E9" s="3172" t="s">
        <v>3024</v>
      </c>
      <c r="F9" s="862">
        <f>SUMIF(63:63,E9,64:64)-SUMIF(63:63,C9,64:64)+100</f>
        <v>100</v>
      </c>
      <c r="G9" s="3173" t="s">
        <v>3024</v>
      </c>
      <c r="H9" s="254">
        <f>SUMIF(63:63,G9,64:64)-SUMIF(63:63,C9,64:64)+100</f>
        <v>100</v>
      </c>
      <c r="I9" s="3173" t="s">
        <v>3024</v>
      </c>
      <c r="J9" s="254">
        <f>SUMIF(63:63,I9,64:64)-SUMIF(63:63,C9,64:64)+100</f>
        <v>100</v>
      </c>
      <c r="K9" s="858"/>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75" thickBot="1">
      <c r="A11" s="2947"/>
      <c r="B11" s="2951" t="s">
        <v>2765</v>
      </c>
      <c r="C11" s="536">
        <f>'数据-汇总表'!I6</f>
        <v>1.85</v>
      </c>
      <c r="D11" s="255">
        <v>100</v>
      </c>
      <c r="E11" s="537">
        <v>2.5</v>
      </c>
      <c r="F11" s="866">
        <f>LOOKUP(E11,68:68,69:69)-LOOKUP(C11,68:68,69:69)+100</f>
        <v>98</v>
      </c>
      <c r="G11" s="536">
        <v>2.4900000000000002</v>
      </c>
      <c r="H11" s="255">
        <f>LOOKUP(G11,68:68,69:69)-LOOKUP(C11,68:68,69:69)+100</f>
        <v>98</v>
      </c>
      <c r="I11" s="536">
        <v>2.8</v>
      </c>
      <c r="J11" s="255">
        <f>LOOKUP(I11,68:68,69:69)-LOOKUP(C11,68:68,69:69)+100</f>
        <v>98</v>
      </c>
      <c r="K11" s="867">
        <v>2</v>
      </c>
      <c r="L11" s="2145"/>
      <c r="M11" s="2139"/>
      <c r="N11" s="2139"/>
      <c r="O11" s="2146"/>
      <c r="P11" s="3379"/>
      <c r="Q11" s="1154" t="str">
        <f t="shared" si="6"/>
        <v>容积率</v>
      </c>
      <c r="R11" s="1572" t="s">
        <v>11</v>
      </c>
      <c r="S11" s="1573">
        <f t="shared" si="0"/>
        <v>98</v>
      </c>
      <c r="T11" s="1572" t="s">
        <v>11</v>
      </c>
      <c r="U11" s="1573">
        <f t="shared" si="1"/>
        <v>98</v>
      </c>
      <c r="V11" s="1572" t="s">
        <v>11</v>
      </c>
      <c r="W11" s="1573">
        <f t="shared" si="2"/>
        <v>98</v>
      </c>
      <c r="X11" s="1574"/>
      <c r="Y11" s="3336"/>
      <c r="Z11" s="1153" t="str">
        <f t="shared" si="7"/>
        <v>容积率</v>
      </c>
      <c r="AA11" s="1575">
        <f t="shared" si="3"/>
        <v>1.0204081632653061</v>
      </c>
      <c r="AB11" s="1575">
        <f t="shared" si="4"/>
        <v>1.0204081632653061</v>
      </c>
      <c r="AC11" s="1575">
        <f t="shared" si="5"/>
        <v>1.0204081632653061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9"/>
      <c r="Q12" s="1154">
        <f t="shared" si="6"/>
        <v>111</v>
      </c>
      <c r="R12" s="1572" t="s">
        <v>11</v>
      </c>
      <c r="S12" s="1573">
        <f t="shared" si="0"/>
        <v>100</v>
      </c>
      <c r="T12" s="1572" t="s">
        <v>11</v>
      </c>
      <c r="U12" s="1573">
        <f t="shared" si="1"/>
        <v>100</v>
      </c>
      <c r="V12" s="1572" t="s">
        <v>11</v>
      </c>
      <c r="W12" s="1573">
        <f t="shared" si="2"/>
        <v>100</v>
      </c>
      <c r="X12" s="1574"/>
      <c r="Y12" s="3336"/>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9"/>
      <c r="Q13" s="1154">
        <f t="shared" si="6"/>
        <v>111</v>
      </c>
      <c r="R13" s="1572" t="s">
        <v>11</v>
      </c>
      <c r="S13" s="1573">
        <f t="shared" si="0"/>
        <v>100</v>
      </c>
      <c r="T13" s="1572" t="s">
        <v>11</v>
      </c>
      <c r="U13" s="1573">
        <f t="shared" si="1"/>
        <v>100</v>
      </c>
      <c r="V13" s="1572" t="s">
        <v>11</v>
      </c>
      <c r="W13" s="1573">
        <f t="shared" si="2"/>
        <v>100</v>
      </c>
      <c r="X13" s="1574"/>
      <c r="Y13" s="3336"/>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9"/>
      <c r="Q14" s="1154">
        <f t="shared" si="6"/>
        <v>111</v>
      </c>
      <c r="R14" s="1572" t="s">
        <v>11</v>
      </c>
      <c r="S14" s="1573">
        <f t="shared" si="0"/>
        <v>100</v>
      </c>
      <c r="T14" s="1572" t="s">
        <v>11</v>
      </c>
      <c r="U14" s="1573">
        <f t="shared" si="1"/>
        <v>100</v>
      </c>
      <c r="V14" s="1572" t="s">
        <v>11</v>
      </c>
      <c r="W14" s="1573">
        <f t="shared" si="2"/>
        <v>100</v>
      </c>
      <c r="X14" s="1574"/>
      <c r="Y14" s="3336"/>
      <c r="Z14" s="1153">
        <f t="shared" si="7"/>
        <v>111</v>
      </c>
      <c r="AA14" s="1575">
        <f t="shared" si="3"/>
        <v>1</v>
      </c>
      <c r="AB14" s="1575">
        <f t="shared" si="4"/>
        <v>1</v>
      </c>
      <c r="AC14" s="1575">
        <f t="shared" si="5"/>
        <v>1</v>
      </c>
    </row>
    <row r="15" spans="1:29" ht="114">
      <c r="A15" s="2941" t="s">
        <v>2761</v>
      </c>
      <c r="B15" s="166" t="s">
        <v>295</v>
      </c>
      <c r="C15" s="870" t="str">
        <f>估价对象房地状况!C3</f>
        <v>估价对象周边周边有紫竹园、伟业致青春、海口碧桂园等住宅小区均正在待开发项目，综合评价居住社区成熟度一般</v>
      </c>
      <c r="D15" s="552">
        <v>100</v>
      </c>
      <c r="E15" s="3187" t="s">
        <v>3098</v>
      </c>
      <c r="F15" s="554">
        <f>SUMIF(76:76,E16,77:77)-SUMIF(76:76,C16,77:77)+100</f>
        <v>100</v>
      </c>
      <c r="G15" s="3186" t="s">
        <v>3099</v>
      </c>
      <c r="H15" s="552">
        <f>SUMIF(76:76,G16,77:77)-SUMIF(76:76,C16,77:77)+100</f>
        <v>100</v>
      </c>
      <c r="I15" s="3187" t="s">
        <v>3100</v>
      </c>
      <c r="J15" s="552">
        <f>SUMIF(76:76,I16,77:77)-SUMIF(76:76,C16,77:77)+100</f>
        <v>100</v>
      </c>
      <c r="K15" s="871"/>
      <c r="L15" s="2147"/>
      <c r="M15" s="2139"/>
      <c r="N15" s="2139"/>
      <c r="O15" s="2146"/>
      <c r="P15" s="3381" t="s">
        <v>541</v>
      </c>
      <c r="Q15" s="1576" t="str">
        <f t="shared" si="6"/>
        <v>居住社区成熟度</v>
      </c>
      <c r="R15" s="1577" t="s">
        <v>11</v>
      </c>
      <c r="S15" s="1578">
        <f t="shared" si="0"/>
        <v>100</v>
      </c>
      <c r="T15" s="1577" t="s">
        <v>11</v>
      </c>
      <c r="U15" s="1578">
        <f t="shared" si="1"/>
        <v>100</v>
      </c>
      <c r="V15" s="1577" t="s">
        <v>11</v>
      </c>
      <c r="W15" s="1578">
        <f t="shared" si="2"/>
        <v>100</v>
      </c>
      <c r="X15" s="1571"/>
      <c r="Y15" s="3381" t="s">
        <v>541</v>
      </c>
      <c r="Z15" s="1579" t="str">
        <f t="shared" si="7"/>
        <v>居住社区成熟度</v>
      </c>
      <c r="AA15" s="1580">
        <f t="shared" si="3"/>
        <v>1</v>
      </c>
      <c r="AB15" s="1580">
        <f t="shared" si="4"/>
        <v>1</v>
      </c>
      <c r="AC15" s="1580">
        <f t="shared" si="5"/>
        <v>1</v>
      </c>
    </row>
    <row r="16" spans="1:29" ht="15">
      <c r="A16" s="535"/>
      <c r="B16" s="872"/>
      <c r="C16" s="579" t="s">
        <v>3041</v>
      </c>
      <c r="D16" s="558"/>
      <c r="E16" s="559" t="s">
        <v>3041</v>
      </c>
      <c r="F16" s="560"/>
      <c r="G16" s="561" t="s">
        <v>3041</v>
      </c>
      <c r="H16" s="562"/>
      <c r="I16" s="559" t="s">
        <v>3041</v>
      </c>
      <c r="J16" s="558"/>
      <c r="K16" s="873"/>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3101</v>
      </c>
      <c r="F17" s="566">
        <f>SUMIF(78:78,E18,79:79)-SUMIF(78:78,C18,79:79)+100</f>
        <v>100</v>
      </c>
      <c r="G17" s="567" t="s">
        <v>3101</v>
      </c>
      <c r="H17" s="568">
        <f>SUMIF(78:78,G18,79:79)-SUMIF(78:78,C18,79:79)+100</f>
        <v>100</v>
      </c>
      <c r="I17" s="565" t="s">
        <v>3101</v>
      </c>
      <c r="J17" s="568">
        <f>SUMIF(78:78,I18,79:79)-SUMIF(78:78,C18,79:79)+100</f>
        <v>100</v>
      </c>
      <c r="K17" s="871"/>
      <c r="L17" s="2147"/>
      <c r="M17" s="2139"/>
      <c r="N17" s="2139"/>
      <c r="O17" s="2146"/>
      <c r="P17" s="3382"/>
      <c r="Q17" s="1576" t="str">
        <f>B17</f>
        <v>交通便捷度</v>
      </c>
      <c r="R17" s="1577" t="s">
        <v>11</v>
      </c>
      <c r="S17" s="1578">
        <f>F17</f>
        <v>100</v>
      </c>
      <c r="T17" s="1577" t="s">
        <v>11</v>
      </c>
      <c r="U17" s="1578">
        <f>H17</f>
        <v>100</v>
      </c>
      <c r="V17" s="1577" t="s">
        <v>11</v>
      </c>
      <c r="W17" s="1578">
        <f>J17</f>
        <v>100</v>
      </c>
      <c r="X17" s="1571"/>
      <c r="Y17" s="3382"/>
      <c r="Z17" s="1579" t="str">
        <f>Q17</f>
        <v>交通便捷度</v>
      </c>
      <c r="AA17" s="1580">
        <f t="shared" si="3"/>
        <v>1</v>
      </c>
      <c r="AB17" s="1580">
        <f t="shared" si="4"/>
        <v>1</v>
      </c>
      <c r="AC17" s="1580">
        <f t="shared" si="5"/>
        <v>1</v>
      </c>
    </row>
    <row r="18" spans="1:29" ht="15">
      <c r="A18" s="535"/>
      <c r="B18" s="598"/>
      <c r="C18" s="876" t="s">
        <v>3039</v>
      </c>
      <c r="D18" s="562"/>
      <c r="E18" s="571" t="s">
        <v>3039</v>
      </c>
      <c r="F18" s="566"/>
      <c r="G18" s="572" t="s">
        <v>3039</v>
      </c>
      <c r="H18" s="558"/>
      <c r="I18" s="571" t="s">
        <v>3039</v>
      </c>
      <c r="J18" s="558"/>
      <c r="K18" s="873"/>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3102</v>
      </c>
      <c r="F19" s="574">
        <f>SUMIF(80:80,E20,81:81)-SUMIF(80:80,C20,81:81)+100</f>
        <v>100</v>
      </c>
      <c r="G19" s="3189" t="s">
        <v>3102</v>
      </c>
      <c r="H19" s="562">
        <f>SUMIF(80:80,G20,81:81)-SUMIF(80:80,C20,81:81)+100</f>
        <v>100</v>
      </c>
      <c r="I19" s="3188" t="s">
        <v>3102</v>
      </c>
      <c r="J19" s="562">
        <f>SUMIF(80:80,I20,81:81)-SUMIF(80:80,C20,81:81)+100</f>
        <v>100</v>
      </c>
      <c r="K19" s="871"/>
      <c r="L19" s="2147"/>
      <c r="M19" s="2139"/>
      <c r="N19" s="2139"/>
      <c r="O19" s="2146"/>
      <c r="P19" s="3382"/>
      <c r="Q19" s="1576" t="str">
        <f>B19</f>
        <v>公共配套设施</v>
      </c>
      <c r="R19" s="1577" t="s">
        <v>11</v>
      </c>
      <c r="S19" s="1578">
        <f>F19</f>
        <v>100</v>
      </c>
      <c r="T19" s="1577" t="s">
        <v>11</v>
      </c>
      <c r="U19" s="1578">
        <f>H19</f>
        <v>100</v>
      </c>
      <c r="V19" s="1577" t="s">
        <v>11</v>
      </c>
      <c r="W19" s="1578">
        <f>J19</f>
        <v>100</v>
      </c>
      <c r="X19" s="1571"/>
      <c r="Y19" s="3382"/>
      <c r="Z19" s="1579" t="str">
        <f>Q19</f>
        <v>公共配套设施</v>
      </c>
      <c r="AA19" s="1580">
        <f t="shared" si="3"/>
        <v>1</v>
      </c>
      <c r="AB19" s="1580">
        <f t="shared" si="4"/>
        <v>1</v>
      </c>
      <c r="AC19" s="1580">
        <f t="shared" si="5"/>
        <v>1</v>
      </c>
    </row>
    <row r="20" spans="1:29" ht="15">
      <c r="A20" s="535"/>
      <c r="B20" s="598"/>
      <c r="C20" s="579" t="s">
        <v>3041</v>
      </c>
      <c r="D20" s="558"/>
      <c r="E20" s="559" t="s">
        <v>3041</v>
      </c>
      <c r="F20" s="560"/>
      <c r="G20" s="561" t="s">
        <v>3041</v>
      </c>
      <c r="H20" s="558"/>
      <c r="I20" s="559" t="s">
        <v>3041</v>
      </c>
      <c r="J20" s="558"/>
      <c r="K20" s="873"/>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3189" t="s">
        <v>3103</v>
      </c>
      <c r="F21" s="574">
        <f>SUMIF(82:82,E22,83:83)-SUMIF(82:82,C22,83:83)+100</f>
        <v>100</v>
      </c>
      <c r="G21" s="3189" t="s">
        <v>3103</v>
      </c>
      <c r="H21" s="568">
        <f>SUMIF(82:82,G22,83:83)-SUMIF(82:82,C22,83:83)+100</f>
        <v>100</v>
      </c>
      <c r="I21" s="3188" t="s">
        <v>3103</v>
      </c>
      <c r="J21" s="568">
        <f>SUMIF(82:82,I22,83:83)-SUMIF(82:82,C22,83:83)+100</f>
        <v>100</v>
      </c>
      <c r="K21" s="871"/>
      <c r="L21" s="2147"/>
      <c r="M21" s="2139"/>
      <c r="N21" s="2139"/>
      <c r="O21" s="2146"/>
      <c r="P21" s="3382"/>
      <c r="Q21" s="2608" t="str">
        <f>B21</f>
        <v>基础设施水平</v>
      </c>
      <c r="R21" s="1577" t="s">
        <v>11</v>
      </c>
      <c r="S21" s="1578">
        <f>F21</f>
        <v>100</v>
      </c>
      <c r="T21" s="1577" t="s">
        <v>11</v>
      </c>
      <c r="U21" s="1578">
        <f>H21</f>
        <v>100</v>
      </c>
      <c r="V21" s="1577" t="s">
        <v>11</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t="s">
        <v>3104</v>
      </c>
      <c r="D22" s="558"/>
      <c r="E22" s="579" t="s">
        <v>3104</v>
      </c>
      <c r="F22" s="560"/>
      <c r="G22" s="579" t="s">
        <v>3104</v>
      </c>
      <c r="H22" s="558"/>
      <c r="I22" s="579" t="s">
        <v>3104</v>
      </c>
      <c r="J22" s="558"/>
      <c r="K22" s="2628"/>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3105</v>
      </c>
      <c r="F23" s="566">
        <f>SUMIF(84:84,E24,85:85)-SUMIF(84:84,C24,85:85)+100</f>
        <v>100</v>
      </c>
      <c r="G23" s="3191" t="s">
        <v>3105</v>
      </c>
      <c r="H23" s="562">
        <f>SUMIF(84:84,G24,85:85)-SUMIF(84:84,C24,85:85)+100</f>
        <v>100</v>
      </c>
      <c r="I23" s="3190" t="s">
        <v>3105</v>
      </c>
      <c r="J23" s="562">
        <f>SUMIF(84:84,I24,85:85)-SUMIF(84:84,C24,85:85)+100</f>
        <v>100</v>
      </c>
      <c r="K23" s="871"/>
      <c r="L23" s="2147"/>
      <c r="M23" s="2139"/>
      <c r="N23" s="2139"/>
      <c r="O23" s="2146"/>
      <c r="P23" s="3382"/>
      <c r="Q23" s="1576" t="str">
        <f>B23</f>
        <v>自然及人文环境</v>
      </c>
      <c r="R23" s="1577" t="s">
        <v>11</v>
      </c>
      <c r="S23" s="1578">
        <f>F23</f>
        <v>100</v>
      </c>
      <c r="T23" s="1577" t="s">
        <v>11</v>
      </c>
      <c r="U23" s="1578">
        <f>H23</f>
        <v>100</v>
      </c>
      <c r="V23" s="1577" t="s">
        <v>11</v>
      </c>
      <c r="W23" s="1578">
        <f>J23</f>
        <v>100</v>
      </c>
      <c r="X23" s="1571"/>
      <c r="Y23" s="3382"/>
      <c r="Z23" s="1579" t="str">
        <f>Q23</f>
        <v>自然及人文环境</v>
      </c>
      <c r="AA23" s="1580">
        <f t="shared" si="3"/>
        <v>1</v>
      </c>
      <c r="AB23" s="1580">
        <f t="shared" si="4"/>
        <v>1</v>
      </c>
      <c r="AC23" s="1580">
        <f t="shared" si="5"/>
        <v>1</v>
      </c>
    </row>
    <row r="24" spans="1:29" ht="15">
      <c r="A24" s="535"/>
      <c r="B24" s="598"/>
      <c r="C24" s="579" t="s">
        <v>3041</v>
      </c>
      <c r="D24" s="558"/>
      <c r="E24" s="559" t="s">
        <v>3041</v>
      </c>
      <c r="F24" s="560"/>
      <c r="G24" s="561" t="s">
        <v>3041</v>
      </c>
      <c r="H24" s="558"/>
      <c r="I24" s="559" t="s">
        <v>3041</v>
      </c>
      <c r="J24" s="558"/>
      <c r="K24" s="873"/>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2"/>
      <c r="Q25" s="1576" t="str">
        <f t="shared" ref="Q25:Q46" si="11">B25</f>
        <v>楼层-1</v>
      </c>
      <c r="R25" s="1577" t="s">
        <v>11</v>
      </c>
      <c r="S25" s="1578">
        <f>F25</f>
        <v>100</v>
      </c>
      <c r="T25" s="1577" t="s">
        <v>11</v>
      </c>
      <c r="U25" s="1578">
        <f>H25</f>
        <v>100</v>
      </c>
      <c r="V25" s="1577" t="s">
        <v>11</v>
      </c>
      <c r="W25" s="1578">
        <f>J25</f>
        <v>100</v>
      </c>
      <c r="X25" s="1571"/>
      <c r="Y25" s="3382"/>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2"/>
      <c r="Q26" s="1576" t="str">
        <f t="shared" si="11"/>
        <v>朝向</v>
      </c>
      <c r="R26" s="1577" t="s">
        <v>11</v>
      </c>
      <c r="S26" s="1578">
        <f>F26</f>
        <v>100</v>
      </c>
      <c r="T26" s="1577" t="s">
        <v>11</v>
      </c>
      <c r="U26" s="1578">
        <f>H26</f>
        <v>100</v>
      </c>
      <c r="V26" s="1577" t="s">
        <v>11</v>
      </c>
      <c r="W26" s="1578">
        <f>J26</f>
        <v>100</v>
      </c>
      <c r="X26" s="1571"/>
      <c r="Y26" s="3382"/>
      <c r="Z26" s="1579" t="str">
        <f>Q26</f>
        <v>朝向</v>
      </c>
      <c r="AA26" s="1580">
        <f t="shared" si="3"/>
        <v>1</v>
      </c>
      <c r="AB26" s="1580">
        <f t="shared" si="4"/>
        <v>1</v>
      </c>
      <c r="AC26" s="1580">
        <f t="shared" si="5"/>
        <v>1</v>
      </c>
    </row>
    <row r="27" spans="1:29" s="1223" customFormat="1" ht="15.75" thickBot="1">
      <c r="A27" s="539"/>
      <c r="B27" s="540" t="s">
        <v>725</v>
      </c>
      <c r="C27" s="531" t="s">
        <v>3053</v>
      </c>
      <c r="D27" s="878">
        <v>100</v>
      </c>
      <c r="E27" s="531" t="s">
        <v>3053</v>
      </c>
      <c r="F27" s="879">
        <f>SUMIF(90:90,E27,91:91)-SUMIF(90:90,C27,91:91)+100</f>
        <v>100</v>
      </c>
      <c r="G27" s="531" t="s">
        <v>3053</v>
      </c>
      <c r="H27" s="878">
        <f>SUMIF(90:90,G27,91:91)-SUMIF(90:90,C27,91:91)+100</f>
        <v>100</v>
      </c>
      <c r="I27" s="531" t="s">
        <v>3053</v>
      </c>
      <c r="J27" s="878">
        <f>SUMIF(90:90,I27,91:91)-SUMIF(90:90,C27,91:91)+100</f>
        <v>100</v>
      </c>
      <c r="K27" s="868"/>
      <c r="L27" s="2140"/>
      <c r="M27" s="2141"/>
      <c r="N27" s="2141"/>
      <c r="O27" s="2142"/>
      <c r="P27" s="3382"/>
      <c r="Q27" s="1154" t="str">
        <f t="shared" si="11"/>
        <v>道路级别</v>
      </c>
      <c r="R27" s="1572" t="s">
        <v>11</v>
      </c>
      <c r="S27" s="1573">
        <f>F27</f>
        <v>100</v>
      </c>
      <c r="T27" s="1572" t="s">
        <v>11</v>
      </c>
      <c r="U27" s="1573">
        <f>H27</f>
        <v>100</v>
      </c>
      <c r="V27" s="1572" t="s">
        <v>11</v>
      </c>
      <c r="W27" s="1573">
        <f>J27</f>
        <v>100</v>
      </c>
      <c r="X27" s="1574"/>
      <c r="Y27" s="3382"/>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2"/>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2"/>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2"/>
      <c r="Q29" s="1576">
        <f t="shared" si="11"/>
        <v>111</v>
      </c>
      <c r="R29" s="1577" t="s">
        <v>11</v>
      </c>
      <c r="S29" s="1578">
        <f t="shared" si="12"/>
        <v>100</v>
      </c>
      <c r="T29" s="1577" t="s">
        <v>11</v>
      </c>
      <c r="U29" s="1578">
        <f t="shared" si="13"/>
        <v>100</v>
      </c>
      <c r="V29" s="1577" t="s">
        <v>11</v>
      </c>
      <c r="W29" s="1578">
        <f t="shared" si="14"/>
        <v>100</v>
      </c>
      <c r="X29" s="1571"/>
      <c r="Y29" s="3382"/>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2"/>
      <c r="Q30" s="1576">
        <f t="shared" si="11"/>
        <v>111</v>
      </c>
      <c r="R30" s="1577" t="s">
        <v>11</v>
      </c>
      <c r="S30" s="1578">
        <f t="shared" si="12"/>
        <v>100</v>
      </c>
      <c r="T30" s="1577" t="s">
        <v>11</v>
      </c>
      <c r="U30" s="1578">
        <f t="shared" si="13"/>
        <v>100</v>
      </c>
      <c r="V30" s="1577" t="s">
        <v>11</v>
      </c>
      <c r="W30" s="1578">
        <f t="shared" si="14"/>
        <v>100</v>
      </c>
      <c r="X30" s="1571"/>
      <c r="Y30" s="3382"/>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2"/>
      <c r="Q31" s="1576">
        <f t="shared" si="11"/>
        <v>111</v>
      </c>
      <c r="R31" s="1577" t="s">
        <v>11</v>
      </c>
      <c r="S31" s="1578">
        <f t="shared" si="12"/>
        <v>100</v>
      </c>
      <c r="T31" s="1577" t="s">
        <v>11</v>
      </c>
      <c r="U31" s="1578">
        <f t="shared" si="13"/>
        <v>100</v>
      </c>
      <c r="V31" s="1577" t="s">
        <v>11</v>
      </c>
      <c r="W31" s="1578">
        <f t="shared" si="14"/>
        <v>100</v>
      </c>
      <c r="X31" s="1571"/>
      <c r="Y31" s="3382"/>
      <c r="Z31" s="1579">
        <f t="shared" si="15"/>
        <v>111</v>
      </c>
      <c r="AA31" s="1580">
        <f t="shared" si="3"/>
        <v>1</v>
      </c>
      <c r="AB31" s="1580">
        <f t="shared" si="4"/>
        <v>1</v>
      </c>
      <c r="AC31" s="1580">
        <f t="shared" si="5"/>
        <v>1</v>
      </c>
    </row>
    <row r="32" spans="1:29" ht="15">
      <c r="A32" s="2938" t="s">
        <v>2762</v>
      </c>
      <c r="B32" s="172" t="s">
        <v>726</v>
      </c>
      <c r="C32" s="881" t="s">
        <v>3051</v>
      </c>
      <c r="D32" s="600">
        <v>100</v>
      </c>
      <c r="E32" s="882" t="s">
        <v>3051</v>
      </c>
      <c r="F32" s="578">
        <f>SUMIF(100:100,E32,101:101)-SUMIF(100:100,C32,101:101)+100</f>
        <v>100</v>
      </c>
      <c r="G32" s="881" t="s">
        <v>3051</v>
      </c>
      <c r="H32" s="600">
        <f>SUMIF(100:100,G32,101:101)-SUMIF(100:100,C32,101:101)+100</f>
        <v>100</v>
      </c>
      <c r="I32" s="882" t="s">
        <v>3051</v>
      </c>
      <c r="J32" s="543">
        <f>SUMIF(100:100,I32,101:101)-SUMIF(100:100,C32,101:101)+100</f>
        <v>100</v>
      </c>
      <c r="K32" s="867">
        <v>2</v>
      </c>
      <c r="L32" s="2147"/>
      <c r="M32" s="2139"/>
      <c r="N32" s="2139"/>
      <c r="O32" s="2146"/>
      <c r="P32" s="3383" t="s">
        <v>551</v>
      </c>
      <c r="Q32" s="1576" t="str">
        <f t="shared" si="11"/>
        <v>建筑类型</v>
      </c>
      <c r="R32" s="1577" t="s">
        <v>11</v>
      </c>
      <c r="S32" s="1578">
        <f t="shared" si="12"/>
        <v>100</v>
      </c>
      <c r="T32" s="1577" t="s">
        <v>11</v>
      </c>
      <c r="U32" s="1578">
        <f t="shared" si="13"/>
        <v>100</v>
      </c>
      <c r="V32" s="1577" t="s">
        <v>11</v>
      </c>
      <c r="W32" s="1578">
        <f t="shared" si="14"/>
        <v>100</v>
      </c>
      <c r="X32" s="1571"/>
      <c r="Y32" s="3384"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384"/>
      <c r="Q33" s="1609" t="str">
        <f t="shared" si="11"/>
        <v>项目建筑规模</v>
      </c>
      <c r="R33" s="1581" t="s">
        <v>11</v>
      </c>
      <c r="S33" s="1582">
        <f t="shared" si="12"/>
        <v>98</v>
      </c>
      <c r="T33" s="1581" t="s">
        <v>11</v>
      </c>
      <c r="U33" s="1582">
        <f t="shared" si="13"/>
        <v>94</v>
      </c>
      <c r="V33" s="1581" t="s">
        <v>11</v>
      </c>
      <c r="W33" s="1582">
        <f t="shared" si="14"/>
        <v>96</v>
      </c>
      <c r="X33" s="1583"/>
      <c r="Y33" s="3384"/>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3035</v>
      </c>
      <c r="D34" s="543">
        <v>100</v>
      </c>
      <c r="E34" s="885" t="s">
        <v>3035</v>
      </c>
      <c r="F34" s="578">
        <f>SUMIF(105:105,E34,106:106)-SUMIF(105:105,C34,106:106)+100</f>
        <v>100</v>
      </c>
      <c r="G34" s="884" t="s">
        <v>3035</v>
      </c>
      <c r="H34" s="543">
        <f>SUMIF(105:105,G34,106:106)-SUMIF(105:105,C34,106:106)+100</f>
        <v>100</v>
      </c>
      <c r="I34" s="885" t="s">
        <v>3035</v>
      </c>
      <c r="J34" s="543">
        <f>SUMIF(105:105,I34,106:106)-SUMIF(105:105,C34,106:106)+100</f>
        <v>100</v>
      </c>
      <c r="K34" s="867">
        <v>2</v>
      </c>
      <c r="L34" s="2147"/>
      <c r="M34" s="2139"/>
      <c r="N34" s="2139"/>
      <c r="O34" s="2146"/>
      <c r="P34" s="3384"/>
      <c r="Q34" s="1576" t="str">
        <f t="shared" si="11"/>
        <v>建筑结构</v>
      </c>
      <c r="R34" s="1577" t="s">
        <v>11</v>
      </c>
      <c r="S34" s="1578">
        <f t="shared" si="12"/>
        <v>100</v>
      </c>
      <c r="T34" s="1577" t="s">
        <v>11</v>
      </c>
      <c r="U34" s="1578">
        <f t="shared" si="13"/>
        <v>100</v>
      </c>
      <c r="V34" s="1577" t="s">
        <v>11</v>
      </c>
      <c r="W34" s="1578">
        <f t="shared" si="14"/>
        <v>100</v>
      </c>
      <c r="X34" s="1571"/>
      <c r="Y34" s="3384"/>
      <c r="Z34" s="1579" t="str">
        <f t="shared" si="15"/>
        <v>建筑结构</v>
      </c>
      <c r="AA34" s="1580">
        <f t="shared" si="3"/>
        <v>1</v>
      </c>
      <c r="AB34" s="1580">
        <f t="shared" si="4"/>
        <v>1</v>
      </c>
      <c r="AC34" s="1580">
        <f t="shared" si="5"/>
        <v>1</v>
      </c>
    </row>
    <row r="35" spans="1:29" ht="15">
      <c r="A35" s="597"/>
      <c r="B35" s="530" t="s">
        <v>729</v>
      </c>
      <c r="C35" s="602" t="s">
        <v>3039</v>
      </c>
      <c r="D35" s="543">
        <v>100</v>
      </c>
      <c r="E35" s="877" t="s">
        <v>3039</v>
      </c>
      <c r="F35" s="578">
        <f>SUMIF(107:107,E35,108:108)-SUMIF(107:107,C35,108:108)+100</f>
        <v>100</v>
      </c>
      <c r="G35" s="602" t="s">
        <v>3039</v>
      </c>
      <c r="H35" s="543">
        <f>SUMIF(107:107,G35,108:108)-SUMIF(107:107,C35,108:108)+100</f>
        <v>100</v>
      </c>
      <c r="I35" s="877" t="s">
        <v>3039</v>
      </c>
      <c r="J35" s="543">
        <f>SUMIF(107:107,I35,108:108)-SUMIF(107:107,C35,108:108)+100</f>
        <v>100</v>
      </c>
      <c r="K35" s="867">
        <v>2</v>
      </c>
      <c r="L35" s="2147"/>
      <c r="M35" s="2139"/>
      <c r="N35" s="2139"/>
      <c r="O35" s="2146"/>
      <c r="P35" s="3384"/>
      <c r="Q35" s="1576" t="str">
        <f t="shared" si="11"/>
        <v>建筑品质</v>
      </c>
      <c r="R35" s="1577" t="s">
        <v>11</v>
      </c>
      <c r="S35" s="1578">
        <f t="shared" si="12"/>
        <v>100</v>
      </c>
      <c r="T35" s="1577" t="s">
        <v>11</v>
      </c>
      <c r="U35" s="1578">
        <f t="shared" si="13"/>
        <v>100</v>
      </c>
      <c r="V35" s="1577" t="s">
        <v>11</v>
      </c>
      <c r="W35" s="1578">
        <f t="shared" si="14"/>
        <v>100</v>
      </c>
      <c r="X35" s="1571"/>
      <c r="Y35" s="3384"/>
      <c r="Z35" s="1579" t="str">
        <f t="shared" si="15"/>
        <v>建筑品质</v>
      </c>
      <c r="AA35" s="1580">
        <f t="shared" si="3"/>
        <v>1</v>
      </c>
      <c r="AB35" s="1580">
        <f t="shared" si="4"/>
        <v>1</v>
      </c>
      <c r="AC35" s="1580">
        <f t="shared" si="5"/>
        <v>1</v>
      </c>
    </row>
    <row r="36" spans="1:29" ht="15">
      <c r="A36" s="597"/>
      <c r="B36" s="530" t="s">
        <v>730</v>
      </c>
      <c r="C36" s="602" t="s">
        <v>3045</v>
      </c>
      <c r="D36" s="543">
        <v>100</v>
      </c>
      <c r="E36" s="877" t="s">
        <v>3045</v>
      </c>
      <c r="F36" s="578">
        <f>SUMIF(109:109,E36,110:110)-SUMIF(109:109,C36,110:110)+100</f>
        <v>100</v>
      </c>
      <c r="G36" s="602" t="s">
        <v>3045</v>
      </c>
      <c r="H36" s="543">
        <f>SUMIF(109:109,G36,110:110)-SUMIF(109:109,C36,110:110)+100</f>
        <v>100</v>
      </c>
      <c r="I36" s="877" t="s">
        <v>3045</v>
      </c>
      <c r="J36" s="543">
        <f>SUMIF(109:109,I36,110:110)-SUMIF(109:109,C36,110:110)+100</f>
        <v>100</v>
      </c>
      <c r="K36" s="867">
        <v>2</v>
      </c>
      <c r="L36" s="2147"/>
      <c r="M36" s="2139"/>
      <c r="N36" s="2139"/>
      <c r="O36" s="2146"/>
      <c r="P36" s="3384"/>
      <c r="Q36" s="1576" t="str">
        <f t="shared" si="11"/>
        <v>公共部分装修</v>
      </c>
      <c r="R36" s="1577" t="s">
        <v>11</v>
      </c>
      <c r="S36" s="1578">
        <f t="shared" si="12"/>
        <v>100</v>
      </c>
      <c r="T36" s="1577" t="s">
        <v>11</v>
      </c>
      <c r="U36" s="1578">
        <f t="shared" si="13"/>
        <v>100</v>
      </c>
      <c r="V36" s="1577" t="s">
        <v>11</v>
      </c>
      <c r="W36" s="1578">
        <f t="shared" si="14"/>
        <v>100</v>
      </c>
      <c r="X36" s="1571"/>
      <c r="Y36" s="3384"/>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384"/>
      <c r="Q37" s="1154" t="str">
        <f t="shared" si="11"/>
        <v>成新度</v>
      </c>
      <c r="R37" s="1572" t="s">
        <v>11</v>
      </c>
      <c r="S37" s="1573">
        <f t="shared" si="12"/>
        <v>100</v>
      </c>
      <c r="T37" s="1572" t="s">
        <v>11</v>
      </c>
      <c r="U37" s="1573">
        <f t="shared" si="13"/>
        <v>100</v>
      </c>
      <c r="V37" s="1572" t="s">
        <v>11</v>
      </c>
      <c r="W37" s="1573">
        <f t="shared" si="14"/>
        <v>100</v>
      </c>
      <c r="X37" s="1574"/>
      <c r="Y37" s="3384"/>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4" t="s">
        <v>551</v>
      </c>
      <c r="Q38" s="1576" t="str">
        <f t="shared" si="11"/>
        <v>物业管理</v>
      </c>
      <c r="R38" s="1577" t="s">
        <v>11</v>
      </c>
      <c r="S38" s="1578">
        <f t="shared" si="12"/>
        <v>100</v>
      </c>
      <c r="T38" s="1577" t="s">
        <v>11</v>
      </c>
      <c r="U38" s="1578">
        <f t="shared" si="13"/>
        <v>100</v>
      </c>
      <c r="V38" s="1577" t="s">
        <v>11</v>
      </c>
      <c r="W38" s="1578">
        <f t="shared" si="14"/>
        <v>100</v>
      </c>
      <c r="X38" s="1571"/>
      <c r="Y38" s="3384" t="s">
        <v>551</v>
      </c>
      <c r="Z38" s="1579" t="str">
        <f t="shared" si="15"/>
        <v>物业管理</v>
      </c>
      <c r="AA38" s="1580">
        <f t="shared" si="3"/>
        <v>1</v>
      </c>
      <c r="AB38" s="1580">
        <f t="shared" si="4"/>
        <v>1</v>
      </c>
      <c r="AC38" s="1580">
        <f t="shared" si="5"/>
        <v>1</v>
      </c>
    </row>
    <row r="39" spans="1:29" ht="15">
      <c r="A39" s="597"/>
      <c r="B39" s="1900" t="s">
        <v>2569</v>
      </c>
      <c r="C39" s="3196" t="s">
        <v>3148</v>
      </c>
      <c r="D39" s="543">
        <v>100</v>
      </c>
      <c r="E39" s="3197" t="s">
        <v>3148</v>
      </c>
      <c r="F39" s="578">
        <f>SUMIF(116:116,E39,117:117)-SUMIF(116:116,C39,117:117)+100</f>
        <v>100</v>
      </c>
      <c r="G39" s="3196" t="s">
        <v>3148</v>
      </c>
      <c r="H39" s="543">
        <f>SUMIF(116:116,G39,117:117)-SUMIF(116:116,C39,117:117)+100</f>
        <v>100</v>
      </c>
      <c r="I39" s="3197" t="s">
        <v>3148</v>
      </c>
      <c r="J39" s="543">
        <f>SUMIF(116:116,I39,117:117)-SUMIF(116:116,C39,117:117)+100</f>
        <v>100</v>
      </c>
      <c r="K39" s="867">
        <v>2</v>
      </c>
      <c r="L39" s="2147"/>
      <c r="M39" s="2139"/>
      <c r="N39" s="2139"/>
      <c r="O39" s="2146"/>
      <c r="P39" s="3384"/>
      <c r="Q39" s="1576" t="str">
        <f t="shared" si="11"/>
        <v>市政基础设施</v>
      </c>
      <c r="R39" s="1577" t="s">
        <v>11</v>
      </c>
      <c r="S39" s="1578">
        <f t="shared" si="12"/>
        <v>100</v>
      </c>
      <c r="T39" s="1577" t="s">
        <v>11</v>
      </c>
      <c r="U39" s="1578">
        <f t="shared" si="13"/>
        <v>100</v>
      </c>
      <c r="V39" s="1577" t="s">
        <v>11</v>
      </c>
      <c r="W39" s="1578">
        <f t="shared" si="14"/>
        <v>100</v>
      </c>
      <c r="X39" s="1571"/>
      <c r="Y39" s="3384"/>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4"/>
      <c r="Q40" s="1576" t="str">
        <f t="shared" si="11"/>
        <v>房型</v>
      </c>
      <c r="R40" s="1577" t="s">
        <v>11</v>
      </c>
      <c r="S40" s="1578">
        <f t="shared" si="12"/>
        <v>100</v>
      </c>
      <c r="T40" s="1577" t="s">
        <v>11</v>
      </c>
      <c r="U40" s="1578">
        <f t="shared" si="13"/>
        <v>100</v>
      </c>
      <c r="V40" s="1577" t="s">
        <v>11</v>
      </c>
      <c r="W40" s="1578">
        <f t="shared" si="14"/>
        <v>100</v>
      </c>
      <c r="X40" s="1571"/>
      <c r="Y40" s="3384"/>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4"/>
      <c r="Q41" s="1609" t="str">
        <f t="shared" si="11"/>
        <v>单套/主力户型建筑面积</v>
      </c>
      <c r="R41" s="1581" t="s">
        <v>11</v>
      </c>
      <c r="S41" s="1582">
        <f t="shared" si="12"/>
        <v>100</v>
      </c>
      <c r="T41" s="1581" t="s">
        <v>11</v>
      </c>
      <c r="U41" s="1582">
        <f t="shared" si="13"/>
        <v>100</v>
      </c>
      <c r="V41" s="1581" t="s">
        <v>11</v>
      </c>
      <c r="W41" s="1582">
        <f t="shared" si="14"/>
        <v>100</v>
      </c>
      <c r="X41" s="1583"/>
      <c r="Y41" s="3384"/>
      <c r="Z41" s="1584" t="str">
        <f t="shared" si="15"/>
        <v>单套/主力户型建筑面积</v>
      </c>
      <c r="AA41" s="1580">
        <f t="shared" si="3"/>
        <v>1</v>
      </c>
      <c r="AB41" s="1580">
        <f t="shared" si="4"/>
        <v>1</v>
      </c>
      <c r="AC41" s="1580">
        <f t="shared" si="5"/>
        <v>1</v>
      </c>
    </row>
    <row r="42" spans="1:29" ht="15">
      <c r="A42" s="597"/>
      <c r="B42" s="530" t="s">
        <v>735</v>
      </c>
      <c r="C42" s="602" t="s">
        <v>3045</v>
      </c>
      <c r="D42" s="543">
        <v>100</v>
      </c>
      <c r="E42" s="877" t="s">
        <v>3045</v>
      </c>
      <c r="F42" s="578">
        <f>SUMIF(122:122,E42,123:123)-SUMIF(122:122,C42,123:123)+100</f>
        <v>100</v>
      </c>
      <c r="G42" s="602" t="s">
        <v>3049</v>
      </c>
      <c r="H42" s="543">
        <f>SUMIF(122:122,G42,123:123)-SUMIF(122:122,C42,123:123)+100</f>
        <v>97</v>
      </c>
      <c r="I42" s="877" t="s">
        <v>3049</v>
      </c>
      <c r="J42" s="543">
        <f>SUMIF(122:122,I42,123:123)-SUMIF(122:122,C42,123:123)+100</f>
        <v>97</v>
      </c>
      <c r="K42" s="867">
        <v>1</v>
      </c>
      <c r="L42" s="2147"/>
      <c r="M42" s="2139"/>
      <c r="N42" s="2139"/>
      <c r="O42" s="2146"/>
      <c r="P42" s="3384"/>
      <c r="Q42" s="1576" t="str">
        <f t="shared" si="11"/>
        <v>内部装修</v>
      </c>
      <c r="R42" s="1577" t="s">
        <v>11</v>
      </c>
      <c r="S42" s="1578">
        <f t="shared" si="12"/>
        <v>100</v>
      </c>
      <c r="T42" s="1577" t="s">
        <v>11</v>
      </c>
      <c r="U42" s="1578">
        <f t="shared" si="13"/>
        <v>97</v>
      </c>
      <c r="V42" s="1577" t="s">
        <v>11</v>
      </c>
      <c r="W42" s="1578">
        <f t="shared" si="14"/>
        <v>97</v>
      </c>
      <c r="X42" s="1571"/>
      <c r="Y42" s="3384"/>
      <c r="Z42" s="1579" t="str">
        <f t="shared" si="15"/>
        <v>内部装修</v>
      </c>
      <c r="AA42" s="1580">
        <f t="shared" si="3"/>
        <v>1</v>
      </c>
      <c r="AB42" s="1580">
        <f t="shared" si="4"/>
        <v>1.0309278350515463</v>
      </c>
      <c r="AC42" s="1580">
        <f t="shared" si="5"/>
        <v>1.0309278350515463</v>
      </c>
    </row>
    <row r="43" spans="1:29" ht="27.75" thickBot="1">
      <c r="A43" s="597"/>
      <c r="B43" s="530" t="s">
        <v>736</v>
      </c>
      <c r="C43" s="602" t="s">
        <v>3039</v>
      </c>
      <c r="D43" s="543">
        <v>100</v>
      </c>
      <c r="E43" s="877" t="s">
        <v>3039</v>
      </c>
      <c r="F43" s="578">
        <f>SUMIF(124:124,E43,125:125)-SUMIF(124:124,C43,125:125)+100</f>
        <v>100</v>
      </c>
      <c r="G43" s="602" t="s">
        <v>3039</v>
      </c>
      <c r="H43" s="543">
        <f>SUMIF(124:124,G43,125:125)-SUMIF(124:124,C43,125:125)+100</f>
        <v>100</v>
      </c>
      <c r="I43" s="877" t="s">
        <v>3039</v>
      </c>
      <c r="J43" s="543">
        <f>SUMIF(124:124,I43,125:125)-SUMIF(124:124,C43,125:125)+100</f>
        <v>100</v>
      </c>
      <c r="K43" s="867"/>
      <c r="L43" s="2147"/>
      <c r="M43" s="2139"/>
      <c r="N43" s="2139"/>
      <c r="O43" s="2146"/>
      <c r="P43" s="3384"/>
      <c r="Q43" s="1576" t="str">
        <f t="shared" si="11"/>
        <v>内部装修维护情况</v>
      </c>
      <c r="R43" s="1577" t="s">
        <v>11</v>
      </c>
      <c r="S43" s="1578">
        <f t="shared" si="12"/>
        <v>100</v>
      </c>
      <c r="T43" s="1577" t="s">
        <v>11</v>
      </c>
      <c r="U43" s="1578">
        <f t="shared" si="13"/>
        <v>100</v>
      </c>
      <c r="V43" s="1577" t="s">
        <v>11</v>
      </c>
      <c r="W43" s="1578">
        <f t="shared" si="14"/>
        <v>100</v>
      </c>
      <c r="X43" s="1571"/>
      <c r="Y43" s="3384"/>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4"/>
      <c r="Q44" s="1154">
        <f t="shared" si="11"/>
        <v>111</v>
      </c>
      <c r="R44" s="1572" t="s">
        <v>11</v>
      </c>
      <c r="S44" s="1573">
        <f t="shared" si="12"/>
        <v>100</v>
      </c>
      <c r="T44" s="1572" t="s">
        <v>11</v>
      </c>
      <c r="U44" s="1573">
        <f t="shared" si="13"/>
        <v>100</v>
      </c>
      <c r="V44" s="1572" t="s">
        <v>11</v>
      </c>
      <c r="W44" s="1573">
        <f t="shared" si="14"/>
        <v>100</v>
      </c>
      <c r="X44" s="1574"/>
      <c r="Y44" s="3384"/>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4"/>
      <c r="Q45" s="1576">
        <f t="shared" si="11"/>
        <v>111</v>
      </c>
      <c r="R45" s="1577" t="s">
        <v>11</v>
      </c>
      <c r="S45" s="1578">
        <f t="shared" si="12"/>
        <v>100</v>
      </c>
      <c r="T45" s="1577" t="s">
        <v>11</v>
      </c>
      <c r="U45" s="1578">
        <f t="shared" si="13"/>
        <v>100</v>
      </c>
      <c r="V45" s="1577" t="s">
        <v>11</v>
      </c>
      <c r="W45" s="1578">
        <f t="shared" si="14"/>
        <v>100</v>
      </c>
      <c r="X45" s="1571"/>
      <c r="Y45" s="3384"/>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5"/>
      <c r="Q46" s="1576">
        <f t="shared" si="11"/>
        <v>111</v>
      </c>
      <c r="R46" s="1577" t="s">
        <v>10</v>
      </c>
      <c r="S46" s="1578">
        <f t="shared" si="12"/>
        <v>100</v>
      </c>
      <c r="T46" s="1577" t="s">
        <v>10</v>
      </c>
      <c r="U46" s="1578">
        <f t="shared" si="13"/>
        <v>100</v>
      </c>
      <c r="V46" s="1577" t="s">
        <v>10</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79" t="str">
        <f>A47</f>
        <v>成交单价（元/平方米）</v>
      </c>
      <c r="Q47" s="3379"/>
      <c r="R47" s="3484">
        <f>E47</f>
        <v>16000</v>
      </c>
      <c r="S47" s="3484"/>
      <c r="T47" s="3484">
        <f>G47</f>
        <v>15500</v>
      </c>
      <c r="U47" s="3484"/>
      <c r="V47" s="3484">
        <f>I47</f>
        <v>15500</v>
      </c>
      <c r="W47" s="3484"/>
      <c r="X47" s="1563"/>
      <c r="Y47" s="1585"/>
      <c r="Z47" s="1563"/>
      <c r="AA47" s="1563"/>
      <c r="AB47" s="1563"/>
      <c r="AC47" s="1563"/>
    </row>
    <row r="48" spans="1:29" ht="15.75" thickBot="1">
      <c r="A48" s="618" t="s">
        <v>2767</v>
      </c>
      <c r="B48" s="891"/>
      <c r="C48" s="2662">
        <f>R49</f>
        <v>16997</v>
      </c>
      <c r="D48" s="2663"/>
      <c r="E48" s="2664">
        <f>R48</f>
        <v>16660</v>
      </c>
      <c r="F48" s="2664"/>
      <c r="G48" s="2662">
        <f>T48</f>
        <v>17346</v>
      </c>
      <c r="H48" s="2663"/>
      <c r="I48" s="2664">
        <f>V48</f>
        <v>16985</v>
      </c>
      <c r="J48" s="2663"/>
      <c r="K48" s="1611"/>
      <c r="L48" s="2149"/>
      <c r="M48" s="2150"/>
      <c r="N48" s="2150"/>
      <c r="O48" s="2150"/>
      <c r="P48" s="3379" t="str">
        <f>A48</f>
        <v>比较价格（元/平方米）</v>
      </c>
      <c r="Q48" s="3379"/>
      <c r="R48" s="3484">
        <f>IF(F1="售价",ROUND(PRODUCT(R47,AA7:AA46),0),ROUND(PRODUCT(R47,AA7:AA46),1))</f>
        <v>16660</v>
      </c>
      <c r="S48" s="3484"/>
      <c r="T48" s="3484">
        <f>IF(F1="售价",ROUND(PRODUCT(T47,AB7:AB46),0),ROUND(PRODUCT(T47,AB7:AB46),1))</f>
        <v>17346</v>
      </c>
      <c r="U48" s="3484"/>
      <c r="V48" s="3484">
        <f>IF(F1="售价",ROUND(PRODUCT(V47,AC7:AC46),0),ROUND(PRODUCT(V47,AC7:AC46),1))</f>
        <v>16985</v>
      </c>
      <c r="W48" s="3484"/>
      <c r="X48" s="1563"/>
      <c r="Y48" s="1563"/>
      <c r="Z48" s="1563"/>
      <c r="AA48" s="1563"/>
      <c r="AB48" s="1563"/>
      <c r="AC48" s="1563"/>
    </row>
    <row r="49" spans="1:29" ht="15.75" thickBot="1">
      <c r="A49" s="624" t="s">
        <v>2939</v>
      </c>
      <c r="B49" s="625"/>
      <c r="C49" s="2665">
        <f>R49</f>
        <v>16997</v>
      </c>
      <c r="D49" s="2665"/>
      <c r="E49" s="2665"/>
      <c r="F49" s="2665"/>
      <c r="G49" s="2665"/>
      <c r="H49" s="2665"/>
      <c r="I49" s="2665"/>
      <c r="J49" s="2665"/>
      <c r="K49" s="1612"/>
      <c r="L49" s="2149"/>
      <c r="M49" s="2150"/>
      <c r="N49" s="2150"/>
      <c r="O49" s="2150"/>
      <c r="P49" s="3401" t="str">
        <f>A49</f>
        <v>估价对象XX用房的比较价格（楼面单价，元/平方米）</v>
      </c>
      <c r="Q49" s="3402"/>
      <c r="R49" s="3483">
        <f>IF(F1="售价",ROUND(AVERAGE(R48:V48),0),ROUND(AVERAGE(R48:V48),1))</f>
        <v>16997</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4.1250000000000009E-2</v>
      </c>
      <c r="F52" s="630" t="str">
        <f>IF(OR(E52&gt;=0.3,E52&lt;=-0.3),"超过30%","")</f>
        <v/>
      </c>
      <c r="G52" s="629">
        <f>IF(G47&lt;G48,G48/G47-1,G47/G48-1)</f>
        <v>0.11909677419354847</v>
      </c>
      <c r="H52" s="630" t="str">
        <f>IF(OR(G52&gt;=0.3,G52&lt;=-0.3),"超过30%","")</f>
        <v/>
      </c>
      <c r="I52" s="629">
        <f>IF(I47&lt;I48,I48/I47-1,I47/I48-1)</f>
        <v>9.5806451612903132E-2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4.117647058823537E-2</v>
      </c>
      <c r="F53" s="630" t="str">
        <f>IF(OR(E53&gt;=0.2,E53&lt;=-0.2),"超过20%","")</f>
        <v/>
      </c>
      <c r="G53" s="629">
        <f>IF(G48&lt;I48,I48/G48-1,G48/I48-1)</f>
        <v>2.1254047689137412E-2</v>
      </c>
      <c r="H53" s="630" t="str">
        <f>IF(OR(G53&gt;=0.2,G53&lt;=-0.2),"超过20%","")</f>
        <v/>
      </c>
      <c r="I53" s="629">
        <f>IF(I48&lt;E48,E48/I48-1,I48/E48-1)</f>
        <v>1.9507803121248557E-2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3052</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3036</v>
      </c>
      <c r="D105" s="3174" t="s">
        <v>3037</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3038</v>
      </c>
      <c r="D107" s="3175" t="s">
        <v>3040</v>
      </c>
      <c r="E107" s="3175" t="s">
        <v>3042</v>
      </c>
      <c r="F107" s="3175" t="s">
        <v>3043</v>
      </c>
      <c r="G107" s="3175" t="s">
        <v>3044</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3046</v>
      </c>
      <c r="D109" s="3174" t="s">
        <v>3047</v>
      </c>
      <c r="E109" s="3174" t="s">
        <v>3048</v>
      </c>
      <c r="F109" s="3175" t="s">
        <v>3050</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3106</v>
      </c>
      <c r="D116" s="3174" t="s">
        <v>3108</v>
      </c>
      <c r="E116" s="3174" t="s">
        <v>3109</v>
      </c>
      <c r="F116" s="3174" t="s">
        <v>3111</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3046</v>
      </c>
      <c r="D122" s="3174" t="s">
        <v>3047</v>
      </c>
      <c r="E122" s="3174" t="s">
        <v>3048</v>
      </c>
      <c r="F122" s="3175" t="s">
        <v>3050</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93"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93"/>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93"/>
      <c r="AC6" s="3370"/>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6" si="3">D8/F8</f>
        <v>#DIV/0!</v>
      </c>
      <c r="AB8" s="1575" t="e">
        <f t="shared" ref="AB8:AB46" si="4">D8/H8</f>
        <v>#DIV/0!</v>
      </c>
      <c r="AC8" s="1575" t="e">
        <f t="shared" ref="AC8:AC46" si="5">D8/J8</f>
        <v>#DIV/0!</v>
      </c>
    </row>
    <row r="9" spans="1:29" s="1223" customFormat="1" ht="15">
      <c r="A9" s="2945"/>
      <c r="B9" s="2952"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1" t="s">
        <v>541</v>
      </c>
      <c r="Q15" s="1576" t="str">
        <f t="shared" si="6"/>
        <v>商业繁华度</v>
      </c>
      <c r="R15" s="1577" t="s">
        <v>8</v>
      </c>
      <c r="S15" s="1578">
        <f t="shared" si="0"/>
        <v>100</v>
      </c>
      <c r="T15" s="1577" t="s">
        <v>8</v>
      </c>
      <c r="U15" s="1578">
        <f t="shared" si="1"/>
        <v>100</v>
      </c>
      <c r="V15" s="1577" t="s">
        <v>8</v>
      </c>
      <c r="W15" s="1578">
        <f t="shared" si="2"/>
        <v>100</v>
      </c>
      <c r="X15" s="1571"/>
      <c r="Y15" s="3381"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2"/>
      <c r="Q23" s="1576" t="str">
        <f>B23</f>
        <v>自然及人文环境</v>
      </c>
      <c r="R23" s="1577" t="s">
        <v>8</v>
      </c>
      <c r="S23" s="1578">
        <f>F23</f>
        <v>100</v>
      </c>
      <c r="T23" s="1577" t="s">
        <v>8</v>
      </c>
      <c r="U23" s="1578">
        <f>H23</f>
        <v>100</v>
      </c>
      <c r="V23" s="1577" t="s">
        <v>8</v>
      </c>
      <c r="W23" s="1578">
        <f>J23</f>
        <v>100</v>
      </c>
      <c r="X23" s="1571"/>
      <c r="Y23" s="3382"/>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2"/>
      <c r="Q25" s="1576" t="str">
        <f t="shared" ref="Q25:Q46" si="11">B25</f>
        <v>临街状况</v>
      </c>
      <c r="R25" s="1577" t="s">
        <v>8</v>
      </c>
      <c r="S25" s="1578">
        <f>F25</f>
        <v>100</v>
      </c>
      <c r="T25" s="1577" t="s">
        <v>8</v>
      </c>
      <c r="U25" s="1578">
        <f>H25</f>
        <v>100</v>
      </c>
      <c r="V25" s="1577" t="s">
        <v>8</v>
      </c>
      <c r="W25" s="1578">
        <f>J25</f>
        <v>100</v>
      </c>
      <c r="X25" s="1571"/>
      <c r="Y25" s="3382"/>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2"/>
      <c r="Q26" s="1576" t="str">
        <f t="shared" si="11"/>
        <v>平面位置/可视性</v>
      </c>
      <c r="R26" s="1577" t="s">
        <v>8</v>
      </c>
      <c r="S26" s="1578">
        <f>F26</f>
        <v>100</v>
      </c>
      <c r="T26" s="1577" t="s">
        <v>8</v>
      </c>
      <c r="U26" s="1578">
        <f>H26</f>
        <v>100</v>
      </c>
      <c r="V26" s="1577" t="s">
        <v>8</v>
      </c>
      <c r="W26" s="1578">
        <f>J26</f>
        <v>100</v>
      </c>
      <c r="X26" s="1571"/>
      <c r="Y26" s="3382"/>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2"/>
      <c r="Q27" s="1154" t="str">
        <f t="shared" si="11"/>
        <v>人流量</v>
      </c>
      <c r="R27" s="1572" t="s">
        <v>8</v>
      </c>
      <c r="S27" s="1573">
        <f>F27</f>
        <v>100</v>
      </c>
      <c r="T27" s="1572" t="s">
        <v>8</v>
      </c>
      <c r="U27" s="1573">
        <f>H27</f>
        <v>100</v>
      </c>
      <c r="V27" s="1572" t="s">
        <v>8</v>
      </c>
      <c r="W27" s="1573">
        <f>J27</f>
        <v>100</v>
      </c>
      <c r="X27" s="1574"/>
      <c r="Y27" s="3382"/>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2"/>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2"/>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2"/>
      <c r="Q29" s="1576">
        <f t="shared" si="11"/>
        <v>111</v>
      </c>
      <c r="R29" s="1577" t="s">
        <v>8</v>
      </c>
      <c r="S29" s="1578">
        <f t="shared" si="12"/>
        <v>100</v>
      </c>
      <c r="T29" s="1577" t="s">
        <v>8</v>
      </c>
      <c r="U29" s="1578">
        <f t="shared" si="13"/>
        <v>100</v>
      </c>
      <c r="V29" s="1577" t="s">
        <v>8</v>
      </c>
      <c r="W29" s="1578">
        <f t="shared" si="14"/>
        <v>100</v>
      </c>
      <c r="X29" s="1571"/>
      <c r="Y29" s="3382"/>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
      <c r="A32" s="2938"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3" t="s">
        <v>551</v>
      </c>
      <c r="Q32" s="1576" t="str">
        <f t="shared" si="11"/>
        <v>商业类型</v>
      </c>
      <c r="R32" s="1577" t="s">
        <v>8</v>
      </c>
      <c r="S32" s="1578">
        <f t="shared" si="12"/>
        <v>100</v>
      </c>
      <c r="T32" s="1577" t="s">
        <v>8</v>
      </c>
      <c r="U32" s="1578">
        <f t="shared" si="13"/>
        <v>100</v>
      </c>
      <c r="V32" s="1577" t="s">
        <v>8</v>
      </c>
      <c r="W32" s="1578">
        <f t="shared" si="14"/>
        <v>100</v>
      </c>
      <c r="X32" s="1571"/>
      <c r="Y32" s="3384"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4"/>
      <c r="Q33" s="1609" t="str">
        <f t="shared" si="11"/>
        <v>项目建筑规模</v>
      </c>
      <c r="R33" s="1581" t="s">
        <v>8</v>
      </c>
      <c r="S33" s="1582" t="e">
        <f t="shared" si="12"/>
        <v>#N/A</v>
      </c>
      <c r="T33" s="1581" t="s">
        <v>8</v>
      </c>
      <c r="U33" s="1582" t="e">
        <f t="shared" si="13"/>
        <v>#N/A</v>
      </c>
      <c r="V33" s="1581" t="s">
        <v>8</v>
      </c>
      <c r="W33" s="1582" t="e">
        <f t="shared" si="14"/>
        <v>#N/A</v>
      </c>
      <c r="X33" s="1583"/>
      <c r="Y33" s="3384"/>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4"/>
      <c r="Q34" s="1576" t="str">
        <f t="shared" si="11"/>
        <v>建筑结构</v>
      </c>
      <c r="R34" s="1577" t="s">
        <v>8</v>
      </c>
      <c r="S34" s="1578">
        <f t="shared" si="12"/>
        <v>100</v>
      </c>
      <c r="T34" s="1577" t="s">
        <v>8</v>
      </c>
      <c r="U34" s="1578">
        <f t="shared" si="13"/>
        <v>100</v>
      </c>
      <c r="V34" s="1577" t="s">
        <v>8</v>
      </c>
      <c r="W34" s="1578">
        <f t="shared" si="14"/>
        <v>100</v>
      </c>
      <c r="X34" s="1571"/>
      <c r="Y34" s="3384"/>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4"/>
      <c r="Q35" s="1576" t="str">
        <f t="shared" si="11"/>
        <v>公共部分装修</v>
      </c>
      <c r="R35" s="1577" t="s">
        <v>8</v>
      </c>
      <c r="S35" s="1578">
        <f t="shared" si="12"/>
        <v>100</v>
      </c>
      <c r="T35" s="1577" t="s">
        <v>8</v>
      </c>
      <c r="U35" s="1578">
        <f t="shared" si="13"/>
        <v>100</v>
      </c>
      <c r="V35" s="1577" t="s">
        <v>8</v>
      </c>
      <c r="W35" s="1578">
        <f t="shared" si="14"/>
        <v>100</v>
      </c>
      <c r="X35" s="1571"/>
      <c r="Y35" s="3384"/>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4"/>
      <c r="Q36" s="1576" t="str">
        <f t="shared" si="11"/>
        <v>成新度</v>
      </c>
      <c r="R36" s="1577" t="s">
        <v>8</v>
      </c>
      <c r="S36" s="1578" t="e">
        <f t="shared" si="12"/>
        <v>#N/A</v>
      </c>
      <c r="T36" s="1577" t="s">
        <v>8</v>
      </c>
      <c r="U36" s="1578" t="e">
        <f t="shared" si="13"/>
        <v>#N/A</v>
      </c>
      <c r="V36" s="1577" t="s">
        <v>8</v>
      </c>
      <c r="W36" s="1578" t="e">
        <f t="shared" si="14"/>
        <v>#N/A</v>
      </c>
      <c r="X36" s="1571"/>
      <c r="Y36" s="3384"/>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4"/>
      <c r="Q37" s="1154" t="str">
        <f t="shared" si="11"/>
        <v>市政基础设施</v>
      </c>
      <c r="R37" s="1572" t="s">
        <v>8</v>
      </c>
      <c r="S37" s="1573">
        <f t="shared" si="12"/>
        <v>100</v>
      </c>
      <c r="T37" s="1572" t="s">
        <v>8</v>
      </c>
      <c r="U37" s="1573">
        <f t="shared" si="13"/>
        <v>100</v>
      </c>
      <c r="V37" s="1572" t="s">
        <v>8</v>
      </c>
      <c r="W37" s="1573">
        <f t="shared" si="14"/>
        <v>100</v>
      </c>
      <c r="X37" s="1574"/>
      <c r="Y37" s="3384"/>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4" t="s">
        <v>767</v>
      </c>
      <c r="Q38" s="1576" t="str">
        <f t="shared" si="11"/>
        <v>业态</v>
      </c>
      <c r="R38" s="1577" t="s">
        <v>8</v>
      </c>
      <c r="S38" s="1578">
        <f t="shared" si="12"/>
        <v>100</v>
      </c>
      <c r="T38" s="1577" t="s">
        <v>8</v>
      </c>
      <c r="U38" s="1578">
        <f t="shared" si="13"/>
        <v>100</v>
      </c>
      <c r="V38" s="1577" t="s">
        <v>8</v>
      </c>
      <c r="W38" s="1578">
        <f t="shared" si="14"/>
        <v>100</v>
      </c>
      <c r="X38" s="1571"/>
      <c r="Y38" s="3384"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c r="Q39" s="1576" t="str">
        <f t="shared" si="11"/>
        <v>层高</v>
      </c>
      <c r="R39" s="1577" t="s">
        <v>8</v>
      </c>
      <c r="S39" s="1578">
        <f t="shared" si="12"/>
        <v>100</v>
      </c>
      <c r="T39" s="1577" t="s">
        <v>8</v>
      </c>
      <c r="U39" s="1578">
        <f t="shared" si="13"/>
        <v>100</v>
      </c>
      <c r="V39" s="1577" t="s">
        <v>8</v>
      </c>
      <c r="W39" s="1578">
        <f t="shared" si="14"/>
        <v>100</v>
      </c>
      <c r="X39" s="1571"/>
      <c r="Y39" s="3384"/>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4"/>
      <c r="Q40" s="1576" t="str">
        <f t="shared" si="11"/>
        <v>单套建筑面积</v>
      </c>
      <c r="R40" s="1577" t="s">
        <v>8</v>
      </c>
      <c r="S40" s="1578">
        <f t="shared" si="12"/>
        <v>100</v>
      </c>
      <c r="T40" s="1577" t="s">
        <v>8</v>
      </c>
      <c r="U40" s="1578">
        <f t="shared" si="13"/>
        <v>100</v>
      </c>
      <c r="V40" s="1577" t="s">
        <v>8</v>
      </c>
      <c r="W40" s="1578">
        <f t="shared" si="14"/>
        <v>100</v>
      </c>
      <c r="X40" s="1571"/>
      <c r="Y40" s="3384"/>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4"/>
      <c r="Q41" s="1609" t="str">
        <f t="shared" si="11"/>
        <v>进深比</v>
      </c>
      <c r="R41" s="1581" t="s">
        <v>8</v>
      </c>
      <c r="S41" s="1582">
        <f t="shared" si="12"/>
        <v>100</v>
      </c>
      <c r="T41" s="1581" t="s">
        <v>8</v>
      </c>
      <c r="U41" s="1582">
        <f t="shared" si="13"/>
        <v>100</v>
      </c>
      <c r="V41" s="1581" t="s">
        <v>8</v>
      </c>
      <c r="W41" s="1582">
        <f t="shared" si="14"/>
        <v>100</v>
      </c>
      <c r="X41" s="1583"/>
      <c r="Y41" s="3384"/>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4"/>
      <c r="Q42" s="1576" t="str">
        <f t="shared" si="11"/>
        <v>内部装修</v>
      </c>
      <c r="R42" s="1577" t="s">
        <v>8</v>
      </c>
      <c r="S42" s="1578">
        <f t="shared" si="12"/>
        <v>100</v>
      </c>
      <c r="T42" s="1577" t="s">
        <v>8</v>
      </c>
      <c r="U42" s="1578">
        <f t="shared" si="13"/>
        <v>100</v>
      </c>
      <c r="V42" s="1577" t="s">
        <v>8</v>
      </c>
      <c r="W42" s="1578">
        <f t="shared" si="14"/>
        <v>100</v>
      </c>
      <c r="X42" s="1571"/>
      <c r="Y42" s="3384"/>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4"/>
      <c r="Q43" s="1576" t="str">
        <f t="shared" si="11"/>
        <v>内部装修维护情况</v>
      </c>
      <c r="R43" s="1577" t="s">
        <v>8</v>
      </c>
      <c r="S43" s="1578">
        <f t="shared" si="12"/>
        <v>100</v>
      </c>
      <c r="T43" s="1577" t="s">
        <v>8</v>
      </c>
      <c r="U43" s="1578">
        <f t="shared" si="13"/>
        <v>100</v>
      </c>
      <c r="V43" s="1577" t="s">
        <v>8</v>
      </c>
      <c r="W43" s="1578">
        <f t="shared" si="14"/>
        <v>100</v>
      </c>
      <c r="X43" s="1571"/>
      <c r="Y43" s="3384"/>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4"/>
      <c r="Q44" s="1154">
        <f t="shared" si="11"/>
        <v>111</v>
      </c>
      <c r="R44" s="1572" t="s">
        <v>8</v>
      </c>
      <c r="S44" s="1573">
        <f t="shared" si="12"/>
        <v>100</v>
      </c>
      <c r="T44" s="1572" t="s">
        <v>8</v>
      </c>
      <c r="U44" s="1573">
        <f t="shared" si="13"/>
        <v>100</v>
      </c>
      <c r="V44" s="1572" t="s">
        <v>8</v>
      </c>
      <c r="W44" s="1573">
        <f t="shared" si="14"/>
        <v>100</v>
      </c>
      <c r="X44" s="1574"/>
      <c r="Y44" s="3384"/>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4"/>
      <c r="Q45" s="1576">
        <f t="shared" si="11"/>
        <v>111</v>
      </c>
      <c r="R45" s="1577" t="s">
        <v>8</v>
      </c>
      <c r="S45" s="1578">
        <f t="shared" si="12"/>
        <v>100</v>
      </c>
      <c r="T45" s="1577" t="s">
        <v>8</v>
      </c>
      <c r="U45" s="1578">
        <f t="shared" si="13"/>
        <v>100</v>
      </c>
      <c r="V45" s="1577" t="s">
        <v>8</v>
      </c>
      <c r="W45" s="1578">
        <f t="shared" si="14"/>
        <v>100</v>
      </c>
      <c r="X45" s="1571"/>
      <c r="Y45" s="3384"/>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85"/>
      <c r="Q46" s="1576">
        <f t="shared" si="11"/>
        <v>111</v>
      </c>
      <c r="R46" s="1577" t="s">
        <v>8</v>
      </c>
      <c r="S46" s="1578">
        <f t="shared" si="12"/>
        <v>100</v>
      </c>
      <c r="T46" s="1577" t="s">
        <v>8</v>
      </c>
      <c r="U46" s="1578">
        <f t="shared" si="13"/>
        <v>100</v>
      </c>
      <c r="V46" s="1577" t="s">
        <v>8</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9" t="str">
        <f>A47</f>
        <v>成交单价（元/平方米）</v>
      </c>
      <c r="Q47" s="3379"/>
      <c r="R47" s="3484">
        <f>E47</f>
        <v>0</v>
      </c>
      <c r="S47" s="3484"/>
      <c r="T47" s="3484">
        <f>G47</f>
        <v>0</v>
      </c>
      <c r="U47" s="3484"/>
      <c r="V47" s="3484">
        <f>I47</f>
        <v>0</v>
      </c>
      <c r="W47" s="3484"/>
      <c r="X47" s="1563"/>
      <c r="Y47" s="1585"/>
      <c r="Z47" s="1563"/>
      <c r="AA47" s="1563"/>
      <c r="AB47" s="1563"/>
      <c r="AC47" s="1563"/>
    </row>
    <row r="48" spans="1:29" ht="15.75" thickBot="1">
      <c r="A48" s="618" t="s">
        <v>2767</v>
      </c>
      <c r="B48" s="891"/>
      <c r="C48" s="2662" t="e">
        <f>R49</f>
        <v>#DIV/0!</v>
      </c>
      <c r="D48" s="2663"/>
      <c r="E48" s="2664" t="e">
        <f>R48</f>
        <v>#DIV/0!</v>
      </c>
      <c r="F48" s="2664"/>
      <c r="G48" s="2662" t="e">
        <f>T48</f>
        <v>#DIV/0!</v>
      </c>
      <c r="H48" s="2663"/>
      <c r="I48" s="2664" t="e">
        <f>V48</f>
        <v>#DIV/0!</v>
      </c>
      <c r="J48" s="2663"/>
      <c r="K48" s="1616"/>
      <c r="L48" s="2149"/>
      <c r="M48" s="2150"/>
      <c r="N48" s="2139"/>
      <c r="O48" s="2150"/>
      <c r="P48" s="3379" t="str">
        <f>A48</f>
        <v>比较价格（元/平方米）</v>
      </c>
      <c r="Q48" s="337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3"/>
      <c r="Y48" s="1563"/>
      <c r="Z48" s="1563"/>
      <c r="AA48" s="1563"/>
      <c r="AB48" s="1563"/>
      <c r="AC48" s="1563"/>
    </row>
    <row r="49" spans="1:29" ht="15.75" thickBot="1">
      <c r="A49" s="624" t="s">
        <v>2939</v>
      </c>
      <c r="B49" s="625"/>
      <c r="C49" s="2665" t="e">
        <f>R49</f>
        <v>#DIV/0!</v>
      </c>
      <c r="D49" s="2665"/>
      <c r="E49" s="2665"/>
      <c r="F49" s="2665"/>
      <c r="G49" s="2665"/>
      <c r="H49" s="2665"/>
      <c r="I49" s="2665"/>
      <c r="J49" s="2665"/>
      <c r="K49" s="1617"/>
      <c r="L49" s="2149"/>
      <c r="M49" s="2150"/>
      <c r="N49" s="2139"/>
      <c r="O49" s="2150"/>
      <c r="P49" s="3401" t="str">
        <f>A49</f>
        <v>估价对象XX用房的比较价格（楼面单价，元/平方米）</v>
      </c>
      <c r="Q49" s="3402"/>
      <c r="R49" s="3483" t="e">
        <f>IF(F1="售价",ROUND(AVERAGE(R48:V48),0),ROUND(AVERAGE(R48:V48),1))</f>
        <v>#DIV/0!</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85" t="s">
        <v>523</v>
      </c>
      <c r="D4" s="3386"/>
      <c r="E4" s="3410" t="s">
        <v>524</v>
      </c>
      <c r="F4" s="3411"/>
      <c r="G4" s="3385" t="s">
        <v>525</v>
      </c>
      <c r="H4" s="3386"/>
      <c r="I4" s="3385" t="s">
        <v>526</v>
      </c>
      <c r="J4" s="3386"/>
      <c r="K4" s="517" t="s">
        <v>527</v>
      </c>
      <c r="L4" s="2138"/>
      <c r="M4" s="2139"/>
      <c r="N4" s="2139"/>
      <c r="O4" s="2139"/>
      <c r="P4" s="3486"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487"/>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488"/>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80"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80" t="s">
        <v>534</v>
      </c>
      <c r="Q8" s="3372"/>
      <c r="R8" s="1572" t="s">
        <v>8</v>
      </c>
      <c r="S8" s="1573">
        <f t="shared" si="0"/>
        <v>0</v>
      </c>
      <c r="T8" s="1572" t="s">
        <v>8</v>
      </c>
      <c r="U8" s="1573">
        <f t="shared" si="1"/>
        <v>0</v>
      </c>
      <c r="V8" s="1572" t="s">
        <v>8</v>
      </c>
      <c r="W8" s="1573">
        <f t="shared" si="2"/>
        <v>0</v>
      </c>
      <c r="X8" s="1574"/>
      <c r="Y8" s="3371" t="s">
        <v>534</v>
      </c>
      <c r="Z8" s="3372"/>
      <c r="AA8" s="1575" t="e">
        <f t="shared" ref="AA8:AA47" si="3">D8/F8</f>
        <v>#DIV/0!</v>
      </c>
      <c r="AB8" s="1575" t="e">
        <f t="shared" ref="AB8:AB47" si="4">D8/H8</f>
        <v>#DIV/0!</v>
      </c>
      <c r="AC8" s="1575" t="e">
        <f t="shared" ref="AC8:AC47" si="5">D8/J8</f>
        <v>#DIV/0!</v>
      </c>
    </row>
    <row r="9" spans="1:29" s="1223" customFormat="1" ht="15">
      <c r="A9" s="2945"/>
      <c r="B9" s="2952"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81" t="s">
        <v>541</v>
      </c>
      <c r="Q15" s="1576" t="str">
        <f t="shared" si="6"/>
        <v>办公集聚程度</v>
      </c>
      <c r="R15" s="1577" t="s">
        <v>8</v>
      </c>
      <c r="S15" s="1578">
        <f t="shared" si="0"/>
        <v>100</v>
      </c>
      <c r="T15" s="1577" t="s">
        <v>8</v>
      </c>
      <c r="U15" s="1578">
        <f t="shared" si="1"/>
        <v>100</v>
      </c>
      <c r="V15" s="1577" t="s">
        <v>8</v>
      </c>
      <c r="W15" s="1578">
        <f t="shared" si="2"/>
        <v>100</v>
      </c>
      <c r="X15" s="1571"/>
      <c r="Y15" s="3381"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82"/>
      <c r="Q16" s="1576"/>
      <c r="R16" s="1577"/>
      <c r="S16" s="1578"/>
      <c r="T16" s="1577"/>
      <c r="U16" s="1578"/>
      <c r="V16" s="1577"/>
      <c r="W16" s="1578"/>
      <c r="X16" s="1571"/>
      <c r="Y16" s="3382"/>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82"/>
      <c r="Q18" s="1576"/>
      <c r="R18" s="1577"/>
      <c r="S18" s="1578"/>
      <c r="T18" s="1577"/>
      <c r="U18" s="1578"/>
      <c r="V18" s="1577"/>
      <c r="W18" s="1578"/>
      <c r="X18" s="1571"/>
      <c r="Y18" s="3382"/>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82"/>
      <c r="Q20" s="1576"/>
      <c r="R20" s="1577"/>
      <c r="S20" s="1578"/>
      <c r="T20" s="1577"/>
      <c r="U20" s="1578"/>
      <c r="V20" s="1577"/>
      <c r="W20" s="1578"/>
      <c r="X20" s="1571"/>
      <c r="Y20" s="3382"/>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82"/>
      <c r="Q22" s="2608"/>
      <c r="R22" s="1577"/>
      <c r="S22" s="1578"/>
      <c r="T22" s="1577"/>
      <c r="U22" s="1578"/>
      <c r="V22" s="1577"/>
      <c r="W22" s="1578"/>
      <c r="X22" s="2610"/>
      <c r="Y22" s="3382"/>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82"/>
      <c r="Q24" s="1576"/>
      <c r="R24" s="1577"/>
      <c r="S24" s="1578"/>
      <c r="T24" s="1577"/>
      <c r="U24" s="1578"/>
      <c r="V24" s="1577"/>
      <c r="W24" s="1578"/>
      <c r="X24" s="1571"/>
      <c r="Y24" s="3382"/>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2"/>
      <c r="Q25" s="1576" t="str">
        <f>B25</f>
        <v>毗邻道路的类型与等级</v>
      </c>
      <c r="R25" s="1577" t="s">
        <v>8</v>
      </c>
      <c r="S25" s="1578">
        <f>F25</f>
        <v>100</v>
      </c>
      <c r="T25" s="1577" t="s">
        <v>8</v>
      </c>
      <c r="U25" s="1578">
        <f>H25</f>
        <v>100</v>
      </c>
      <c r="V25" s="1577" t="s">
        <v>8</v>
      </c>
      <c r="W25" s="1578">
        <f>J25</f>
        <v>100</v>
      </c>
      <c r="X25" s="1571"/>
      <c r="Y25" s="3382"/>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82"/>
      <c r="Q26" s="1576"/>
      <c r="R26" s="1577"/>
      <c r="S26" s="1578"/>
      <c r="T26" s="1577"/>
      <c r="U26" s="1578"/>
      <c r="V26" s="1577"/>
      <c r="W26" s="1578"/>
      <c r="X26" s="1571"/>
      <c r="Y26" s="3382"/>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2"/>
      <c r="Q27" s="1576" t="str">
        <f t="shared" ref="Q27:Q47" si="11">B27</f>
        <v>楼层</v>
      </c>
      <c r="R27" s="1577" t="s">
        <v>8</v>
      </c>
      <c r="S27" s="1578">
        <f>F27</f>
        <v>100</v>
      </c>
      <c r="T27" s="1577" t="s">
        <v>8</v>
      </c>
      <c r="U27" s="1578">
        <f>H27</f>
        <v>100</v>
      </c>
      <c r="V27" s="1577" t="s">
        <v>8</v>
      </c>
      <c r="W27" s="1578">
        <f>J27</f>
        <v>100</v>
      </c>
      <c r="X27" s="1571"/>
      <c r="Y27" s="3382"/>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2"/>
      <c r="Q28" s="1154" t="str">
        <f t="shared" si="11"/>
        <v>朝向</v>
      </c>
      <c r="R28" s="1572" t="s">
        <v>8</v>
      </c>
      <c r="S28" s="1573">
        <f>F28</f>
        <v>100</v>
      </c>
      <c r="T28" s="1572" t="s">
        <v>8</v>
      </c>
      <c r="U28" s="1573">
        <f>H28</f>
        <v>100</v>
      </c>
      <c r="V28" s="1572" t="s">
        <v>8</v>
      </c>
      <c r="W28" s="1573">
        <f>J28</f>
        <v>100</v>
      </c>
      <c r="X28" s="1574"/>
      <c r="Y28" s="3382"/>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2"/>
      <c r="Q29" s="1576">
        <f t="shared" si="11"/>
        <v>111</v>
      </c>
      <c r="R29" s="1577" t="s">
        <v>8</v>
      </c>
      <c r="S29" s="1578">
        <f t="shared" ref="S29:S47" si="12">F29</f>
        <v>100</v>
      </c>
      <c r="T29" s="1577" t="s">
        <v>8</v>
      </c>
      <c r="U29" s="1578">
        <f t="shared" ref="U29:U47" si="13">H29</f>
        <v>100</v>
      </c>
      <c r="V29" s="1577" t="s">
        <v>8</v>
      </c>
      <c r="W29" s="1578">
        <f t="shared" ref="W29:W47" si="14">J29</f>
        <v>100</v>
      </c>
      <c r="X29" s="1571"/>
      <c r="Y29" s="3382"/>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2"/>
      <c r="Q32" s="1576">
        <f t="shared" si="11"/>
        <v>111</v>
      </c>
      <c r="R32" s="1577" t="s">
        <v>8</v>
      </c>
      <c r="S32" s="1578">
        <f t="shared" si="12"/>
        <v>100</v>
      </c>
      <c r="T32" s="1577" t="s">
        <v>8</v>
      </c>
      <c r="U32" s="1578">
        <f t="shared" si="13"/>
        <v>100</v>
      </c>
      <c r="V32" s="1577" t="s">
        <v>8</v>
      </c>
      <c r="W32" s="1578">
        <f t="shared" si="14"/>
        <v>100</v>
      </c>
      <c r="X32" s="1571"/>
      <c r="Y32" s="3382"/>
      <c r="Z32" s="1579">
        <f t="shared" si="15"/>
        <v>111</v>
      </c>
      <c r="AA32" s="1580">
        <f t="shared" si="3"/>
        <v>1</v>
      </c>
      <c r="AB32" s="1580">
        <f t="shared" si="4"/>
        <v>1</v>
      </c>
      <c r="AC32" s="1580">
        <f t="shared" si="5"/>
        <v>1</v>
      </c>
    </row>
    <row r="33" spans="1:29" ht="15">
      <c r="A33" s="2938"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3" t="s">
        <v>551</v>
      </c>
      <c r="Q33" s="1576" t="str">
        <f t="shared" si="11"/>
        <v>建筑类型</v>
      </c>
      <c r="R33" s="1577" t="s">
        <v>8</v>
      </c>
      <c r="S33" s="1578">
        <f t="shared" si="12"/>
        <v>100</v>
      </c>
      <c r="T33" s="1577" t="s">
        <v>8</v>
      </c>
      <c r="U33" s="1578">
        <f t="shared" si="13"/>
        <v>100</v>
      </c>
      <c r="V33" s="1577" t="s">
        <v>8</v>
      </c>
      <c r="W33" s="1578">
        <f t="shared" si="14"/>
        <v>100</v>
      </c>
      <c r="X33" s="1571"/>
      <c r="Y33" s="3384"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4"/>
      <c r="Q34" s="1609" t="str">
        <f t="shared" si="11"/>
        <v>项目建筑规模</v>
      </c>
      <c r="R34" s="1581" t="s">
        <v>8</v>
      </c>
      <c r="S34" s="1582" t="e">
        <f t="shared" si="12"/>
        <v>#N/A</v>
      </c>
      <c r="T34" s="1581" t="s">
        <v>8</v>
      </c>
      <c r="U34" s="1582" t="e">
        <f t="shared" si="13"/>
        <v>#N/A</v>
      </c>
      <c r="V34" s="1581" t="s">
        <v>8</v>
      </c>
      <c r="W34" s="1582" t="e">
        <f t="shared" si="14"/>
        <v>#N/A</v>
      </c>
      <c r="X34" s="1583"/>
      <c r="Y34" s="3384"/>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4"/>
      <c r="Q35" s="1576" t="str">
        <f t="shared" si="11"/>
        <v>建筑结构</v>
      </c>
      <c r="R35" s="1577" t="s">
        <v>8</v>
      </c>
      <c r="S35" s="1578">
        <f t="shared" si="12"/>
        <v>100</v>
      </c>
      <c r="T35" s="1577" t="s">
        <v>8</v>
      </c>
      <c r="U35" s="1578">
        <f t="shared" si="13"/>
        <v>100</v>
      </c>
      <c r="V35" s="1577" t="s">
        <v>8</v>
      </c>
      <c r="W35" s="1578">
        <f t="shared" si="14"/>
        <v>100</v>
      </c>
      <c r="X35" s="1571"/>
      <c r="Y35" s="3384"/>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4"/>
      <c r="Q36" s="1576" t="str">
        <f t="shared" si="11"/>
        <v>公共部分装修</v>
      </c>
      <c r="R36" s="1577" t="s">
        <v>8</v>
      </c>
      <c r="S36" s="1578">
        <f t="shared" si="12"/>
        <v>100</v>
      </c>
      <c r="T36" s="1577" t="s">
        <v>8</v>
      </c>
      <c r="U36" s="1578">
        <f t="shared" si="13"/>
        <v>100</v>
      </c>
      <c r="V36" s="1577" t="s">
        <v>8</v>
      </c>
      <c r="W36" s="1578">
        <f t="shared" si="14"/>
        <v>100</v>
      </c>
      <c r="X36" s="1571"/>
      <c r="Y36" s="3384"/>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4"/>
      <c r="Q37" s="1576" t="str">
        <f t="shared" si="11"/>
        <v>成新度</v>
      </c>
      <c r="R37" s="1577" t="s">
        <v>8</v>
      </c>
      <c r="S37" s="1578" t="e">
        <f t="shared" si="12"/>
        <v>#N/A</v>
      </c>
      <c r="T37" s="1577" t="s">
        <v>8</v>
      </c>
      <c r="U37" s="1578" t="e">
        <f t="shared" si="13"/>
        <v>#N/A</v>
      </c>
      <c r="V37" s="1577" t="s">
        <v>8</v>
      </c>
      <c r="W37" s="1578" t="e">
        <f t="shared" si="14"/>
        <v>#N/A</v>
      </c>
      <c r="X37" s="1571"/>
      <c r="Y37" s="3384"/>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4"/>
      <c r="Q38" s="1154" t="str">
        <f t="shared" si="11"/>
        <v>写字楼等级</v>
      </c>
      <c r="R38" s="1572" t="s">
        <v>8</v>
      </c>
      <c r="S38" s="1573">
        <f t="shared" si="12"/>
        <v>100</v>
      </c>
      <c r="T38" s="1572" t="s">
        <v>8</v>
      </c>
      <c r="U38" s="1573">
        <f t="shared" si="13"/>
        <v>100</v>
      </c>
      <c r="V38" s="1572" t="s">
        <v>8</v>
      </c>
      <c r="W38" s="1573">
        <f t="shared" si="14"/>
        <v>100</v>
      </c>
      <c r="X38" s="1574"/>
      <c r="Y38" s="3384"/>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4" t="s">
        <v>551</v>
      </c>
      <c r="Q39" s="1576" t="str">
        <f t="shared" si="11"/>
        <v>物业管理</v>
      </c>
      <c r="R39" s="1577" t="s">
        <v>8</v>
      </c>
      <c r="S39" s="1578">
        <f t="shared" si="12"/>
        <v>100</v>
      </c>
      <c r="T39" s="1577" t="s">
        <v>8</v>
      </c>
      <c r="U39" s="1578">
        <f t="shared" si="13"/>
        <v>100</v>
      </c>
      <c r="V39" s="1577" t="s">
        <v>8</v>
      </c>
      <c r="W39" s="1578">
        <f t="shared" si="14"/>
        <v>100</v>
      </c>
      <c r="X39" s="1571"/>
      <c r="Y39" s="3384"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4"/>
      <c r="Q40" s="1576" t="str">
        <f t="shared" si="11"/>
        <v>市政基础设施</v>
      </c>
      <c r="R40" s="1577" t="s">
        <v>8</v>
      </c>
      <c r="S40" s="1578">
        <f t="shared" si="12"/>
        <v>100</v>
      </c>
      <c r="T40" s="1577" t="s">
        <v>8</v>
      </c>
      <c r="U40" s="1578">
        <f t="shared" si="13"/>
        <v>100</v>
      </c>
      <c r="V40" s="1577" t="s">
        <v>8</v>
      </c>
      <c r="W40" s="1578">
        <f t="shared" si="14"/>
        <v>100</v>
      </c>
      <c r="X40" s="1571"/>
      <c r="Y40" s="3384"/>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4"/>
      <c r="Q41" s="1576" t="str">
        <f t="shared" si="11"/>
        <v>层高</v>
      </c>
      <c r="R41" s="1577" t="s">
        <v>8</v>
      </c>
      <c r="S41" s="1578">
        <f t="shared" si="12"/>
        <v>100</v>
      </c>
      <c r="T41" s="1577" t="s">
        <v>8</v>
      </c>
      <c r="U41" s="1578">
        <f t="shared" si="13"/>
        <v>100</v>
      </c>
      <c r="V41" s="1577" t="s">
        <v>8</v>
      </c>
      <c r="W41" s="1578">
        <f t="shared" si="14"/>
        <v>100</v>
      </c>
      <c r="X41" s="1571"/>
      <c r="Y41" s="3384"/>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4"/>
      <c r="Q42" s="1609" t="str">
        <f t="shared" si="11"/>
        <v>单套建筑面积</v>
      </c>
      <c r="R42" s="1581" t="s">
        <v>8</v>
      </c>
      <c r="S42" s="1582">
        <f t="shared" si="12"/>
        <v>100</v>
      </c>
      <c r="T42" s="1581" t="s">
        <v>8</v>
      </c>
      <c r="U42" s="1582">
        <f t="shared" si="13"/>
        <v>100</v>
      </c>
      <c r="V42" s="1581" t="s">
        <v>8</v>
      </c>
      <c r="W42" s="1582">
        <f t="shared" si="14"/>
        <v>100</v>
      </c>
      <c r="X42" s="1583"/>
      <c r="Y42" s="3384"/>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4"/>
      <c r="Q43" s="1576" t="str">
        <f t="shared" si="11"/>
        <v>内部装修</v>
      </c>
      <c r="R43" s="1577" t="s">
        <v>8</v>
      </c>
      <c r="S43" s="1578">
        <f t="shared" si="12"/>
        <v>100</v>
      </c>
      <c r="T43" s="1577" t="s">
        <v>8</v>
      </c>
      <c r="U43" s="1578">
        <f t="shared" si="13"/>
        <v>100</v>
      </c>
      <c r="V43" s="1577" t="s">
        <v>8</v>
      </c>
      <c r="W43" s="1578">
        <f t="shared" si="14"/>
        <v>100</v>
      </c>
      <c r="X43" s="1571"/>
      <c r="Y43" s="3384"/>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4"/>
      <c r="Q44" s="1576" t="str">
        <f t="shared" si="11"/>
        <v>内部装修维护情况</v>
      </c>
      <c r="R44" s="1577" t="s">
        <v>8</v>
      </c>
      <c r="S44" s="1578">
        <f t="shared" si="12"/>
        <v>100</v>
      </c>
      <c r="T44" s="1577" t="s">
        <v>8</v>
      </c>
      <c r="U44" s="1578">
        <f t="shared" si="13"/>
        <v>100</v>
      </c>
      <c r="V44" s="1577" t="s">
        <v>8</v>
      </c>
      <c r="W44" s="1578">
        <f t="shared" si="14"/>
        <v>100</v>
      </c>
      <c r="X44" s="1571"/>
      <c r="Y44" s="3384"/>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4"/>
      <c r="Q45" s="1154">
        <f t="shared" si="11"/>
        <v>111</v>
      </c>
      <c r="R45" s="1572" t="s">
        <v>8</v>
      </c>
      <c r="S45" s="1573">
        <f t="shared" si="12"/>
        <v>100</v>
      </c>
      <c r="T45" s="1572" t="s">
        <v>8</v>
      </c>
      <c r="U45" s="1573">
        <f t="shared" si="13"/>
        <v>100</v>
      </c>
      <c r="V45" s="1572" t="s">
        <v>8</v>
      </c>
      <c r="W45" s="1573">
        <f t="shared" si="14"/>
        <v>100</v>
      </c>
      <c r="X45" s="1574"/>
      <c r="Y45" s="3384"/>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4"/>
      <c r="Q46" s="1576">
        <f t="shared" si="11"/>
        <v>111</v>
      </c>
      <c r="R46" s="1577" t="s">
        <v>8</v>
      </c>
      <c r="S46" s="1578">
        <f t="shared" si="12"/>
        <v>100</v>
      </c>
      <c r="T46" s="1577" t="s">
        <v>8</v>
      </c>
      <c r="U46" s="1578">
        <f t="shared" si="13"/>
        <v>100</v>
      </c>
      <c r="V46" s="1577" t="s">
        <v>8</v>
      </c>
      <c r="W46" s="1578">
        <f t="shared" si="14"/>
        <v>100</v>
      </c>
      <c r="X46" s="1571"/>
      <c r="Y46" s="3384"/>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85"/>
      <c r="Q47" s="1576">
        <f t="shared" si="11"/>
        <v>111</v>
      </c>
      <c r="R47" s="1577" t="s">
        <v>8</v>
      </c>
      <c r="S47" s="1578">
        <f t="shared" si="12"/>
        <v>100</v>
      </c>
      <c r="T47" s="1577" t="s">
        <v>8</v>
      </c>
      <c r="U47" s="1578">
        <f t="shared" si="13"/>
        <v>100</v>
      </c>
      <c r="V47" s="1577" t="s">
        <v>8</v>
      </c>
      <c r="W47" s="1578">
        <f t="shared" si="14"/>
        <v>100</v>
      </c>
      <c r="X47" s="1571"/>
      <c r="Y47" s="348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402" t="str">
        <f>A48</f>
        <v>成交单价（元/平方米）</v>
      </c>
      <c r="Q48" s="3379"/>
      <c r="R48" s="3484">
        <f>E48</f>
        <v>0</v>
      </c>
      <c r="S48" s="3484"/>
      <c r="T48" s="3484">
        <f>G48</f>
        <v>0</v>
      </c>
      <c r="U48" s="3484"/>
      <c r="V48" s="3484">
        <f>I48</f>
        <v>0</v>
      </c>
      <c r="W48" s="3484"/>
      <c r="X48" s="1563"/>
      <c r="Y48" s="1585"/>
      <c r="Z48" s="1563"/>
      <c r="AA48" s="1563"/>
      <c r="AB48" s="1563"/>
      <c r="AC48" s="1563"/>
    </row>
    <row r="49" spans="1:29" ht="15.75" thickBot="1">
      <c r="A49" s="618" t="s">
        <v>2767</v>
      </c>
      <c r="B49" s="891"/>
      <c r="C49" s="2662" t="e">
        <f>R50</f>
        <v>#DIV/0!</v>
      </c>
      <c r="D49" s="2663"/>
      <c r="E49" s="2664" t="e">
        <f>R49</f>
        <v>#DIV/0!</v>
      </c>
      <c r="F49" s="2664"/>
      <c r="G49" s="2662" t="e">
        <f>T49</f>
        <v>#DIV/0!</v>
      </c>
      <c r="H49" s="2663"/>
      <c r="I49" s="2664" t="e">
        <f>V49</f>
        <v>#DIV/0!</v>
      </c>
      <c r="J49" s="2663"/>
      <c r="K49" s="1616"/>
      <c r="L49" s="2149"/>
      <c r="M49" s="2139"/>
      <c r="N49" s="2139"/>
      <c r="O49" s="2139"/>
      <c r="P49" s="3402" t="str">
        <f>A49</f>
        <v>比较价格（元/平方米）</v>
      </c>
      <c r="Q49" s="337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3"/>
      <c r="Y49" s="1563"/>
      <c r="Z49" s="1563"/>
      <c r="AA49" s="1563"/>
      <c r="AB49" s="1563"/>
      <c r="AC49" s="1563"/>
    </row>
    <row r="50" spans="1:29" ht="15.75" thickBot="1">
      <c r="A50" s="624" t="s">
        <v>2939</v>
      </c>
      <c r="B50" s="625"/>
      <c r="C50" s="2665" t="e">
        <f>R50</f>
        <v>#DIV/0!</v>
      </c>
      <c r="D50" s="2665"/>
      <c r="E50" s="2665"/>
      <c r="F50" s="2665"/>
      <c r="G50" s="2665"/>
      <c r="H50" s="2665"/>
      <c r="I50" s="2665"/>
      <c r="J50" s="2665"/>
      <c r="K50" s="1617"/>
      <c r="L50" s="2149"/>
      <c r="M50" s="2139"/>
      <c r="N50" s="2139"/>
      <c r="O50" s="2139"/>
      <c r="P50" s="3489" t="str">
        <f>A50</f>
        <v>估价对象XX用房的比较价格（楼面单价，元/平方米）</v>
      </c>
      <c r="Q50" s="3402"/>
      <c r="R50" s="3483" t="e">
        <f>IF(F1="售价",ROUND(AVERAGE(R49:V49),0),ROUND(AVERAGE(R49:V49),1))</f>
        <v>#DIV/0!</v>
      </c>
      <c r="S50" s="3483"/>
      <c r="T50" s="3483"/>
      <c r="U50" s="3483"/>
      <c r="V50" s="3483"/>
      <c r="W50" s="348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9"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0" si="3">D8/F8</f>
        <v>#DIV/0!</v>
      </c>
      <c r="AB8" s="1575" t="e">
        <f t="shared" ref="AB8:AB40" si="4">D8/H8</f>
        <v>#DIV/0!</v>
      </c>
      <c r="AC8" s="1575" t="e">
        <f t="shared" ref="AC8:AC40" si="5">D8/J8</f>
        <v>#DIV/0!</v>
      </c>
    </row>
    <row r="9" spans="1:29" s="1223" customFormat="1" ht="15">
      <c r="A9" s="2945"/>
      <c r="B9" s="2952"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57">
      <c r="A15" s="2941"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1" t="s">
        <v>541</v>
      </c>
      <c r="Q15" s="1576" t="str">
        <f t="shared" si="6"/>
        <v>产业集聚程度</v>
      </c>
      <c r="R15" s="1577" t="s">
        <v>8</v>
      </c>
      <c r="S15" s="1578">
        <f t="shared" si="0"/>
        <v>100</v>
      </c>
      <c r="T15" s="1577" t="s">
        <v>8</v>
      </c>
      <c r="U15" s="1578">
        <f t="shared" si="1"/>
        <v>100</v>
      </c>
      <c r="V15" s="1577" t="s">
        <v>8</v>
      </c>
      <c r="W15" s="1578">
        <f t="shared" si="2"/>
        <v>100</v>
      </c>
      <c r="X15" s="1571"/>
      <c r="Y15" s="3381"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2"/>
      <c r="Q25" s="1576">
        <f>B25</f>
        <v>111</v>
      </c>
      <c r="R25" s="1577" t="s">
        <v>8</v>
      </c>
      <c r="S25" s="1578">
        <f>F25</f>
        <v>100</v>
      </c>
      <c r="T25" s="1577" t="s">
        <v>8</v>
      </c>
      <c r="U25" s="1578">
        <f>H25</f>
        <v>100</v>
      </c>
      <c r="V25" s="1577" t="s">
        <v>8</v>
      </c>
      <c r="W25" s="1578">
        <f>J25</f>
        <v>100</v>
      </c>
      <c r="X25" s="1571"/>
      <c r="Y25" s="3382"/>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2"/>
      <c r="Q26" s="1576">
        <f t="shared" ref="Q26:Q40" si="11">B26</f>
        <v>111</v>
      </c>
      <c r="R26" s="1577" t="s">
        <v>8</v>
      </c>
      <c r="S26" s="1578">
        <f>F26</f>
        <v>100</v>
      </c>
      <c r="T26" s="1577" t="s">
        <v>8</v>
      </c>
      <c r="U26" s="1578">
        <f>H26</f>
        <v>100</v>
      </c>
      <c r="V26" s="1577" t="s">
        <v>8</v>
      </c>
      <c r="W26" s="1578">
        <f>J26</f>
        <v>100</v>
      </c>
      <c r="X26" s="1571"/>
      <c r="Y26" s="3382"/>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2"/>
      <c r="Q27" s="1154">
        <f t="shared" si="11"/>
        <v>111</v>
      </c>
      <c r="R27" s="1572" t="s">
        <v>8</v>
      </c>
      <c r="S27" s="1573">
        <f>F27</f>
        <v>100</v>
      </c>
      <c r="T27" s="1572" t="s">
        <v>8</v>
      </c>
      <c r="U27" s="1573">
        <f>H27</f>
        <v>100</v>
      </c>
      <c r="V27" s="1572" t="s">
        <v>8</v>
      </c>
      <c r="W27" s="1573">
        <f>J27</f>
        <v>100</v>
      </c>
      <c r="X27" s="1574"/>
      <c r="Y27" s="3382"/>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2"/>
      <c r="Q28" s="1576">
        <f t="shared" si="11"/>
        <v>111</v>
      </c>
      <c r="R28" s="1577" t="s">
        <v>8</v>
      </c>
      <c r="S28" s="1578">
        <f t="shared" ref="S28:S40" si="12">F28</f>
        <v>100</v>
      </c>
      <c r="T28" s="1577" t="s">
        <v>8</v>
      </c>
      <c r="U28" s="1578">
        <f t="shared" ref="U28:U40" si="13">H28</f>
        <v>100</v>
      </c>
      <c r="V28" s="1577" t="s">
        <v>8</v>
      </c>
      <c r="W28" s="1578">
        <f t="shared" ref="W28:W40" si="14">J28</f>
        <v>100</v>
      </c>
      <c r="X28" s="1571"/>
      <c r="Y28" s="3382"/>
      <c r="Z28" s="1579">
        <f t="shared" ref="Z28:Z40" si="15">Q28</f>
        <v>111</v>
      </c>
      <c r="AA28" s="1580">
        <f t="shared" si="3"/>
        <v>1</v>
      </c>
      <c r="AB28" s="1580">
        <f t="shared" si="4"/>
        <v>1</v>
      </c>
      <c r="AC28" s="1580">
        <f t="shared" si="5"/>
        <v>1</v>
      </c>
    </row>
    <row r="29" spans="1:29" ht="15">
      <c r="A29" s="2938"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3" t="s">
        <v>551</v>
      </c>
      <c r="Q29" s="1576" t="str">
        <f t="shared" si="11"/>
        <v>建筑类型</v>
      </c>
      <c r="R29" s="1577" t="s">
        <v>8</v>
      </c>
      <c r="S29" s="1578">
        <f t="shared" si="12"/>
        <v>100</v>
      </c>
      <c r="T29" s="1577" t="s">
        <v>8</v>
      </c>
      <c r="U29" s="1578">
        <f t="shared" si="13"/>
        <v>100</v>
      </c>
      <c r="V29" s="1577" t="s">
        <v>8</v>
      </c>
      <c r="W29" s="1578">
        <f t="shared" si="14"/>
        <v>100</v>
      </c>
      <c r="X29" s="1571"/>
      <c r="Y29" s="3384"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4"/>
      <c r="Q30" s="1609" t="str">
        <f t="shared" si="11"/>
        <v>项目建筑规模</v>
      </c>
      <c r="R30" s="1581" t="s">
        <v>8</v>
      </c>
      <c r="S30" s="1582" t="e">
        <f t="shared" si="12"/>
        <v>#N/A</v>
      </c>
      <c r="T30" s="1581" t="s">
        <v>8</v>
      </c>
      <c r="U30" s="1582" t="e">
        <f t="shared" si="13"/>
        <v>#N/A</v>
      </c>
      <c r="V30" s="1581" t="s">
        <v>8</v>
      </c>
      <c r="W30" s="1582" t="e">
        <f t="shared" si="14"/>
        <v>#N/A</v>
      </c>
      <c r="X30" s="1583"/>
      <c r="Y30" s="3384"/>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4"/>
      <c r="Q31" s="1576" t="str">
        <f t="shared" si="11"/>
        <v>建筑结构</v>
      </c>
      <c r="R31" s="1577" t="s">
        <v>8</v>
      </c>
      <c r="S31" s="1578">
        <f t="shared" si="12"/>
        <v>100</v>
      </c>
      <c r="T31" s="1577" t="s">
        <v>8</v>
      </c>
      <c r="U31" s="1578">
        <f t="shared" si="13"/>
        <v>100</v>
      </c>
      <c r="V31" s="1577" t="s">
        <v>8</v>
      </c>
      <c r="W31" s="1578">
        <f t="shared" si="14"/>
        <v>100</v>
      </c>
      <c r="X31" s="1571"/>
      <c r="Y31" s="3384"/>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4"/>
      <c r="Q32" s="1576" t="str">
        <f t="shared" si="11"/>
        <v>公共部分装修</v>
      </c>
      <c r="R32" s="1577" t="s">
        <v>8</v>
      </c>
      <c r="S32" s="1578">
        <f t="shared" si="12"/>
        <v>100</v>
      </c>
      <c r="T32" s="1577" t="s">
        <v>8</v>
      </c>
      <c r="U32" s="1578">
        <f t="shared" si="13"/>
        <v>100</v>
      </c>
      <c r="V32" s="1577" t="s">
        <v>8</v>
      </c>
      <c r="W32" s="1578">
        <f t="shared" si="14"/>
        <v>100</v>
      </c>
      <c r="X32" s="1571"/>
      <c r="Y32" s="3384"/>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4"/>
      <c r="Q33" s="1576" t="str">
        <f t="shared" si="11"/>
        <v>成新度</v>
      </c>
      <c r="R33" s="1577" t="s">
        <v>8</v>
      </c>
      <c r="S33" s="1578" t="e">
        <f t="shared" si="12"/>
        <v>#N/A</v>
      </c>
      <c r="T33" s="1577" t="s">
        <v>8</v>
      </c>
      <c r="U33" s="1578" t="e">
        <f t="shared" si="13"/>
        <v>#N/A</v>
      </c>
      <c r="V33" s="1577" t="s">
        <v>8</v>
      </c>
      <c r="W33" s="1578" t="e">
        <f t="shared" si="14"/>
        <v>#N/A</v>
      </c>
      <c r="X33" s="1571"/>
      <c r="Y33" s="3384"/>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4"/>
      <c r="Q34" s="1154" t="str">
        <f t="shared" si="11"/>
        <v>物业管理</v>
      </c>
      <c r="R34" s="1572" t="s">
        <v>8</v>
      </c>
      <c r="S34" s="1573">
        <f t="shared" si="12"/>
        <v>100</v>
      </c>
      <c r="T34" s="1572" t="s">
        <v>8</v>
      </c>
      <c r="U34" s="1573">
        <f t="shared" si="13"/>
        <v>100</v>
      </c>
      <c r="V34" s="1572" t="s">
        <v>8</v>
      </c>
      <c r="W34" s="1573">
        <f t="shared" si="14"/>
        <v>100</v>
      </c>
      <c r="X34" s="1574"/>
      <c r="Y34" s="3384"/>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4" t="s">
        <v>551</v>
      </c>
      <c r="Q35" s="1576" t="str">
        <f t="shared" si="11"/>
        <v>市政基础设施</v>
      </c>
      <c r="R35" s="1577" t="s">
        <v>8</v>
      </c>
      <c r="S35" s="1578">
        <f t="shared" si="12"/>
        <v>100</v>
      </c>
      <c r="T35" s="1577" t="s">
        <v>8</v>
      </c>
      <c r="U35" s="1578">
        <f t="shared" si="13"/>
        <v>100</v>
      </c>
      <c r="V35" s="1577" t="s">
        <v>8</v>
      </c>
      <c r="W35" s="1578">
        <f t="shared" si="14"/>
        <v>100</v>
      </c>
      <c r="X35" s="1571"/>
      <c r="Y35" s="3384"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4"/>
      <c r="Q36" s="1576" t="str">
        <f t="shared" si="11"/>
        <v>内部装修</v>
      </c>
      <c r="R36" s="1577" t="s">
        <v>8</v>
      </c>
      <c r="S36" s="1578">
        <f t="shared" si="12"/>
        <v>100</v>
      </c>
      <c r="T36" s="1577" t="s">
        <v>8</v>
      </c>
      <c r="U36" s="1578">
        <f t="shared" si="13"/>
        <v>100</v>
      </c>
      <c r="V36" s="1577" t="s">
        <v>8</v>
      </c>
      <c r="W36" s="1578">
        <f t="shared" si="14"/>
        <v>100</v>
      </c>
      <c r="X36" s="1571"/>
      <c r="Y36" s="3384"/>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4"/>
      <c r="Q37" s="1576" t="str">
        <f t="shared" si="11"/>
        <v>内部装修状况</v>
      </c>
      <c r="R37" s="1577" t="s">
        <v>8</v>
      </c>
      <c r="S37" s="1578">
        <f t="shared" si="12"/>
        <v>100</v>
      </c>
      <c r="T37" s="1577" t="s">
        <v>8</v>
      </c>
      <c r="U37" s="1578">
        <f t="shared" si="13"/>
        <v>100</v>
      </c>
      <c r="V37" s="1577" t="s">
        <v>8</v>
      </c>
      <c r="W37" s="1578">
        <f t="shared" si="14"/>
        <v>100</v>
      </c>
      <c r="X37" s="1571"/>
      <c r="Y37" s="3384"/>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4"/>
      <c r="Q38" s="1609">
        <f t="shared" si="11"/>
        <v>111</v>
      </c>
      <c r="R38" s="1581" t="s">
        <v>8</v>
      </c>
      <c r="S38" s="1582">
        <f t="shared" si="12"/>
        <v>100</v>
      </c>
      <c r="T38" s="1581" t="s">
        <v>8</v>
      </c>
      <c r="U38" s="1582">
        <f t="shared" si="13"/>
        <v>100</v>
      </c>
      <c r="V38" s="1581" t="s">
        <v>8</v>
      </c>
      <c r="W38" s="1582">
        <f t="shared" si="14"/>
        <v>100</v>
      </c>
      <c r="X38" s="1583"/>
      <c r="Y38" s="3384"/>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4"/>
      <c r="Q39" s="1576">
        <f t="shared" si="11"/>
        <v>111</v>
      </c>
      <c r="R39" s="1577" t="s">
        <v>8</v>
      </c>
      <c r="S39" s="1578">
        <f t="shared" si="12"/>
        <v>100</v>
      </c>
      <c r="T39" s="1577" t="s">
        <v>8</v>
      </c>
      <c r="U39" s="1578">
        <f t="shared" si="13"/>
        <v>100</v>
      </c>
      <c r="V39" s="1577" t="s">
        <v>8</v>
      </c>
      <c r="W39" s="1578">
        <f t="shared" si="14"/>
        <v>100</v>
      </c>
      <c r="X39" s="1571"/>
      <c r="Y39" s="3384"/>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85"/>
      <c r="Q40" s="1576">
        <f t="shared" si="11"/>
        <v>111</v>
      </c>
      <c r="R40" s="1577" t="s">
        <v>8</v>
      </c>
      <c r="S40" s="1578">
        <f t="shared" si="12"/>
        <v>100</v>
      </c>
      <c r="T40" s="1577" t="s">
        <v>8</v>
      </c>
      <c r="U40" s="1578">
        <f t="shared" si="13"/>
        <v>100</v>
      </c>
      <c r="V40" s="1577" t="s">
        <v>8</v>
      </c>
      <c r="W40" s="1578">
        <f t="shared" si="14"/>
        <v>100</v>
      </c>
      <c r="X40" s="1571"/>
      <c r="Y40" s="348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9" t="str">
        <f>A41</f>
        <v>成交单价（元/平方米）</v>
      </c>
      <c r="Q41" s="3379"/>
      <c r="R41" s="3484">
        <f>E41</f>
        <v>0</v>
      </c>
      <c r="S41" s="3484"/>
      <c r="T41" s="3484">
        <f>G41</f>
        <v>0</v>
      </c>
      <c r="U41" s="3484"/>
      <c r="V41" s="3484">
        <f>I41</f>
        <v>0</v>
      </c>
      <c r="W41" s="3484"/>
      <c r="X41" s="1563"/>
      <c r="Y41" s="1585"/>
      <c r="Z41" s="1563"/>
      <c r="AA41" s="1563"/>
      <c r="AB41" s="1563"/>
      <c r="AC41" s="1563"/>
    </row>
    <row r="42" spans="1:29" ht="15.75" thickBot="1">
      <c r="A42" s="618" t="s">
        <v>2767</v>
      </c>
      <c r="B42" s="891"/>
      <c r="C42" s="2662" t="e">
        <f>R43</f>
        <v>#DIV/0!</v>
      </c>
      <c r="D42" s="2663"/>
      <c r="E42" s="2664" t="e">
        <f>R42</f>
        <v>#DIV/0!</v>
      </c>
      <c r="F42" s="2664"/>
      <c r="G42" s="2662" t="e">
        <f>T42</f>
        <v>#DIV/0!</v>
      </c>
      <c r="H42" s="2663"/>
      <c r="I42" s="2664" t="e">
        <f>V42</f>
        <v>#DIV/0!</v>
      </c>
      <c r="J42" s="2663"/>
      <c r="K42" s="1616"/>
      <c r="L42" s="2149"/>
      <c r="M42" s="2150"/>
      <c r="N42" s="2139"/>
      <c r="O42" s="2150"/>
      <c r="P42" s="3379" t="str">
        <f>A42</f>
        <v>比较价格（元/平方米）</v>
      </c>
      <c r="Q42" s="337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3"/>
      <c r="Y42" s="1563"/>
      <c r="Z42" s="1563"/>
      <c r="AA42" s="1563"/>
      <c r="AB42" s="1563"/>
      <c r="AC42" s="1563"/>
    </row>
    <row r="43" spans="1:29" ht="15.75" thickBot="1">
      <c r="A43" s="624" t="s">
        <v>2939</v>
      </c>
      <c r="B43" s="625"/>
      <c r="C43" s="2665" t="e">
        <f>R43</f>
        <v>#DIV/0!</v>
      </c>
      <c r="D43" s="2665"/>
      <c r="E43" s="2665"/>
      <c r="F43" s="2665"/>
      <c r="G43" s="2665"/>
      <c r="H43" s="2665"/>
      <c r="I43" s="2665"/>
      <c r="J43" s="2665"/>
      <c r="K43" s="1617"/>
      <c r="L43" s="2149"/>
      <c r="M43" s="2150"/>
      <c r="N43" s="2150"/>
      <c r="O43" s="2150"/>
      <c r="P43" s="3401" t="str">
        <f>A43</f>
        <v>估价对象XX用房的比较价格（楼面单价，元/平方米）</v>
      </c>
      <c r="Q43" s="3402"/>
      <c r="R43" s="3483" t="e">
        <f>IF(F1="售价",ROUND(AVERAGE(R42:V42),0),ROUND(AVERAGE(R42:V42),1))</f>
        <v>#DIV/0!</v>
      </c>
      <c r="S43" s="3483"/>
      <c r="T43" s="3483"/>
      <c r="U43" s="3483"/>
      <c r="V43" s="3483"/>
      <c r="W43" s="348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385" t="s">
        <v>800</v>
      </c>
      <c r="F4" s="3386"/>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398" t="s">
        <v>2934</v>
      </c>
      <c r="F5" s="3397"/>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399" t="s">
        <v>2937</v>
      </c>
      <c r="F6" s="3400"/>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6" si="3">D8/F8</f>
        <v>#DIV/0!</v>
      </c>
      <c r="AB8" s="1575" t="e">
        <f t="shared" ref="AB8:AB36" si="4">D8/H8</f>
        <v>#DIV/0!</v>
      </c>
      <c r="AC8" s="1575" t="e">
        <f t="shared" ref="AC8:AC36" si="5">D8/J8</f>
        <v>#DIV/0!</v>
      </c>
    </row>
    <row r="9" spans="1:29" s="1223" customFormat="1" ht="15">
      <c r="A9" s="2945"/>
      <c r="B9" s="2952"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2"/>
      <c r="Q24" s="1576">
        <f t="shared" ref="Q24:Q36"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3"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4"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4"/>
      <c r="Q27" s="1609" t="str">
        <f t="shared" si="11"/>
        <v>项目停车位配比</v>
      </c>
      <c r="R27" s="1581" t="s">
        <v>8</v>
      </c>
      <c r="S27" s="1582">
        <f t="shared" si="12"/>
        <v>100</v>
      </c>
      <c r="T27" s="1581" t="s">
        <v>8</v>
      </c>
      <c r="U27" s="1582">
        <f t="shared" si="13"/>
        <v>100</v>
      </c>
      <c r="V27" s="1581" t="s">
        <v>8</v>
      </c>
      <c r="W27" s="1582">
        <f t="shared" si="14"/>
        <v>100</v>
      </c>
      <c r="X27" s="1583"/>
      <c r="Y27" s="3384"/>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4"/>
      <c r="Q28" s="1576" t="str">
        <f t="shared" si="11"/>
        <v>公共部分装修</v>
      </c>
      <c r="R28" s="1577" t="s">
        <v>8</v>
      </c>
      <c r="S28" s="1578">
        <f t="shared" si="12"/>
        <v>100</v>
      </c>
      <c r="T28" s="1577" t="s">
        <v>8</v>
      </c>
      <c r="U28" s="1578">
        <f t="shared" si="13"/>
        <v>100</v>
      </c>
      <c r="V28" s="1577" t="s">
        <v>8</v>
      </c>
      <c r="W28" s="1578">
        <f t="shared" si="14"/>
        <v>100</v>
      </c>
      <c r="X28" s="1571"/>
      <c r="Y28" s="3384"/>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4"/>
      <c r="Q29" s="1576" t="str">
        <f t="shared" si="11"/>
        <v>成新率</v>
      </c>
      <c r="R29" s="1577" t="s">
        <v>8</v>
      </c>
      <c r="S29" s="1578" t="e">
        <f t="shared" si="12"/>
        <v>#N/A</v>
      </c>
      <c r="T29" s="1577" t="s">
        <v>8</v>
      </c>
      <c r="U29" s="1578" t="e">
        <f t="shared" si="13"/>
        <v>#N/A</v>
      </c>
      <c r="V29" s="1577" t="s">
        <v>8</v>
      </c>
      <c r="W29" s="1578" t="e">
        <f t="shared" si="14"/>
        <v>#N/A</v>
      </c>
      <c r="X29" s="1571"/>
      <c r="Y29" s="3384"/>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4"/>
      <c r="Q30" s="1576" t="str">
        <f t="shared" si="11"/>
        <v>物业等级</v>
      </c>
      <c r="R30" s="1577" t="s">
        <v>8</v>
      </c>
      <c r="S30" s="1578">
        <f t="shared" si="12"/>
        <v>100</v>
      </c>
      <c r="T30" s="1577" t="s">
        <v>8</v>
      </c>
      <c r="U30" s="1578">
        <f t="shared" si="13"/>
        <v>100</v>
      </c>
      <c r="V30" s="1577" t="s">
        <v>8</v>
      </c>
      <c r="W30" s="1578">
        <f t="shared" si="14"/>
        <v>100</v>
      </c>
      <c r="X30" s="1571"/>
      <c r="Y30" s="3384"/>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4"/>
      <c r="Q31" s="1154" t="str">
        <f t="shared" si="11"/>
        <v>停车位面积</v>
      </c>
      <c r="R31" s="1572" t="s">
        <v>8</v>
      </c>
      <c r="S31" s="1573" t="e">
        <f t="shared" si="12"/>
        <v>#N/A</v>
      </c>
      <c r="T31" s="1572" t="s">
        <v>8</v>
      </c>
      <c r="U31" s="1573" t="e">
        <f t="shared" si="13"/>
        <v>#N/A</v>
      </c>
      <c r="V31" s="1572" t="s">
        <v>8</v>
      </c>
      <c r="W31" s="1573" t="e">
        <f t="shared" si="14"/>
        <v>#N/A</v>
      </c>
      <c r="X31" s="1574"/>
      <c r="Y31" s="3384"/>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4" t="s">
        <v>551</v>
      </c>
      <c r="Q32" s="1576" t="str">
        <f t="shared" si="11"/>
        <v>车位类型</v>
      </c>
      <c r="R32" s="1577" t="s">
        <v>8</v>
      </c>
      <c r="S32" s="1578">
        <f t="shared" si="12"/>
        <v>100</v>
      </c>
      <c r="T32" s="1577" t="s">
        <v>8</v>
      </c>
      <c r="U32" s="1578">
        <f t="shared" si="13"/>
        <v>100</v>
      </c>
      <c r="V32" s="1577" t="s">
        <v>8</v>
      </c>
      <c r="W32" s="1578">
        <f t="shared" si="14"/>
        <v>100</v>
      </c>
      <c r="X32" s="1571"/>
      <c r="Y32" s="3384"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4"/>
      <c r="Q33" s="1576" t="str">
        <f t="shared" si="11"/>
        <v>是否直接入户</v>
      </c>
      <c r="R33" s="1577" t="s">
        <v>8</v>
      </c>
      <c r="S33" s="1578">
        <f t="shared" si="12"/>
        <v>100</v>
      </c>
      <c r="T33" s="1577" t="s">
        <v>8</v>
      </c>
      <c r="U33" s="1578">
        <f t="shared" si="13"/>
        <v>100</v>
      </c>
      <c r="V33" s="1577" t="s">
        <v>8</v>
      </c>
      <c r="W33" s="1578">
        <f t="shared" si="14"/>
        <v>100</v>
      </c>
      <c r="X33" s="1571"/>
      <c r="Y33" s="3384"/>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4"/>
      <c r="Q35" s="1609">
        <f t="shared" si="11"/>
        <v>111</v>
      </c>
      <c r="R35" s="1581" t="s">
        <v>8</v>
      </c>
      <c r="S35" s="1582">
        <f t="shared" si="12"/>
        <v>100</v>
      </c>
      <c r="T35" s="1581" t="s">
        <v>8</v>
      </c>
      <c r="U35" s="1582">
        <f t="shared" si="13"/>
        <v>100</v>
      </c>
      <c r="V35" s="1581" t="s">
        <v>8</v>
      </c>
      <c r="W35" s="1582">
        <f t="shared" si="14"/>
        <v>100</v>
      </c>
      <c r="X35" s="1583"/>
      <c r="Y35" s="3384"/>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4"/>
      <c r="Q36" s="1576">
        <f t="shared" si="11"/>
        <v>111</v>
      </c>
      <c r="R36" s="1577" t="s">
        <v>8</v>
      </c>
      <c r="S36" s="1578">
        <f t="shared" si="12"/>
        <v>100</v>
      </c>
      <c r="T36" s="1577" t="s">
        <v>8</v>
      </c>
      <c r="U36" s="1578">
        <f t="shared" si="13"/>
        <v>100</v>
      </c>
      <c r="V36" s="1577" t="s">
        <v>8</v>
      </c>
      <c r="W36" s="1578">
        <f t="shared" si="14"/>
        <v>100</v>
      </c>
      <c r="X36" s="1571"/>
      <c r="Y36" s="3384"/>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79" t="str">
        <f>A37</f>
        <v>成交单价</v>
      </c>
      <c r="Q37" s="3379"/>
      <c r="R37" s="3484">
        <f>E37</f>
        <v>0</v>
      </c>
      <c r="S37" s="3484"/>
      <c r="T37" s="3484">
        <f>G37</f>
        <v>0</v>
      </c>
      <c r="U37" s="3484"/>
      <c r="V37" s="3484">
        <f>I37</f>
        <v>0</v>
      </c>
      <c r="W37" s="3484"/>
      <c r="X37" s="1563"/>
      <c r="Y37" s="1585"/>
      <c r="Z37" s="1563"/>
      <c r="AA37" s="1563"/>
      <c r="AB37" s="1563"/>
      <c r="AC37" s="1563"/>
    </row>
    <row r="38" spans="1:29" ht="15.75" thickBot="1">
      <c r="A38" s="618" t="s">
        <v>2767</v>
      </c>
      <c r="B38" s="891"/>
      <c r="C38" s="2662" t="e">
        <f>R39</f>
        <v>#DIV/0!</v>
      </c>
      <c r="D38" s="2663"/>
      <c r="E38" s="2664" t="e">
        <f>R38</f>
        <v>#DIV/0!</v>
      </c>
      <c r="F38" s="2664"/>
      <c r="G38" s="2662" t="e">
        <f>T38</f>
        <v>#DIV/0!</v>
      </c>
      <c r="H38" s="2663"/>
      <c r="I38" s="2664" t="e">
        <f>V38</f>
        <v>#DIV/0!</v>
      </c>
      <c r="J38" s="2663"/>
      <c r="K38" s="1616"/>
      <c r="L38" s="2149"/>
      <c r="M38" s="2150"/>
      <c r="N38" s="2150"/>
      <c r="O38" s="2150"/>
      <c r="P38" s="3379" t="str">
        <f>A38</f>
        <v>比较价格（元/平方米）</v>
      </c>
      <c r="Q38" s="337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3"/>
      <c r="Y38" s="1563"/>
      <c r="Z38" s="1563"/>
      <c r="AA38" s="1563"/>
      <c r="AB38" s="1563"/>
      <c r="AC38" s="1563"/>
    </row>
    <row r="39" spans="1:29" ht="15.75" thickBot="1">
      <c r="A39" s="624" t="s">
        <v>2939</v>
      </c>
      <c r="B39" s="625"/>
      <c r="C39" s="2665" t="e">
        <f>R39</f>
        <v>#DIV/0!</v>
      </c>
      <c r="D39" s="2665"/>
      <c r="E39" s="2665"/>
      <c r="F39" s="2665"/>
      <c r="G39" s="2665"/>
      <c r="H39" s="2665"/>
      <c r="I39" s="2665"/>
      <c r="J39" s="2665"/>
      <c r="K39" s="1617"/>
      <c r="L39" s="2149"/>
      <c r="M39" s="2150"/>
      <c r="N39" s="2150"/>
      <c r="O39" s="2150"/>
      <c r="P39" s="3401" t="str">
        <f>A39</f>
        <v>估价对象XX用房的比较价格（楼面单价，元/平方米）</v>
      </c>
      <c r="Q39" s="3402"/>
      <c r="R39" s="3483" t="e">
        <f>IF(F1="售价",ROUND(AVERAGE(R38:V38),0),ROUND(AVERAGE(R38:V38),1))</f>
        <v>#DIV/0!</v>
      </c>
      <c r="S39" s="3483"/>
      <c r="T39" s="3483"/>
      <c r="U39" s="3483"/>
      <c r="V39" s="3483"/>
      <c r="W39" s="348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410" t="s">
        <v>800</v>
      </c>
      <c r="F4" s="3411"/>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4" si="3">D8/F8</f>
        <v>#DIV/0!</v>
      </c>
      <c r="AB8" s="1575" t="e">
        <f t="shared" ref="AB8:AB34" si="4">D8/H8</f>
        <v>#DIV/0!</v>
      </c>
      <c r="AC8" s="1575" t="e">
        <f t="shared" ref="AC8:AC34" si="5">D8/J8</f>
        <v>#DIV/0!</v>
      </c>
    </row>
    <row r="9" spans="1:29" s="1223" customFormat="1" ht="15">
      <c r="A9" s="2945"/>
      <c r="B9" s="2952"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2"/>
      <c r="Q24" s="1576">
        <f t="shared" ref="Q24:Q34"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3"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4"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4"/>
      <c r="Q27" s="1609" t="str">
        <f t="shared" si="11"/>
        <v>成新率</v>
      </c>
      <c r="R27" s="1581" t="s">
        <v>8</v>
      </c>
      <c r="S27" s="1582" t="e">
        <f t="shared" si="12"/>
        <v>#N/A</v>
      </c>
      <c r="T27" s="1581" t="s">
        <v>8</v>
      </c>
      <c r="U27" s="1582" t="e">
        <f t="shared" si="13"/>
        <v>#N/A</v>
      </c>
      <c r="V27" s="1581" t="s">
        <v>8</v>
      </c>
      <c r="W27" s="1582" t="e">
        <f t="shared" si="14"/>
        <v>#N/A</v>
      </c>
      <c r="X27" s="1583"/>
      <c r="Y27" s="3384"/>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4"/>
      <c r="Q28" s="1576" t="str">
        <f t="shared" si="11"/>
        <v>物业等级</v>
      </c>
      <c r="R28" s="1577" t="s">
        <v>8</v>
      </c>
      <c r="S28" s="1578">
        <f t="shared" si="12"/>
        <v>100</v>
      </c>
      <c r="T28" s="1577" t="s">
        <v>8</v>
      </c>
      <c r="U28" s="1578">
        <f t="shared" si="13"/>
        <v>100</v>
      </c>
      <c r="V28" s="1577" t="s">
        <v>8</v>
      </c>
      <c r="W28" s="1578">
        <f t="shared" si="14"/>
        <v>100</v>
      </c>
      <c r="X28" s="1571"/>
      <c r="Y28" s="3384"/>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4"/>
      <c r="Q29" s="1576" t="str">
        <f t="shared" si="11"/>
        <v>有无电梯</v>
      </c>
      <c r="R29" s="1577" t="s">
        <v>8</v>
      </c>
      <c r="S29" s="1578">
        <f t="shared" si="12"/>
        <v>100</v>
      </c>
      <c r="T29" s="1577" t="s">
        <v>8</v>
      </c>
      <c r="U29" s="1578">
        <f t="shared" si="13"/>
        <v>100</v>
      </c>
      <c r="V29" s="1577" t="s">
        <v>8</v>
      </c>
      <c r="W29" s="1578">
        <f t="shared" si="14"/>
        <v>100</v>
      </c>
      <c r="X29" s="1571"/>
      <c r="Y29" s="3384"/>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4"/>
      <c r="Q30" s="1576" t="str">
        <f t="shared" si="11"/>
        <v>建筑面积</v>
      </c>
      <c r="R30" s="1577" t="s">
        <v>8</v>
      </c>
      <c r="S30" s="1578" t="e">
        <f t="shared" si="12"/>
        <v>#N/A</v>
      </c>
      <c r="T30" s="1577" t="s">
        <v>8</v>
      </c>
      <c r="U30" s="1578" t="e">
        <f t="shared" si="13"/>
        <v>#N/A</v>
      </c>
      <c r="V30" s="1577" t="s">
        <v>8</v>
      </c>
      <c r="W30" s="1578" t="e">
        <f t="shared" si="14"/>
        <v>#N/A</v>
      </c>
      <c r="X30" s="1571"/>
      <c r="Y30" s="3384"/>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4"/>
      <c r="Q31" s="1154" t="str">
        <f t="shared" si="11"/>
        <v>是否封闭</v>
      </c>
      <c r="R31" s="1572" t="s">
        <v>8</v>
      </c>
      <c r="S31" s="1573">
        <f t="shared" si="12"/>
        <v>100</v>
      </c>
      <c r="T31" s="1572" t="s">
        <v>8</v>
      </c>
      <c r="U31" s="1573">
        <f t="shared" si="13"/>
        <v>100</v>
      </c>
      <c r="V31" s="1572" t="s">
        <v>8</v>
      </c>
      <c r="W31" s="1573">
        <f t="shared" si="14"/>
        <v>100</v>
      </c>
      <c r="X31" s="1574"/>
      <c r="Y31" s="3384"/>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4" t="s">
        <v>551</v>
      </c>
      <c r="Q32" s="1576">
        <f t="shared" si="11"/>
        <v>111</v>
      </c>
      <c r="R32" s="1577" t="s">
        <v>8</v>
      </c>
      <c r="S32" s="1578">
        <f t="shared" si="12"/>
        <v>100</v>
      </c>
      <c r="T32" s="1577" t="s">
        <v>8</v>
      </c>
      <c r="U32" s="1578">
        <f t="shared" si="13"/>
        <v>100</v>
      </c>
      <c r="V32" s="1577" t="s">
        <v>8</v>
      </c>
      <c r="W32" s="1578">
        <f t="shared" si="14"/>
        <v>100</v>
      </c>
      <c r="X32" s="1571"/>
      <c r="Y32" s="3384"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4"/>
      <c r="Q33" s="1576">
        <f t="shared" si="11"/>
        <v>111</v>
      </c>
      <c r="R33" s="1577" t="s">
        <v>8</v>
      </c>
      <c r="S33" s="1578">
        <f t="shared" si="12"/>
        <v>100</v>
      </c>
      <c r="T33" s="1577" t="s">
        <v>8</v>
      </c>
      <c r="U33" s="1578">
        <f t="shared" si="13"/>
        <v>100</v>
      </c>
      <c r="V33" s="1577" t="s">
        <v>8</v>
      </c>
      <c r="W33" s="1578">
        <f t="shared" si="14"/>
        <v>100</v>
      </c>
      <c r="X33" s="1571"/>
      <c r="Y33" s="3384"/>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9" t="str">
        <f>A35</f>
        <v>成交单价（元/平方米）</v>
      </c>
      <c r="Q35" s="3379"/>
      <c r="R35" s="3484">
        <f>E35</f>
        <v>0</v>
      </c>
      <c r="S35" s="3484"/>
      <c r="T35" s="3484">
        <f>G35</f>
        <v>0</v>
      </c>
      <c r="U35" s="3484"/>
      <c r="V35" s="3484">
        <f>I35</f>
        <v>0</v>
      </c>
      <c r="W35" s="3484"/>
      <c r="X35" s="1563"/>
      <c r="Y35" s="1585"/>
      <c r="Z35" s="1563"/>
      <c r="AA35" s="1563"/>
      <c r="AB35" s="1563"/>
      <c r="AC35" s="1563"/>
    </row>
    <row r="36" spans="1:29" ht="15.75" thickBot="1">
      <c r="A36" s="618" t="s">
        <v>2767</v>
      </c>
      <c r="B36" s="891"/>
      <c r="C36" s="2662" t="e">
        <f>R37</f>
        <v>#DIV/0!</v>
      </c>
      <c r="D36" s="2663"/>
      <c r="E36" s="2664" t="e">
        <f>R36</f>
        <v>#DIV/0!</v>
      </c>
      <c r="F36" s="2664"/>
      <c r="G36" s="2662" t="e">
        <f>T36</f>
        <v>#DIV/0!</v>
      </c>
      <c r="H36" s="2663"/>
      <c r="I36" s="2664" t="e">
        <f>V36</f>
        <v>#DIV/0!</v>
      </c>
      <c r="J36" s="2663"/>
      <c r="K36" s="1616"/>
      <c r="L36" s="2149"/>
      <c r="M36" s="2150"/>
      <c r="N36" s="2139"/>
      <c r="O36" s="2150"/>
      <c r="P36" s="3379" t="str">
        <f>A36</f>
        <v>比较价格（元/平方米）</v>
      </c>
      <c r="Q36" s="337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3"/>
      <c r="Y36" s="1563"/>
      <c r="Z36" s="1563"/>
      <c r="AA36" s="1563"/>
      <c r="AB36" s="1563"/>
      <c r="AC36" s="1563"/>
    </row>
    <row r="37" spans="1:29" ht="15.75" thickBot="1">
      <c r="A37" s="624" t="s">
        <v>2939</v>
      </c>
      <c r="B37" s="625"/>
      <c r="C37" s="2665" t="e">
        <f>R37</f>
        <v>#DIV/0!</v>
      </c>
      <c r="D37" s="2665"/>
      <c r="E37" s="2665"/>
      <c r="F37" s="2665"/>
      <c r="G37" s="2665"/>
      <c r="H37" s="2665"/>
      <c r="I37" s="2665"/>
      <c r="J37" s="2665"/>
      <c r="K37" s="1617"/>
      <c r="L37" s="2149"/>
      <c r="M37" s="2150"/>
      <c r="N37" s="2150"/>
      <c r="O37" s="2150"/>
      <c r="P37" s="3401" t="str">
        <f>A37</f>
        <v>估价对象XX用房的比较价格（楼面单价，元/平方米）</v>
      </c>
      <c r="Q37" s="3402"/>
      <c r="R37" s="3483" t="e">
        <f>IF(F1="售价",ROUND(AVERAGE(R36:V36),0),ROUND(AVERAGE(R36:V36),1))</f>
        <v>#DIV/0!</v>
      </c>
      <c r="S37" s="3483"/>
      <c r="T37" s="3483"/>
      <c r="U37" s="3483"/>
      <c r="V37" s="3483"/>
      <c r="W37" s="348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R26" sqref="R26"/>
    </sheetView>
  </sheetViews>
  <sheetFormatPr defaultRowHeight="12.75"/>
  <cols>
    <col min="1" max="1" width="11.5" style="1253" customWidth="1"/>
    <col min="2" max="2" width="9.25" style="1221" customWidth="1"/>
    <col min="3" max="3" width="5" style="1221" customWidth="1"/>
    <col min="4" max="4" width="9" style="1221"/>
    <col min="5" max="5" width="7.875" style="1221" customWidth="1"/>
    <col min="6" max="6" width="9" style="1221"/>
    <col min="7" max="7" width="7.375" style="1221" customWidth="1"/>
    <col min="8" max="8" width="9" style="1221"/>
    <col min="9" max="9" width="7" style="1221" customWidth="1"/>
    <col min="10" max="10" width="9" style="1221"/>
    <col min="11" max="11" width="7.375" style="1221" customWidth="1"/>
    <col min="12" max="12" width="9" style="1221"/>
    <col min="13" max="13" width="8.7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493" t="s">
        <v>2306</v>
      </c>
      <c r="D1" s="3494"/>
      <c r="E1" s="3494"/>
      <c r="F1" s="3494"/>
      <c r="G1" s="3494"/>
      <c r="H1" s="3494"/>
      <c r="I1" s="3494"/>
      <c r="J1" s="3494"/>
      <c r="K1" s="3494"/>
      <c r="L1" s="3494"/>
      <c r="M1" s="3494"/>
      <c r="N1" s="3494"/>
      <c r="O1" s="3494"/>
      <c r="P1" s="3494"/>
      <c r="Q1" s="3494"/>
      <c r="R1" s="3494"/>
      <c r="S1" s="3495"/>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3086</v>
      </c>
      <c r="C5" s="3180" t="s">
        <v>3087</v>
      </c>
      <c r="D5" s="3181" t="s">
        <v>3089</v>
      </c>
      <c r="E5" s="3181" t="s">
        <v>3090</v>
      </c>
      <c r="F5" s="3181" t="s">
        <v>3091</v>
      </c>
      <c r="G5" s="3181" t="s">
        <v>3092</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2932</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2931</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2945</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2930</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2929</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212282</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11558</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490" t="s">
        <v>20</v>
      </c>
      <c r="D22" s="3491"/>
      <c r="E22" s="3491"/>
      <c r="F22" s="3491"/>
      <c r="G22" s="3491"/>
      <c r="H22" s="3491"/>
      <c r="I22" s="3491"/>
      <c r="J22" s="3491"/>
      <c r="K22" s="3491"/>
      <c r="L22" s="3491"/>
      <c r="M22" s="3491"/>
      <c r="N22" s="3491"/>
      <c r="O22" s="3491"/>
      <c r="P22" s="3491"/>
      <c r="Q22" s="3492"/>
      <c r="R22" s="493">
        <f ca="1">ROUND(S22*10000/B22,0)</f>
        <v>11558</v>
      </c>
      <c r="S22" s="53">
        <f ca="1">SUM(S24:S10000)</f>
        <v>212282</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3082</v>
      </c>
      <c r="B24" s="964">
        <f>面积!B3</f>
        <v>7741.69</v>
      </c>
      <c r="C24" s="965">
        <v>1</v>
      </c>
      <c r="D24" s="966" t="s">
        <v>3088</v>
      </c>
      <c r="E24" s="965">
        <v>1</v>
      </c>
      <c r="F24" s="966"/>
      <c r="G24" s="965">
        <v>1</v>
      </c>
      <c r="H24" s="966"/>
      <c r="I24" s="965">
        <v>1</v>
      </c>
      <c r="J24" s="966"/>
      <c r="K24" s="965">
        <v>1</v>
      </c>
      <c r="L24" s="966"/>
      <c r="M24" s="965">
        <v>1</v>
      </c>
      <c r="N24" s="966"/>
      <c r="O24" s="965">
        <v>1</v>
      </c>
      <c r="P24" s="966"/>
      <c r="Q24" s="965">
        <v>1</v>
      </c>
      <c r="R24" s="967">
        <f ca="1">结果表!C34</f>
        <v>10571</v>
      </c>
      <c r="S24" s="965">
        <f t="shared" ref="S24:S54" ca="1" si="11">ROUND(R24*B24/10000,0)</f>
        <v>8184</v>
      </c>
      <c r="T24" s="1978"/>
      <c r="U24" s="1978"/>
      <c r="V24" s="1978"/>
      <c r="W24" s="1978"/>
      <c r="X24" s="1978"/>
      <c r="Y24" s="1978"/>
      <c r="Z24" s="1978"/>
      <c r="AA24" s="1978"/>
      <c r="AB24" s="1978"/>
      <c r="AC24" s="1978"/>
      <c r="AD24" s="1978"/>
      <c r="AE24" s="1978"/>
      <c r="AF24" s="1978"/>
      <c r="AG24" s="1978"/>
      <c r="AH24" s="1978"/>
      <c r="AI24" s="1978"/>
    </row>
    <row r="25" spans="1:45">
      <c r="A25" s="968" t="s">
        <v>3083</v>
      </c>
      <c r="B25" s="137">
        <f>面积!B4</f>
        <v>4469.93</v>
      </c>
      <c r="C25" s="53">
        <f>IF(B25="",1,(LOOKUP(B25,$3:$3,$4:$4)-LOOKUP($B$24,$3:$3,$4:$4)+100)/100)</f>
        <v>1</v>
      </c>
      <c r="D25" s="966" t="s">
        <v>3088</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10571</v>
      </c>
      <c r="S25" s="802">
        <f t="shared" ca="1" si="11"/>
        <v>4725</v>
      </c>
    </row>
    <row r="26" spans="1:45">
      <c r="A26" s="968" t="s">
        <v>3084</v>
      </c>
      <c r="B26" s="137">
        <f>面积!B5</f>
        <v>171459.31</v>
      </c>
      <c r="C26" s="53">
        <f t="shared" ref="C26:C89" si="12">IF(B26="",1,(LOOKUP(B26,$3:$3,$4:$4)-LOOKUP($B$24,$3:$3,$4:$4)+100)/100)</f>
        <v>1.1000000000000001</v>
      </c>
      <c r="D26" s="966" t="s">
        <v>3088</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11628</v>
      </c>
      <c r="S26" s="802">
        <f t="shared" ca="1" si="11"/>
        <v>199373</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93.75">
      <c r="A7" s="2904" t="s">
        <v>2755</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2756</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2795</v>
      </c>
      <c r="C1" s="3035">
        <f>项目基本情况!D3</f>
        <v>43047</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2826</v>
      </c>
      <c r="C2" s="3036">
        <f>'数据-取费表'!B22</f>
        <v>2</v>
      </c>
      <c r="D2" s="3031" t="s">
        <v>2796</v>
      </c>
      <c r="E2" s="3034">
        <f ca="1">INDIRECT("I"&amp;$I$1)/100</f>
        <v>4.7500000000000001E-2</v>
      </c>
      <c r="G2" s="2971"/>
      <c r="H2" s="2971"/>
      <c r="I2" s="2971" t="s">
        <v>2797</v>
      </c>
      <c r="K2" s="2971"/>
      <c r="L2" s="2971"/>
      <c r="M2" s="2971"/>
      <c r="N2" s="2971" t="s">
        <v>2798</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2828</v>
      </c>
      <c r="C3" s="3033">
        <f>'数据-取费表'!B19</f>
        <v>0</v>
      </c>
      <c r="D3" s="3031" t="s">
        <v>2796</v>
      </c>
      <c r="E3" s="3034">
        <f ca="1">INDIRECT("J"&amp;$J$1)/100</f>
        <v>0</v>
      </c>
      <c r="G3" s="2973" t="s">
        <v>2799</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2827</v>
      </c>
      <c r="C4" s="3034">
        <f ca="1">N4/100</f>
        <v>1.4999999999999999E-2</v>
      </c>
      <c r="G4" s="2979" t="s">
        <v>2800</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2801</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2802</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2803</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2804</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2805</v>
      </c>
      <c r="C10" s="2998"/>
      <c r="D10" s="2998"/>
      <c r="E10" s="2998"/>
      <c r="F10" s="2998"/>
      <c r="G10" s="2998"/>
      <c r="H10" s="2998"/>
      <c r="I10" s="2972"/>
      <c r="J10" s="2972"/>
      <c r="K10" s="2998"/>
      <c r="L10" s="2999" t="s">
        <v>2806</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2807</v>
      </c>
      <c r="C11" s="3003" t="s">
        <v>2808</v>
      </c>
      <c r="D11" s="3004" t="s">
        <v>2809</v>
      </c>
      <c r="E11" s="3005"/>
      <c r="F11" s="3004" t="s">
        <v>2810</v>
      </c>
      <c r="G11" s="3006"/>
      <c r="H11" s="3005"/>
      <c r="I11" s="3004" t="s">
        <v>2811</v>
      </c>
      <c r="J11" s="3005"/>
      <c r="K11" s="3001"/>
      <c r="L11" s="3002" t="s">
        <v>2807</v>
      </c>
      <c r="M11" s="3003" t="s">
        <v>2808</v>
      </c>
      <c r="N11" s="3002" t="s">
        <v>2812</v>
      </c>
      <c r="O11" s="3004" t="s">
        <v>2813</v>
      </c>
      <c r="P11" s="3006"/>
      <c r="Q11" s="3006"/>
      <c r="R11" s="3006"/>
      <c r="S11" s="3006"/>
      <c r="T11" s="3005"/>
      <c r="U11" s="3004" t="s">
        <v>2814</v>
      </c>
      <c r="V11" s="3006"/>
      <c r="W11" s="3005"/>
      <c r="X11" s="3002" t="s">
        <v>2815</v>
      </c>
      <c r="Y11" s="3002" t="s">
        <v>2816</v>
      </c>
      <c r="Z11" s="3002" t="s">
        <v>2817</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2818</v>
      </c>
      <c r="E12" s="3011" t="s">
        <v>2819</v>
      </c>
      <c r="F12" s="3011" t="s">
        <v>2820</v>
      </c>
      <c r="G12" s="3011" t="s">
        <v>2821</v>
      </c>
      <c r="H12" s="3011" t="s">
        <v>2803</v>
      </c>
      <c r="I12" s="3012" t="s">
        <v>2822</v>
      </c>
      <c r="J12" s="3012" t="s">
        <v>2822</v>
      </c>
      <c r="K12" s="3008"/>
      <c r="L12" s="3009"/>
      <c r="M12" s="3010"/>
      <c r="N12" s="3009"/>
      <c r="O12" s="3012" t="s">
        <v>2823</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2824</v>
      </c>
      <c r="C13" s="3016">
        <v>42301</v>
      </c>
      <c r="D13" s="3017">
        <v>4.3499999999999996</v>
      </c>
      <c r="E13" s="3017">
        <v>4.3499999999999996</v>
      </c>
      <c r="F13" s="3017">
        <v>4.75</v>
      </c>
      <c r="G13" s="3017">
        <v>4.75</v>
      </c>
      <c r="H13" s="3017">
        <v>4.9000000000000004</v>
      </c>
      <c r="I13" s="3017">
        <v>2.75</v>
      </c>
      <c r="J13" s="3017">
        <v>3.25</v>
      </c>
      <c r="K13" s="3014"/>
      <c r="L13" s="3015" t="s">
        <v>2824</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2825</v>
      </c>
      <c r="Y42" s="3021" t="s">
        <v>2825</v>
      </c>
      <c r="Z42" s="3021" t="s">
        <v>2825</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2825</v>
      </c>
      <c r="Y43" s="3021" t="s">
        <v>2825</v>
      </c>
      <c r="Z43" s="3021" t="s">
        <v>2825</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2825</v>
      </c>
      <c r="Y44" s="3021" t="s">
        <v>2825</v>
      </c>
      <c r="Z44" s="3021" t="s">
        <v>2825</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2825</v>
      </c>
      <c r="Y45" s="3021" t="s">
        <v>2825</v>
      </c>
      <c r="Z45" s="3021" t="s">
        <v>2825</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2825</v>
      </c>
      <c r="Y46" s="3021" t="s">
        <v>2825</v>
      </c>
      <c r="Z46" s="3021" t="s">
        <v>2825</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2825</v>
      </c>
      <c r="Y47" s="3021" t="s">
        <v>2825</v>
      </c>
      <c r="Z47" s="3021" t="s">
        <v>2825</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2825</v>
      </c>
      <c r="Y48" s="3021" t="s">
        <v>2825</v>
      </c>
      <c r="Z48" s="3021" t="s">
        <v>2825</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2825</v>
      </c>
      <c r="Y49" s="3021" t="s">
        <v>2825</v>
      </c>
      <c r="Z49" s="3021" t="s">
        <v>2825</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2825</v>
      </c>
      <c r="Y50" s="3021" t="s">
        <v>2825</v>
      </c>
      <c r="Z50" s="3021" t="s">
        <v>2825</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2825</v>
      </c>
      <c r="V51" s="3021" t="s">
        <v>2825</v>
      </c>
      <c r="W51" s="3021" t="s">
        <v>2825</v>
      </c>
      <c r="X51" s="3021" t="s">
        <v>2825</v>
      </c>
      <c r="Y51" s="3021" t="s">
        <v>2825</v>
      </c>
      <c r="Z51" s="3021" t="s">
        <v>2825</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2825</v>
      </c>
      <c r="J55" s="3021" t="s">
        <v>2825</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E27"/>
  <sheetViews>
    <sheetView tabSelected="1" workbookViewId="0">
      <selection activeCell="B19" sqref="B19"/>
    </sheetView>
  </sheetViews>
  <sheetFormatPr defaultRowHeight="13.5"/>
  <cols>
    <col min="1" max="1" width="18.25" customWidth="1"/>
    <col min="2" max="2" width="14.375" customWidth="1"/>
    <col min="3" max="3" width="16.875" customWidth="1"/>
    <col min="4" max="5" width="13.75" customWidth="1"/>
  </cols>
  <sheetData>
    <row r="1" spans="1:5">
      <c r="A1" s="3170" t="s">
        <v>3005</v>
      </c>
      <c r="B1">
        <v>339496</v>
      </c>
      <c r="C1" s="3170" t="s">
        <v>3010</v>
      </c>
      <c r="D1">
        <v>67541</v>
      </c>
    </row>
    <row r="2" spans="1:5">
      <c r="B2" s="3170" t="s">
        <v>2959</v>
      </c>
      <c r="C2" s="3170" t="s">
        <v>3009</v>
      </c>
      <c r="D2" s="3170" t="s">
        <v>3012</v>
      </c>
      <c r="E2" s="3170" t="s">
        <v>3085</v>
      </c>
    </row>
    <row r="3" spans="1:5">
      <c r="A3" s="3170" t="s">
        <v>3006</v>
      </c>
      <c r="B3">
        <v>7741.69</v>
      </c>
      <c r="C3">
        <f>ROUND(B1*B3/B6,2)</f>
        <v>14309.68</v>
      </c>
      <c r="D3">
        <f>ROUND(D1*B3/B8,2)</f>
        <v>2377.38</v>
      </c>
      <c r="E3">
        <f>C3+D3</f>
        <v>16687.060000000001</v>
      </c>
    </row>
    <row r="4" spans="1:5">
      <c r="A4" s="3170" t="s">
        <v>3007</v>
      </c>
      <c r="B4">
        <v>4469.93</v>
      </c>
      <c r="C4">
        <f>ROUND(B1*B4/B6,2)</f>
        <v>8262.19</v>
      </c>
      <c r="D4">
        <f>ROUND(D1*B4/B8,2)</f>
        <v>1372.66</v>
      </c>
      <c r="E4">
        <f t="shared" ref="E4:E5" si="0">C4+D4</f>
        <v>9634.85</v>
      </c>
    </row>
    <row r="5" spans="1:5">
      <c r="A5" s="3170" t="s">
        <v>3008</v>
      </c>
      <c r="B5">
        <v>171459.31</v>
      </c>
      <c r="C5">
        <f>ROUND(B1*B5/B6,2)</f>
        <v>316924.13</v>
      </c>
      <c r="D5">
        <f>ROUND(D1*B5/B8,0)</f>
        <v>52653</v>
      </c>
      <c r="E5">
        <f t="shared" si="0"/>
        <v>369577.13</v>
      </c>
    </row>
    <row r="6" spans="1:5">
      <c r="A6" s="3170" t="s">
        <v>3013</v>
      </c>
      <c r="B6" s="3170">
        <f>B3+B4+B5</f>
        <v>183670.93</v>
      </c>
    </row>
    <row r="7" spans="1:5">
      <c r="A7" s="3170" t="s">
        <v>3011</v>
      </c>
      <c r="B7" s="3170">
        <v>36269.660000000003</v>
      </c>
    </row>
    <row r="8" spans="1:5">
      <c r="A8" s="3170" t="s">
        <v>3014</v>
      </c>
      <c r="B8">
        <f>B3+B4+B5+B7</f>
        <v>219940.59</v>
      </c>
      <c r="D8">
        <f>ROUND(D1*B7/B8,2)</f>
        <v>11137.96</v>
      </c>
    </row>
    <row r="12" spans="1:5">
      <c r="B12" s="3170" t="s">
        <v>3076</v>
      </c>
      <c r="C12" s="3170" t="s">
        <v>3077</v>
      </c>
      <c r="D12" s="3170" t="s">
        <v>3078</v>
      </c>
    </row>
    <row r="13" spans="1:5">
      <c r="A13" s="3170" t="s">
        <v>3074</v>
      </c>
      <c r="B13">
        <f ca="1">典型户型修正!S24</f>
        <v>8184</v>
      </c>
      <c r="C13">
        <f ca="1">ROUND(B13/E3*10000,0)</f>
        <v>4904</v>
      </c>
      <c r="D13">
        <f ca="1">ROUND(B13/B3*10000,0)</f>
        <v>10571</v>
      </c>
    </row>
    <row r="14" spans="1:5">
      <c r="A14" s="3170" t="s">
        <v>2868</v>
      </c>
      <c r="B14">
        <f ca="1">典型户型修正!S25</f>
        <v>4725</v>
      </c>
      <c r="C14">
        <f t="shared" ref="C14:C15" ca="1" si="1">ROUND(B14/E4*10000,0)</f>
        <v>4904</v>
      </c>
      <c r="D14">
        <f t="shared" ref="D14:D15" ca="1" si="2">ROUND(B14/B4*10000,0)</f>
        <v>10571</v>
      </c>
    </row>
    <row r="15" spans="1:5">
      <c r="A15" s="3170" t="s">
        <v>2869</v>
      </c>
      <c r="B15">
        <f ca="1">典型户型修正!S26</f>
        <v>199373</v>
      </c>
      <c r="C15">
        <f t="shared" ca="1" si="1"/>
        <v>5395</v>
      </c>
      <c r="D15">
        <f t="shared" ca="1" si="2"/>
        <v>11628</v>
      </c>
    </row>
    <row r="16" spans="1:5">
      <c r="A16" s="3170" t="s">
        <v>2870</v>
      </c>
      <c r="B16">
        <f ca="1">[1]结果表!$G$19</f>
        <v>37617</v>
      </c>
    </row>
    <row r="17" spans="1:4">
      <c r="A17" s="3170" t="s">
        <v>3075</v>
      </c>
      <c r="B17">
        <f ca="1">B13+B14+B15+B16</f>
        <v>249899</v>
      </c>
      <c r="C17">
        <f ca="1">ROUND(B17/507630*10000,0)</f>
        <v>4923</v>
      </c>
      <c r="D17">
        <f ca="1">ROUND(B17/B8*10000,0)</f>
        <v>11362</v>
      </c>
    </row>
    <row r="21" spans="1:4">
      <c r="A21" s="3170" t="s">
        <v>3081</v>
      </c>
      <c r="B21" s="3170" t="s">
        <v>3079</v>
      </c>
      <c r="C21" s="3170" t="s">
        <v>3080</v>
      </c>
    </row>
    <row r="22" spans="1:4">
      <c r="A22">
        <v>72811.64</v>
      </c>
      <c r="B22">
        <v>273592.5</v>
      </c>
      <c r="C22">
        <v>219940.59</v>
      </c>
      <c r="D22">
        <f>A22*C22/B22</f>
        <v>58533.165421082813</v>
      </c>
    </row>
    <row r="24" spans="1:4">
      <c r="B24" s="3170"/>
      <c r="C24" s="3170"/>
      <c r="D24" s="3170"/>
    </row>
    <row r="25" spans="1:4">
      <c r="A25" s="3170"/>
    </row>
    <row r="26" spans="1:4">
      <c r="A26" s="3170"/>
    </row>
    <row r="27" spans="1:4">
      <c r="A27" s="3170"/>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B4"/>
  <sheetViews>
    <sheetView workbookViewId="0">
      <selection activeCell="H12" sqref="H12"/>
    </sheetView>
  </sheetViews>
  <sheetFormatPr defaultRowHeight="13.5"/>
  <sheetData>
    <row r="1" spans="1:2">
      <c r="B1" s="3170" t="s">
        <v>3034</v>
      </c>
    </row>
    <row r="2" spans="1:2">
      <c r="A2" s="3170" t="s">
        <v>3031</v>
      </c>
      <c r="B2">
        <v>259511</v>
      </c>
    </row>
    <row r="3" spans="1:2">
      <c r="A3" s="3170" t="s">
        <v>3032</v>
      </c>
      <c r="B3">
        <v>73851</v>
      </c>
    </row>
    <row r="4" spans="1:2">
      <c r="A4" s="3170" t="s">
        <v>3033</v>
      </c>
      <c r="B4">
        <v>193472</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D6"/>
  <sheetViews>
    <sheetView topLeftCell="A22" workbookViewId="0">
      <selection activeCell="F16" sqref="F16"/>
    </sheetView>
  </sheetViews>
  <sheetFormatPr defaultRowHeight="13.5"/>
  <cols>
    <col min="1" max="1" width="16.25" customWidth="1"/>
    <col min="4" max="4" width="11.625" bestFit="1" customWidth="1"/>
  </cols>
  <sheetData>
    <row r="1" spans="1:4">
      <c r="A1" s="3170" t="s">
        <v>3062</v>
      </c>
      <c r="B1" s="3170" t="s">
        <v>3063</v>
      </c>
      <c r="C1" s="3170" t="s">
        <v>3064</v>
      </c>
      <c r="D1" s="3170" t="s">
        <v>3065</v>
      </c>
    </row>
    <row r="2" spans="1:4">
      <c r="A2" s="3170" t="s">
        <v>3066</v>
      </c>
      <c r="B2">
        <v>30138.799999999999</v>
      </c>
      <c r="C2">
        <v>4366.8500000000004</v>
      </c>
      <c r="D2" s="3177">
        <v>42578</v>
      </c>
    </row>
    <row r="3" spans="1:4">
      <c r="A3" s="3170" t="s">
        <v>3066</v>
      </c>
      <c r="B3">
        <v>20322.52</v>
      </c>
      <c r="C3">
        <v>4359.1899999999996</v>
      </c>
      <c r="D3" s="3177">
        <v>42578</v>
      </c>
    </row>
    <row r="4" spans="1:4">
      <c r="A4" s="3170" t="s">
        <v>3067</v>
      </c>
      <c r="B4">
        <v>4208.8</v>
      </c>
      <c r="C4">
        <v>5750</v>
      </c>
      <c r="D4" s="3177">
        <v>42836</v>
      </c>
    </row>
    <row r="5" spans="1:4">
      <c r="A5" s="3170" t="s">
        <v>3068</v>
      </c>
      <c r="B5">
        <v>90704.06</v>
      </c>
      <c r="C5">
        <v>3502.53</v>
      </c>
      <c r="D5" s="3177">
        <v>42482</v>
      </c>
    </row>
    <row r="6" spans="1:4">
      <c r="A6" s="3170" t="s">
        <v>3069</v>
      </c>
      <c r="B6">
        <v>117230.2</v>
      </c>
      <c r="C6">
        <v>3930</v>
      </c>
      <c r="D6" s="317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2040</v>
      </c>
      <c r="B1" s="3202"/>
      <c r="C1" s="3202"/>
      <c r="D1" s="3202"/>
      <c r="E1" s="3202"/>
      <c r="F1" s="3202"/>
      <c r="G1" s="3202"/>
      <c r="H1" s="3202"/>
      <c r="I1" s="3202"/>
      <c r="J1" s="3202"/>
      <c r="K1" s="3202"/>
      <c r="L1" s="3202"/>
      <c r="M1" s="3202"/>
      <c r="N1" s="3202"/>
      <c r="O1" s="3202"/>
      <c r="P1" s="3202"/>
      <c r="Q1" s="3202"/>
      <c r="R1" s="3202"/>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3" t="s">
        <v>2031</v>
      </c>
      <c r="B3" s="3203" t="s">
        <v>2738</v>
      </c>
      <c r="C3" s="3204" t="s">
        <v>2032</v>
      </c>
      <c r="D3" s="3203" t="s">
        <v>2742</v>
      </c>
      <c r="E3" s="3206" t="s">
        <v>2033</v>
      </c>
      <c r="F3" s="3206"/>
      <c r="G3" s="3206"/>
      <c r="H3" s="3206" t="s">
        <v>2034</v>
      </c>
      <c r="I3" s="3206"/>
      <c r="J3" s="3206"/>
      <c r="K3" s="3204" t="s">
        <v>2035</v>
      </c>
      <c r="L3" s="3204" t="s">
        <v>2036</v>
      </c>
      <c r="M3" s="3203" t="s">
        <v>2739</v>
      </c>
      <c r="N3" s="3205" t="str">
        <f>"（分摊）"&amp;项目基本情况!B16&amp;"国有建设用地使用权面积/㎡"</f>
        <v>（分摊）出让国有建设用地使用权面积/㎡</v>
      </c>
      <c r="O3" s="3203" t="s">
        <v>2065</v>
      </c>
      <c r="P3" s="3204" t="s">
        <v>2045</v>
      </c>
      <c r="Q3" s="3204" t="s">
        <v>2066</v>
      </c>
      <c r="R3" s="3204" t="s">
        <v>2037</v>
      </c>
    </row>
    <row r="4" spans="1:18" ht="36.75" customHeight="1">
      <c r="A4" s="3203"/>
      <c r="B4" s="3203"/>
      <c r="C4" s="3204"/>
      <c r="D4" s="3203"/>
      <c r="E4" s="2679" t="s">
        <v>2044</v>
      </c>
      <c r="F4" s="2679" t="s">
        <v>2751</v>
      </c>
      <c r="G4" s="2679" t="s">
        <v>2038</v>
      </c>
      <c r="H4" s="2679" t="s">
        <v>2039</v>
      </c>
      <c r="I4" s="2679" t="s">
        <v>2752</v>
      </c>
      <c r="J4" s="2679" t="s">
        <v>2038</v>
      </c>
      <c r="K4" s="3204"/>
      <c r="L4" s="3204"/>
      <c r="M4" s="3203"/>
      <c r="N4" s="3205"/>
      <c r="O4" s="3203"/>
      <c r="P4" s="3204"/>
      <c r="Q4" s="3204"/>
      <c r="R4" s="3204"/>
    </row>
    <row r="5" spans="1:18" ht="135" customHeight="1">
      <c r="A5" s="1948" t="s">
        <v>2662</v>
      </c>
      <c r="B5" s="2898" t="s">
        <v>2660</v>
      </c>
      <c r="C5" s="2678">
        <v>22</v>
      </c>
      <c r="D5" s="2677" t="s">
        <v>2661</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16687.060000000001</v>
      </c>
      <c r="P5" s="1815">
        <f ca="1">结果表!E42</f>
        <v>10571</v>
      </c>
      <c r="Q5" s="1815">
        <f ca="1">结果表!D42</f>
        <v>4904</v>
      </c>
      <c r="R5" s="1816">
        <f ca="1">结果表!C42</f>
        <v>8184</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7"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7">
        <f ca="1">结果表!O40</f>
        <v>8184</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7" t="s">
        <v>2067</v>
      </c>
      <c r="B1" s="3207"/>
      <c r="C1" s="3207"/>
      <c r="D1" s="3207"/>
    </row>
    <row r="2" spans="1:4" ht="47.25" customHeight="1">
      <c r="A2" s="3211" t="str">
        <f>"1.权利限制："&amp;项目基本情况!L24&amp;"未设定租赁等其他他项权利。"</f>
        <v>1.权利限制：根据估价对象《不动产权证书》——、《国有土地使用权》复印件，截至估价期日，估价对象已设定抵押。未设定租赁等其他他项权利。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2068</v>
      </c>
      <c r="B5" s="3210"/>
      <c r="C5" s="3210"/>
      <c r="D5" s="3210"/>
    </row>
    <row r="6" spans="1:4">
      <c r="A6" s="3207" t="s">
        <v>2046</v>
      </c>
      <c r="B6" s="3207"/>
      <c r="C6" s="3207"/>
      <c r="D6" s="3207"/>
    </row>
    <row r="7" spans="1:4" ht="33" customHeight="1">
      <c r="A7" s="3207" t="s">
        <v>2580</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09"/>
      <c r="C11" s="3209"/>
      <c r="D11" s="3209"/>
    </row>
    <row r="12" spans="1:4" ht="168" customHeight="1">
      <c r="A12" s="3210" t="s">
        <v>2070</v>
      </c>
      <c r="B12" s="3210"/>
      <c r="C12" s="3210"/>
      <c r="D12" s="3210"/>
    </row>
    <row r="13" spans="1:4">
      <c r="A13" s="3208" t="s">
        <v>2753</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9" t="s">
        <v>2702</v>
      </c>
      <c r="B19" s="2899" t="s">
        <v>2703</v>
      </c>
      <c r="C19" s="2899" t="s">
        <v>2704</v>
      </c>
      <c r="D19" s="2899" t="s">
        <v>2705</v>
      </c>
    </row>
    <row r="20" spans="1:4">
      <c r="A20" s="2899" t="str">
        <f>项目基本情况!B4</f>
        <v>吴薇</v>
      </c>
      <c r="B20" s="2899">
        <f ca="1">项目基本情况!C4</f>
        <v>2002110125</v>
      </c>
      <c r="C20" s="2901"/>
      <c r="D20" s="1805" t="s">
        <v>2710</v>
      </c>
    </row>
    <row r="21" spans="1:4">
      <c r="A21" s="2899" t="str">
        <f>项目基本情况!D4</f>
        <v>刘梅</v>
      </c>
      <c r="B21" s="2899">
        <f ca="1">项目基本情况!E4</f>
        <v>2008110059</v>
      </c>
      <c r="C21" s="2901"/>
      <c r="D21" s="1805" t="s">
        <v>2711</v>
      </c>
    </row>
    <row r="23" spans="1:4">
      <c r="A23" s="3207" t="s">
        <v>2706</v>
      </c>
      <c r="B23" s="3207"/>
      <c r="C23" s="3207"/>
      <c r="D23" s="3207"/>
    </row>
    <row r="24" spans="1:4">
      <c r="A24" s="2899" t="s">
        <v>2702</v>
      </c>
      <c r="B24" s="2899" t="s">
        <v>2707</v>
      </c>
      <c r="C24" s="2899" t="s">
        <v>2704</v>
      </c>
      <c r="D24" s="2899" t="s">
        <v>2705</v>
      </c>
    </row>
    <row r="25" spans="1:4">
      <c r="A25" s="2902" t="s">
        <v>2708</v>
      </c>
      <c r="B25" s="2899" t="s">
        <v>952</v>
      </c>
      <c r="C25" s="2901"/>
      <c r="D25" s="1805" t="s">
        <v>2711</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9" t="s">
        <v>53</v>
      </c>
      <c r="B15" s="3220" t="s">
        <v>846</v>
      </c>
      <c r="C15" s="3216"/>
    </row>
    <row r="16" spans="1:7" ht="14.25">
      <c r="A16" s="3219"/>
      <c r="B16" s="3217" t="s">
        <v>54</v>
      </c>
      <c r="C16" s="1175" t="s">
        <v>53</v>
      </c>
    </row>
    <row r="17" spans="1:3" ht="14.25">
      <c r="A17" s="3219"/>
      <c r="B17" s="3217"/>
      <c r="C17" s="1175" t="s">
        <v>55</v>
      </c>
    </row>
    <row r="18" spans="1:3" ht="14.25">
      <c r="A18" s="3219"/>
      <c r="B18" s="3217"/>
      <c r="C18" s="1175" t="s">
        <v>56</v>
      </c>
    </row>
    <row r="19" spans="1:3" ht="14.25">
      <c r="A19" s="3219"/>
      <c r="B19" s="3215" t="s">
        <v>57</v>
      </c>
      <c r="C19" s="3216"/>
    </row>
    <row r="20" spans="1:3" ht="14.25">
      <c r="A20" s="1176" t="s">
        <v>58</v>
      </c>
      <c r="B20" s="1177"/>
      <c r="C20" s="1178"/>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9" t="s">
        <v>837</v>
      </c>
    </row>
    <row r="25" spans="1:3" ht="14.25">
      <c r="A25" s="3218"/>
      <c r="B25" s="3222"/>
      <c r="C25" s="1179" t="s">
        <v>838</v>
      </c>
    </row>
    <row r="26" spans="1:3" ht="14.25">
      <c r="A26" s="3218"/>
      <c r="B26" s="3222"/>
      <c r="C26" s="1179" t="s">
        <v>839</v>
      </c>
    </row>
    <row r="27" spans="1:3" ht="14.25">
      <c r="A27" s="3218"/>
      <c r="B27" s="3222"/>
      <c r="C27" s="1179" t="s">
        <v>840</v>
      </c>
    </row>
    <row r="28" spans="1:3" ht="14.25">
      <c r="A28" s="3218"/>
      <c r="B28" s="3222"/>
      <c r="C28" s="1179" t="s">
        <v>841</v>
      </c>
    </row>
    <row r="29" spans="1:3" ht="14.25">
      <c r="A29" s="3218"/>
      <c r="B29" s="3222"/>
      <c r="C29" s="1179" t="s">
        <v>842</v>
      </c>
    </row>
    <row r="30" spans="1:3" ht="14.25">
      <c r="A30" s="3218"/>
      <c r="B30" s="3222"/>
      <c r="C30" s="1179" t="s">
        <v>843</v>
      </c>
    </row>
    <row r="31" spans="1:3" ht="14.25">
      <c r="A31" s="3218"/>
      <c r="B31" s="3222"/>
      <c r="C31" s="1179" t="s">
        <v>844</v>
      </c>
    </row>
    <row r="32" spans="1:3" ht="14.25">
      <c r="A32" s="3218"/>
      <c r="B32" s="3222"/>
      <c r="C32" s="1179" t="s">
        <v>1647</v>
      </c>
    </row>
    <row r="33" spans="1:3" ht="14.25">
      <c r="A33" s="3218"/>
      <c r="B33" s="3212" t="s">
        <v>1653</v>
      </c>
      <c r="C33" s="1179" t="s">
        <v>1648</v>
      </c>
    </row>
    <row r="34" spans="1:3" ht="14.25">
      <c r="A34" s="3218"/>
      <c r="B34" s="3213"/>
      <c r="C34" s="1184" t="s">
        <v>1649</v>
      </c>
    </row>
    <row r="35" spans="1:3" ht="14.25">
      <c r="A35" s="3218"/>
      <c r="B35" s="3213"/>
      <c r="C35" s="1185" t="s">
        <v>1650</v>
      </c>
    </row>
    <row r="36" spans="1:3" ht="14.25">
      <c r="A36" s="3218"/>
      <c r="B36" s="3213"/>
      <c r="C36" s="1185" t="s">
        <v>1651</v>
      </c>
    </row>
    <row r="37" spans="1:3" ht="14.25">
      <c r="A37" s="3218"/>
      <c r="B37" s="321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43053</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23" t="s">
        <v>1929</v>
      </c>
      <c r="B25" s="3223"/>
      <c r="C25" s="3223"/>
      <c r="D25" s="3223"/>
      <c r="E25" s="3223"/>
      <c r="F25" s="3223"/>
      <c r="G25" s="3223"/>
    </row>
    <row r="26" spans="1:7" ht="20.25" customHeight="1">
      <c r="A26" s="3224" t="s">
        <v>1930</v>
      </c>
      <c r="B26" s="3224"/>
      <c r="C26" s="3224"/>
      <c r="D26" s="3224" t="s">
        <v>1931</v>
      </c>
      <c r="E26" s="3224"/>
      <c r="F26" s="3224"/>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2949</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2962</v>
      </c>
      <c r="C18" s="1558"/>
    </row>
    <row r="19" spans="1:3">
      <c r="A19" s="8" t="s">
        <v>120</v>
      </c>
      <c r="B19" s="3147" t="s">
        <v>2970</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25"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25"/>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5"/>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5"/>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5"/>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2017-11-14T03:41:46Z</dcterms:modified>
</cp:coreProperties>
</file>