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C37" i="34"/>
  <c r="N6" i="1"/>
  <c r="F20" i="6"/>
  <c r="F19" i="6"/>
  <c r="D33" i="43" l="1"/>
  <c r="D3" i="4" l="1"/>
  <c r="G14" i="73" l="1"/>
  <c r="F14" i="73"/>
  <c r="E14" i="73"/>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c r="F25" i="34"/>
  <c r="S25" i="34" s="1"/>
  <c r="H23" i="34"/>
  <c r="U23" i="34" s="1"/>
  <c r="J23" i="34"/>
  <c r="F19" i="34"/>
  <c r="S19" i="34" s="1"/>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E19" i="6" s="1"/>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AC39" i="34"/>
  <c r="W41" i="34"/>
  <c r="AC42" i="34"/>
  <c r="U39" i="34"/>
  <c r="AB41" i="34"/>
  <c r="AA45" i="34"/>
  <c r="U28" i="34"/>
  <c r="S17"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W33" i="34"/>
  <c r="AC14" i="34"/>
  <c r="AC32" i="34"/>
  <c r="AC29" i="34"/>
  <c r="W29" i="34"/>
  <c r="W46" i="34"/>
  <c r="AC46" i="34"/>
  <c r="S32" i="34"/>
  <c r="AA32" i="34"/>
  <c r="U30" i="34"/>
  <c r="AB30" i="34"/>
  <c r="U38"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F40" i="15"/>
  <c r="B10" i="76"/>
  <c r="F36" i="67"/>
  <c r="J15" i="15"/>
  <c r="F40" i="67"/>
  <c r="F13" i="15"/>
  <c r="M24" i="67"/>
  <c r="F9" i="15"/>
  <c r="B13" i="76"/>
  <c r="F8" i="15"/>
  <c r="F38" i="15"/>
  <c r="J15" i="67"/>
  <c r="F38" i="67"/>
  <c r="B7" i="76"/>
  <c r="M9" i="67"/>
  <c r="E2" i="68"/>
  <c r="E11" i="76"/>
  <c r="F43" i="67"/>
  <c r="B9" i="76"/>
  <c r="E9" i="76"/>
  <c r="D4" i="73"/>
  <c r="F5" i="73"/>
  <c r="M24" i="15"/>
  <c r="F16" i="67"/>
  <c r="D3" i="73"/>
  <c r="F13" i="67"/>
  <c r="F7" i="73"/>
  <c r="E7" i="76"/>
  <c r="F26" i="15"/>
  <c r="M26" i="67"/>
  <c r="B12" i="76"/>
  <c r="F8" i="67"/>
  <c r="E10" i="76"/>
  <c r="AO13" i="1"/>
  <c r="L47" i="67"/>
  <c r="L48" i="67"/>
  <c r="F7" i="67"/>
  <c r="D5" i="73"/>
  <c r="E8" i="76"/>
  <c r="M23" i="15"/>
  <c r="M9" i="15"/>
  <c r="F6" i="73"/>
  <c r="L48" i="15"/>
  <c r="F37" i="15"/>
  <c r="M8" i="15"/>
  <c r="B8" i="76"/>
  <c r="M28" i="67"/>
  <c r="E2" i="69"/>
  <c r="F26" i="67"/>
  <c r="M26" i="15"/>
  <c r="L47" i="15"/>
  <c r="B11" i="76"/>
  <c r="F42" i="67"/>
  <c r="F36" i="15"/>
  <c r="D7" i="73"/>
  <c r="M6" i="67"/>
  <c r="F3" i="73"/>
  <c r="F6" i="67"/>
  <c r="M22" i="67"/>
  <c r="M28" i="15"/>
  <c r="F37" i="67"/>
  <c r="C76" i="67"/>
  <c r="F16" i="15"/>
  <c r="D6" i="73"/>
  <c r="F4" i="73"/>
  <c r="M23" i="67"/>
  <c r="M6" i="15"/>
  <c r="F6" i="15"/>
  <c r="M8" i="67"/>
  <c r="E12" i="76"/>
  <c r="C76" i="15"/>
  <c r="M29" i="67"/>
  <c r="F9" i="67"/>
  <c r="E13" i="76"/>
  <c r="M22" i="15"/>
  <c r="F42" i="15"/>
  <c r="F90" i="34" l="1"/>
  <c r="G90" i="34" s="1"/>
  <c r="H90" i="34" s="1"/>
  <c r="I90" i="34" s="1"/>
  <c r="J90" i="34" s="1"/>
  <c r="K90" i="34" s="1"/>
  <c r="L90" i="34" s="1"/>
  <c r="M90" i="34" s="1"/>
  <c r="J27" i="34"/>
  <c r="F27" i="34"/>
  <c r="AA27" i="34" s="1"/>
  <c r="H27" i="34"/>
  <c r="AB27" i="34" s="1"/>
  <c r="AB8" i="34"/>
  <c r="AA41" i="34"/>
  <c r="B73" i="43"/>
  <c r="B79" i="43"/>
  <c r="B76" i="43"/>
  <c r="B75" i="43"/>
  <c r="C29" i="39"/>
  <c r="B68" i="43"/>
  <c r="B77" i="43"/>
  <c r="S44" i="34"/>
  <c r="AA39" i="34"/>
  <c r="U34" i="34"/>
  <c r="S27" i="34"/>
  <c r="U44" i="34"/>
  <c r="S37" i="34"/>
  <c r="AB36" i="34"/>
  <c r="AB35" i="34"/>
  <c r="AC36" i="34"/>
  <c r="S43" i="34"/>
  <c r="AA40" i="34"/>
  <c r="S35" i="34"/>
  <c r="W25" i="34"/>
  <c r="U25" i="34"/>
  <c r="AA25" i="34"/>
  <c r="S21" i="34"/>
  <c r="BA28" i="3"/>
  <c r="BL28" i="3"/>
  <c r="G19" i="3"/>
  <c r="G21" i="3"/>
  <c r="BL23" i="3"/>
  <c r="G24" i="3"/>
  <c r="BL26" i="3"/>
  <c r="AZ27" i="3"/>
  <c r="AZ28" i="3"/>
  <c r="AZ29" i="3"/>
  <c r="BL35" i="3"/>
  <c r="G36" i="3"/>
  <c r="G40" i="3"/>
  <c r="BL16" i="3"/>
  <c r="BL19" i="3"/>
  <c r="BL21" i="3"/>
  <c r="BL24" i="3"/>
  <c r="BA32" i="3"/>
  <c r="BA33" i="3"/>
  <c r="BL33" i="3"/>
  <c r="BA34" i="3"/>
  <c r="AZ34" i="3" s="1"/>
  <c r="BA35" i="3"/>
  <c r="AZ35" i="3" s="1"/>
  <c r="BL39" i="3"/>
  <c r="BL18" i="3"/>
  <c r="BL20" i="3"/>
  <c r="BA22" i="3"/>
  <c r="BL22" i="3"/>
  <c r="BA23" i="3"/>
  <c r="AZ23" i="3" s="1"/>
  <c r="BA24" i="3"/>
  <c r="AZ24" i="3" s="1"/>
  <c r="BA31" i="3"/>
  <c r="BL31" i="3"/>
  <c r="BA37" i="3"/>
  <c r="BL37" i="3"/>
  <c r="BA38" i="3"/>
  <c r="AZ38" i="3" s="1"/>
  <c r="BA39" i="3"/>
  <c r="AZ39" i="3" s="1"/>
  <c r="AZ16" i="3"/>
  <c r="BA18" i="3"/>
  <c r="AZ18" i="3" s="1"/>
  <c r="BA19" i="3"/>
  <c r="AZ19" i="3" s="1"/>
  <c r="BA20" i="3"/>
  <c r="AZ20" i="3" s="1"/>
  <c r="BA21" i="3"/>
  <c r="AZ21" i="3" s="1"/>
  <c r="BL25" i="3"/>
  <c r="BL30" i="3"/>
  <c r="BL32" i="3"/>
  <c r="AZ32" i="3" s="1"/>
  <c r="BL36" i="3"/>
  <c r="BL40" i="3"/>
  <c r="AZ26" i="3"/>
  <c r="AZ31" i="3"/>
  <c r="AZ33" i="3"/>
  <c r="AZ37" i="3"/>
  <c r="AZ41" i="3"/>
  <c r="AZ22" i="3"/>
  <c r="AZ25" i="3"/>
  <c r="AZ30" i="3"/>
  <c r="AZ36" i="3"/>
  <c r="AZ40" i="3"/>
  <c r="BA5" i="3"/>
  <c r="AZ14" i="3"/>
  <c r="BL15" i="3"/>
  <c r="AZ15" i="3" s="1"/>
  <c r="G5" i="3"/>
  <c r="B3" i="3" s="1"/>
  <c r="E524" i="3" s="1"/>
  <c r="G6" i="1"/>
  <c r="I24" i="43"/>
  <c r="E101" i="3"/>
  <c r="E50" i="3"/>
  <c r="E52" i="3"/>
  <c r="E142" i="3"/>
  <c r="E241" i="3"/>
  <c r="R6" i="3"/>
  <c r="K6" i="1"/>
  <c r="C7" i="12"/>
  <c r="C21" i="68"/>
  <c r="C40" i="69"/>
  <c r="H67" i="43"/>
  <c r="C28" i="67"/>
  <c r="E510" i="3"/>
  <c r="E536" i="3"/>
  <c r="E212" i="3"/>
  <c r="E286" i="3"/>
  <c r="E499" i="3"/>
  <c r="E502" i="3"/>
  <c r="E466" i="3"/>
  <c r="E430" i="3"/>
  <c r="E255" i="3"/>
  <c r="AP6" i="3"/>
  <c r="E517" i="3"/>
  <c r="E491"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0" i="3"/>
  <c r="E194" i="3"/>
  <c r="E174" i="3"/>
  <c r="E137" i="3"/>
  <c r="E190" i="3"/>
  <c r="E170" i="3"/>
  <c r="E129" i="3"/>
  <c r="E100" i="3"/>
  <c r="E78" i="3"/>
  <c r="E38" i="3"/>
  <c r="E96" i="3"/>
  <c r="E79" i="3"/>
  <c r="E18" i="3"/>
  <c r="E455" i="3"/>
  <c r="E412" i="3"/>
  <c r="E15" i="3"/>
  <c r="E482" i="3"/>
  <c r="E473" i="3"/>
  <c r="E428" i="3"/>
  <c r="E540" i="3"/>
  <c r="E75"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520" i="3"/>
  <c r="E460" i="3"/>
  <c r="E413" i="3"/>
  <c r="E582" i="3"/>
  <c r="E500" i="3"/>
  <c r="E566" i="3"/>
  <c r="E374" i="3"/>
  <c r="E459" i="3"/>
  <c r="E416" i="3"/>
  <c r="E398" i="3"/>
  <c r="E487" i="3"/>
  <c r="E464" i="3"/>
  <c r="E421" i="3"/>
  <c r="E552" i="3"/>
  <c r="E542" i="3"/>
  <c r="AD6" i="3"/>
  <c r="E312" i="3"/>
  <c r="E141" i="3"/>
  <c r="E167" i="3"/>
  <c r="E149" i="3"/>
  <c r="E244" i="3"/>
  <c r="E165"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G28" i="6"/>
  <c r="F29" i="6"/>
  <c r="E29" i="6" s="1"/>
  <c r="K15" i="1" s="1"/>
  <c r="H69"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P11" i="1"/>
  <c r="D9" i="11"/>
  <c r="C9" i="11"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F51" i="15"/>
  <c r="F66" i="67"/>
  <c r="N59" i="15"/>
  <c r="L58" i="15"/>
  <c r="M59" i="15"/>
  <c r="L59" i="15" s="1"/>
  <c r="F66" i="15"/>
  <c r="Q71" i="67"/>
  <c r="F64" i="15"/>
  <c r="C27" i="67"/>
  <c r="F71" i="67"/>
  <c r="C27" i="15"/>
  <c r="F65" i="15"/>
  <c r="N59" i="67"/>
  <c r="L59" i="67"/>
  <c r="L58" i="67"/>
  <c r="M59" i="67"/>
  <c r="B13" i="70"/>
  <c r="M7" i="67"/>
  <c r="J6" i="67" s="1"/>
  <c r="F50" i="67"/>
  <c r="F68" i="67"/>
  <c r="F64" i="67"/>
  <c r="F68" i="15"/>
  <c r="D9" i="69"/>
  <c r="D9" i="68"/>
  <c r="C13" i="12"/>
  <c r="D19" i="12"/>
  <c r="F7" i="15"/>
  <c r="M29" i="15"/>
  <c r="C16" i="15"/>
  <c r="F43" i="15"/>
  <c r="C16" i="67"/>
  <c r="G1" i="73"/>
  <c r="AC27" i="34" l="1"/>
  <c r="W27" i="34"/>
  <c r="U27" i="34"/>
  <c r="E479" i="3"/>
  <c r="E409" i="3"/>
  <c r="E339" i="3"/>
  <c r="E147" i="3"/>
  <c r="E218" i="3"/>
  <c r="I3" i="6"/>
  <c r="E152" i="3"/>
  <c r="E389" i="3"/>
  <c r="E64" i="3"/>
  <c r="E219" i="3"/>
  <c r="E392" i="3"/>
  <c r="E112" i="3"/>
  <c r="E340" i="3"/>
  <c r="E62" i="3"/>
  <c r="E365" i="3"/>
  <c r="AZ5" i="3"/>
  <c r="E199" i="3"/>
  <c r="E541" i="3"/>
  <c r="E435" i="3"/>
  <c r="E37" i="3"/>
  <c r="E192" i="3"/>
  <c r="E363" i="3"/>
  <c r="E76" i="3"/>
  <c r="E425" i="3"/>
  <c r="E103" i="3"/>
  <c r="E234" i="3"/>
  <c r="E299" i="3"/>
  <c r="E325" i="3"/>
  <c r="AQ6" i="3"/>
  <c r="E36" i="3"/>
  <c r="E123" i="3"/>
  <c r="E289" i="3"/>
  <c r="E364" i="3"/>
  <c r="E20" i="3"/>
  <c r="E176" i="3"/>
  <c r="E265" i="3"/>
  <c r="F50" i="15"/>
  <c r="C6" i="15"/>
  <c r="C32" i="15" s="1"/>
  <c r="M7" i="15"/>
  <c r="J6" i="15" s="1"/>
  <c r="J18" i="15" s="1"/>
  <c r="H26" i="43"/>
  <c r="E539" i="3"/>
  <c r="E575" i="3"/>
  <c r="E449" i="3"/>
  <c r="E417" i="3"/>
  <c r="E95" i="3"/>
  <c r="E258" i="3"/>
  <c r="E349" i="3"/>
  <c r="E59" i="3"/>
  <c r="E467" i="3"/>
  <c r="E160" i="3"/>
  <c r="E275" i="3"/>
  <c r="E324" i="3"/>
  <c r="E342" i="3"/>
  <c r="E35" i="3"/>
  <c r="E34" i="3"/>
  <c r="E206" i="3"/>
  <c r="E251" i="3"/>
  <c r="AF6" i="3"/>
  <c r="E80" i="3"/>
  <c r="E158" i="3"/>
  <c r="E308" i="3"/>
  <c r="E22" i="3"/>
  <c r="E148" i="3"/>
  <c r="E442" i="3"/>
  <c r="E554" i="3"/>
  <c r="E56" i="3"/>
  <c r="E132" i="3"/>
  <c r="E292" i="3"/>
  <c r="E544" i="3"/>
  <c r="E484" i="3"/>
  <c r="E46" i="3"/>
  <c r="E200" i="3"/>
  <c r="E235" i="3"/>
  <c r="E383" i="3"/>
  <c r="E522" i="3"/>
  <c r="E86" i="3"/>
  <c r="E49" i="3"/>
  <c r="E232" i="3"/>
  <c r="E370" i="3"/>
  <c r="E102" i="3"/>
  <c r="E113" i="3"/>
  <c r="E287" i="3"/>
  <c r="E326" i="3"/>
  <c r="E83" i="3"/>
  <c r="E59" i="40"/>
  <c r="F71" i="15"/>
  <c r="AP6" i="1"/>
  <c r="C36" i="69" s="1"/>
  <c r="C19" i="12"/>
  <c r="N94" i="46"/>
  <c r="J26" i="43"/>
  <c r="K16" i="1"/>
  <c r="N370" i="46"/>
  <c r="G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28" i="12"/>
  <c r="AE6" i="1"/>
  <c r="F41" i="67"/>
  <c r="J5" i="15" l="1"/>
  <c r="J24" i="15" s="1"/>
  <c r="C29" i="12"/>
  <c r="D28" i="12" s="1"/>
  <c r="E65"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D3" i="34"/>
  <c r="D19" i="11"/>
  <c r="C19" i="11" s="1"/>
  <c r="L18" i="9"/>
  <c r="C17" i="4"/>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4" i="12"/>
  <c r="F41" i="15"/>
  <c r="M27" i="67"/>
  <c r="M27" i="15"/>
  <c r="E49" i="34" l="1"/>
  <c r="E53" i="34" s="1"/>
  <c r="F53" i="34" s="1"/>
  <c r="D116" i="43"/>
  <c r="B4" i="52"/>
  <c r="B43" i="72" s="1"/>
  <c r="B14" i="74"/>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D26" i="6"/>
  <c r="D8" i="6"/>
  <c r="D14" i="6"/>
  <c r="D6" i="6"/>
  <c r="D9" i="6"/>
  <c r="D10" i="6"/>
  <c r="L19" i="9"/>
  <c r="D29" i="6"/>
  <c r="D19" i="6"/>
  <c r="C18" i="4"/>
  <c r="C14" i="74" s="1"/>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D20" i="12"/>
  <c r="C17" i="15"/>
  <c r="C17" i="67"/>
  <c r="C14" i="67"/>
  <c r="I54" i="34" l="1"/>
  <c r="J54" i="34" s="1"/>
  <c r="B2" i="74"/>
  <c r="H21" i="6"/>
  <c r="C20" i="12"/>
  <c r="C18" i="12" s="1"/>
  <c r="D30" i="6"/>
  <c r="H24" i="6"/>
  <c r="R24" i="6" s="1"/>
  <c r="R11" i="1" s="1"/>
  <c r="H22" i="6"/>
  <c r="R22" i="6" s="1"/>
  <c r="R9" i="1" s="1"/>
  <c r="H25" i="6"/>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11" i="12"/>
  <c r="C14" i="15"/>
  <c r="E6" i="76"/>
  <c r="B6" i="76"/>
  <c r="D31" i="6" l="1"/>
  <c r="B3" i="43"/>
  <c r="C6" i="68"/>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7" i="68" l="1"/>
  <c r="C5" i="68"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8" l="1"/>
  <c r="C20" i="68"/>
  <c r="C28" i="68" s="1"/>
  <c r="C27" i="68"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25" i="68" l="1"/>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B3"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D35" i="9"/>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D2" i="34"/>
  <c r="L51" i="15"/>
  <c r="Q57" i="67" l="1"/>
  <c r="Q66" i="67"/>
  <c r="Q75" i="67" s="1"/>
  <c r="Q62" i="67"/>
  <c r="B3" i="67"/>
  <c r="L57" i="15"/>
  <c r="L60" i="15" s="1"/>
  <c r="Q57" i="15" s="1"/>
  <c r="Q67" i="15"/>
  <c r="B2" i="36"/>
  <c r="B3" i="36" s="1"/>
  <c r="B2" i="35"/>
  <c r="B3" i="35" s="1"/>
  <c r="M3" i="35"/>
  <c r="B2" i="37"/>
  <c r="B3" i="37" s="1"/>
  <c r="B2" i="34"/>
  <c r="L46" i="15"/>
  <c r="B2" i="15" s="1"/>
  <c r="C8" i="12" s="1"/>
  <c r="Q47" i="15"/>
  <c r="Q53" i="15" s="1"/>
  <c r="C43" i="15"/>
  <c r="Q65" i="15"/>
  <c r="C83" i="15"/>
  <c r="C82" i="15" s="1"/>
  <c r="Q56" i="15"/>
  <c r="W7" i="39"/>
  <c r="AC7" i="39"/>
  <c r="V47" i="39" s="1"/>
  <c r="I47" i="39" s="1"/>
  <c r="E47" i="39"/>
  <c r="R48" i="39"/>
  <c r="U7" i="39"/>
  <c r="AB7" i="39"/>
  <c r="T47" i="39" s="1"/>
  <c r="G47" i="39" s="1"/>
  <c r="J7" i="40"/>
  <c r="F7" i="40"/>
  <c r="H7" i="40"/>
  <c r="C19" i="9"/>
  <c r="AO11" i="1"/>
  <c r="AO10" i="1"/>
  <c r="AO9" i="1"/>
  <c r="AO6" i="1"/>
  <c r="AO12" i="1"/>
  <c r="AO8" i="1"/>
  <c r="AO7"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C4" i="12"/>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D19" i="9"/>
  <c r="D20" i="9"/>
  <c r="D102" i="9" l="1"/>
  <c r="D21" i="9"/>
  <c r="G19" i="9"/>
  <c r="G21" i="9" s="1"/>
  <c r="D22" i="9"/>
  <c r="D103" i="9"/>
  <c r="G20" i="9"/>
  <c r="R24" i="31" s="1"/>
  <c r="B6" i="74"/>
  <c r="D6" i="74" s="1"/>
  <c r="S24" i="31" l="1"/>
  <c r="R38" i="31"/>
  <c r="S38" i="31" s="1"/>
  <c r="R34" i="31"/>
  <c r="S34" i="31" s="1"/>
  <c r="R30" i="31"/>
  <c r="S30" i="31" s="1"/>
  <c r="R26" i="31"/>
  <c r="S26" i="31" s="1"/>
  <c r="R39" i="31"/>
  <c r="S39" i="31" s="1"/>
  <c r="R35" i="31"/>
  <c r="S35" i="31" s="1"/>
  <c r="R31" i="31"/>
  <c r="S31" i="31" s="1"/>
  <c r="R27" i="31"/>
  <c r="S27" i="31" s="1"/>
  <c r="R40" i="31"/>
  <c r="S40" i="31" s="1"/>
  <c r="R36" i="31"/>
  <c r="S36" i="31" s="1"/>
  <c r="R32" i="31"/>
  <c r="S32" i="31" s="1"/>
  <c r="R28" i="31"/>
  <c r="S28" i="31" s="1"/>
  <c r="R41" i="31"/>
  <c r="S41" i="31" s="1"/>
  <c r="R37" i="31"/>
  <c r="S37" i="31" s="1"/>
  <c r="R33" i="31"/>
  <c r="S33" i="31" s="1"/>
  <c r="R29" i="31"/>
  <c r="S29" i="31" s="1"/>
  <c r="R25" i="31"/>
  <c r="S25" i="31" s="1"/>
  <c r="C32" i="9"/>
  <c r="C35" i="9" s="1"/>
  <c r="C34" i="9" s="1"/>
  <c r="D118" i="9" s="1"/>
  <c r="D4" i="52" s="1"/>
  <c r="B47" i="72" s="1"/>
  <c r="S22" i="31" l="1"/>
  <c r="H118" i="9"/>
  <c r="H119" i="9" s="1"/>
  <c r="H5" i="52" s="1"/>
  <c r="D119" i="9"/>
  <c r="D5" i="52" s="1"/>
  <c r="B49" i="72" s="1"/>
  <c r="F118" i="9"/>
  <c r="R22" i="31" l="1"/>
  <c r="B20" i="31"/>
  <c r="B21" i="31" s="1"/>
  <c r="H101" i="9"/>
  <c r="D5" i="53" s="1"/>
  <c r="B20" i="72" s="1"/>
  <c r="H4" i="52"/>
  <c r="I118" i="9"/>
  <c r="C104" i="9"/>
  <c r="F119" i="9"/>
  <c r="F5" i="52" s="1"/>
  <c r="B53" i="72" s="1"/>
  <c r="F4" i="52"/>
  <c r="B51" i="72" s="1"/>
  <c r="G118" i="9"/>
  <c r="M48" i="9" l="1"/>
  <c r="D45" i="9"/>
  <c r="D52" i="9" s="1"/>
  <c r="D14" i="74"/>
  <c r="H107" i="9"/>
  <c r="D6" i="53"/>
  <c r="B22" i="72" s="1"/>
  <c r="D55" i="9"/>
  <c r="M53" i="9" s="1"/>
  <c r="C105" i="9"/>
  <c r="I4" i="52"/>
  <c r="H102" i="9"/>
  <c r="G4" i="52"/>
  <c r="B52" i="72" s="1"/>
  <c r="E118" i="9"/>
  <c r="E4" i="52" s="1"/>
  <c r="B48" i="72" s="1"/>
  <c r="C72" i="9" l="1"/>
  <c r="C93" i="9"/>
  <c r="C86" i="9" s="1"/>
  <c r="C64" i="9"/>
  <c r="C63" i="9" s="1"/>
  <c r="C67" i="9" s="1"/>
  <c r="C68" i="9" s="1"/>
  <c r="D54" i="9" s="1"/>
  <c r="D53" i="9"/>
  <c r="C85" i="9"/>
  <c r="C78" i="9"/>
  <c r="C73" i="9" s="1"/>
  <c r="C79" i="9" s="1"/>
  <c r="C80" i="9" s="1"/>
  <c r="E80" i="9" s="1"/>
  <c r="E81" i="9" s="1"/>
  <c r="D122" i="9"/>
  <c r="M49" i="9"/>
  <c r="D13" i="53"/>
  <c r="F14" i="74"/>
  <c r="E14" i="74"/>
  <c r="B5" i="74"/>
  <c r="D5" i="74" s="1"/>
  <c r="D59" i="9"/>
  <c r="M55" i="9" s="1"/>
  <c r="D7" i="53"/>
  <c r="B21" i="72" s="1"/>
  <c r="H108" i="9"/>
  <c r="C95" i="9" l="1"/>
  <c r="B30" i="72"/>
  <c r="D14" i="53"/>
  <c r="B32" i="72" s="1"/>
  <c r="D123" i="9"/>
  <c r="D9" i="52" s="1"/>
  <c r="D8" i="52"/>
  <c r="L67" i="9"/>
  <c r="M67" i="9" s="1"/>
  <c r="L68" i="9"/>
  <c r="M68" i="9" s="1"/>
  <c r="L63" i="9"/>
  <c r="M63" i="9" s="1"/>
  <c r="L65" i="9"/>
  <c r="M65" i="9" s="1"/>
  <c r="L64" i="9"/>
  <c r="M64" i="9" s="1"/>
  <c r="L66" i="9"/>
  <c r="M66" i="9" s="1"/>
  <c r="C5" i="74"/>
  <c r="C6" i="74"/>
  <c r="D15" i="53"/>
  <c r="B31" i="72" s="1"/>
  <c r="C81" i="9"/>
  <c r="C96" i="9" l="1"/>
  <c r="E96" i="9" s="1"/>
  <c r="E97" i="9" s="1"/>
  <c r="M69" i="9"/>
  <c r="N69" i="9" s="1"/>
  <c r="C97" i="9" l="1"/>
  <c r="D58" i="9" s="1"/>
  <c r="D56" i="9" s="1"/>
  <c r="M54" i="9" s="1"/>
  <c r="N57" i="9" s="1"/>
  <c r="P57" i="9" s="1"/>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<sst xmlns="http://schemas.openxmlformats.org/spreadsheetml/2006/main" count="7970" uniqueCount="3470">
  <si>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</si>
  <si>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</si>
  <si>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</si>
  <si>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</si>
  <si>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</si>
  <si>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</si>
  <si>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</si>
  <si>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</si>
  <si>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</si>
  <si>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</si>
  <si>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</si>
  <si>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</si>
  <si>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</si>
  <si>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</si>
  <si>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</si>
  <si>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</si>
  <si>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</si>
  <si>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</si>
  <si>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</si>
  <si>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</si>
  <si>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</si>
  <si>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</si>
  <si>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</si>
  <si>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</si>
  <si>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</si>
  <si>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</si>
  <si>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</si>
  <si>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</si>
  <si>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</si>
  <si>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</si>
  <si>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</si>
  <si>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</si>
  <si>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</si>
  <si>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</si>
  <si>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</si>
  <si>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</si>
  <si>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</si>
  <si>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</si>
  <si>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</si>
  <si>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</si>
  <si>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</si>
  <si>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</si>
  <si>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</si>
  <si>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</si>
  <si>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</si>
  <si>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</si>
  <si>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</si>
  <si>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</si>
  <si>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</si>
  <si>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</si>
  <si>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</si>
  <si>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</si>
  <si>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</si>
  <si>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</si>
  <si>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</si>
  <si>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</si>
  <si>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</si>
  <si>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</si>
  <si>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</si>
  <si>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</si>
  <si>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</si>
  <si>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</si>
  <si>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</si>
  <si>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</si>
  <si>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</si>
  <si>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</si>
  <si>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</si>
  <si>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</si>
  <si>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</si>
  <si>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</si>
  <si>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</si>
  <si>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</si>
  <si>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</si>
  <si>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</si>
  <si>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</si>
  <si>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</si>
  <si>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</si>
  <si>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</si>
  <si>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</si>
  <si>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</si>
  <si>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</si>
  <si>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</si>
  <si>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</si>
  <si>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</si>
  <si>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</si>
  <si>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</si>
  <si>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</si>
  <si>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</si>
  <si>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</si>
  <si>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</si>
  <si>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</si>
  <si>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</si>
  <si>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</si>
  <si>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</si>
  <si>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</si>
  <si>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</si>
  <si>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</si>
  <si>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</si>
  <si>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</si>
  <si>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</si>
  <si>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</si>
  <si>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</si>
  <si>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</si>
  <si>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</si>
  <si>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</si>
  <si>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</si>
  <si>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</si>
  <si>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</si>
  <si>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</si>
  <si>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</si>
  <si>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</si>
  <si>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</si>
  <si>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</si>
  <si>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</si>
  <si>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</si>
  <si>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</si>
  <si>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</si>
  <si>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</si>
  <si>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</si>
  <si>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</si>
  <si>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</si>
  <si>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</si>
  <si>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</si>
  <si>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</si>
  <si>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</si>
  <si>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</si>
  <si>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</si>
  <si>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</si>
  <si>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</si>
  <si>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</si>
  <si>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</si>
  <si>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</si>
  <si>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</si>
  <si>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</si>
  <si>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</si>
  <si>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</si>
  <si>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</si>
  <si>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</si>
  <si>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</si>
  <si>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</si>
  <si>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</si>
  <si>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</si>
  <si>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</si>
  <si>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</si>
  <si>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</si>
  <si>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</si>
  <si>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</si>
  <si>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</si>
  <si>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</si>
  <si>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</si>
  <si>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</si>
  <si>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</si>
  <si>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</si>
  <si>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</si>
  <si>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</si>
  <si>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</si>
  <si>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</si>
  <si>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</si>
  <si>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</si>
  <si>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</si>
  <si>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</si>
  <si>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</si>
  <si>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</si>
  <si>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</si>
  <si>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</si>
  <si>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</si>
  <si>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</si>
  <si>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</si>
  <si>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</si>
  <si>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</si>
  <si>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</si>
  <si>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</si>
  <si>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</si>
  <si>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</si>
  <si>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</si>
  <si>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</si>
  <si>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</si>
  <si>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</si>
  <si>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</si>
  <si>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</si>
  <si>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</si>
  <si>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</si>
  <si>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</si>
  <si>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</si>
  <si>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</si>
  <si>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</si>
  <si>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</si>
  <si>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</si>
  <si>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</si>
  <si>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</si>
  <si>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</si>
  <si>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</si>
  <si>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</si>
  <si>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</si>
  <si>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</si>
  <si>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</si>
  <si>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</si>
  <si>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</si>
  <si>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</si>
  <si>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</si>
  <si>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</si>
  <si>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</si>
  <si>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</si>
  <si>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</si>
  <si>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</si>
  <si>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</si>
  <si>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</si>
  <si>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</si>
  <si>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</si>
  <si>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</si>
  <si>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</si>
  <si>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</si>
  <si>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</si>
  <si>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</si>
  <si>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</si>
  <si>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</si>
  <si>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</si>
  <si>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</si>
  <si>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</si>
  <si>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</si>
  <si>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</si>
  <si>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</si>
  <si>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</si>
  <si>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</si>
  <si>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</si>
  <si>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</si>
  <si>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</si>
  <si>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</si>
  <si>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</si>
  <si>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</si>
  <si>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</si>
  <si>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</si>
  <si>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</si>
  <si>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</si>
  <si>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</si>
  <si>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</si>
  <si>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</si>
  <si>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</si>
  <si>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</si>
  <si>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</si>
  <si>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</si>
  <si>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</si>
  <si>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</si>
  <si>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</si>
  <si>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</si>
  <si>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</si>
  <si>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</si>
  <si>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</si>
  <si>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</si>
  <si>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</si>
  <si>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</si>
  <si>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</si>
  <si>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</si>
  <si>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</si>
  <si>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</si>
  <si>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</si>
  <si>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</si>
  <si>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</si>
  <si>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</si>
  <si>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</si>
  <si>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</si>
  <si>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</si>
  <si>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</si>
  <si>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</si>
  <si>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</si>
  <si>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</si>
  <si>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</si>
  <si>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</si>
  <si>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</si>
  <si>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</si>
  <si>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</si>
  <si>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</si>
  <si>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</si>
  <si>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</si>
  <si>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</si>
  <si>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</si>
  <si>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</si>
  <si>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</si>
  <si>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</si>
  <si>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</si>
  <si>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</si>
  <si>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</si>
  <si>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</si>
  <si>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</si>
  <si>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</si>
  <si>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</si>
  <si>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</si>
  <si>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</si>
  <si>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</si>
  <si>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</si>
  <si>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</si>
  <si>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</si>
  <si>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</si>
  <si>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</si>
  <si>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</si>
  <si>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</si>
  <si>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</si>
  <si>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</si>
  <si>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</si>
  <si>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</si>
  <si>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</si>
  <si>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</si>
  <si>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</si>
  <si>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</si>
  <si>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</si>
  <si>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</si>
  <si>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</si>
  <si>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</si>
  <si>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</si>
  <si>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</si>
  <si>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</si>
  <si>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</si>
  <si>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</si>
  <si>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</si>
  <si>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</si>
  <si>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</si>
  <si>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</si>
  <si>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</si>
  <si>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</si>
  <si>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</si>
  <si>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</si>
  <si>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</si>
  <si>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</si>
  <si>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</si>
  <si>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</si>
  <si>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</si>
  <si>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</si>
  <si>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</si>
  <si>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</si>
  <si>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</si>
  <si>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</si>
  <si>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</si>
  <si>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</si>
  <si>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</si>
  <si>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</si>
  <si>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</si>
  <si>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</si>
  <si>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</si>
  <si>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</si>
  <si>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</si>
  <si>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</si>
  <si>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</si>
  <si>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</si>
  <si>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</si>
  <si>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</si>
  <si>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</si>
  <si>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</si>
  <si>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</si>
  <si>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</si>
  <si>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</si>
  <si>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</si>
  <si>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</si>
  <si>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</si>
  <si>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</si>
  <si>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</si>
  <si>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</si>
  <si>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</si>
  <si>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</si>
  <si>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</si>
  <si>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</si>
  <si>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</si>
  <si>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</si>
  <si>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</si>
  <si>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</si>
  <si>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</si>
  <si>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</si>
  <si>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</si>
  <si>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</si>
  <si>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</si>
  <si>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</si>
  <si>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</si>
  <si>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</si>
  <si>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</si>
  <si>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</si>
  <si>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</si>
  <si>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</si>
  <si>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</si>
  <si>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</si>
  <si>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</si>
  <si>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</si>
  <si>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</si>
  <si>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</si>
  <si>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</si>
  <si>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</si>
  <si>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</si>
  <si>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</si>
  <si>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</si>
  <si>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</si>
  <si>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</si>
  <si>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</si>
  <si>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</si>
  <si>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</si>
  <si>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</si>
  <si>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</si>
  <si>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</si>
  <si>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</si>
  <si>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</si>
  <si>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</si>
  <si>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</si>
  <si>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</si>
  <si>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</si>
  <si>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</si>
  <si>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</si>
  <si>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</si>
  <si>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</si>
  <si>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</si>
  <si>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</si>
  <si>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</si>
  <si>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</si>
  <si>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</si>
  <si>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</si>
  <si>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</si>
  <si>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</si>
  <si>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</si>
  <si>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</si>
  <si>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</si>
  <si>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</si>
  <si>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</si>
  <si>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</si>
  <si>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</si>
  <si>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</si>
  <si>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</si>
  <si>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</si>
  <si>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</si>
  <si>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</si>
  <si>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</si>
  <si>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</si>
  <si>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</si>
  <si>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</si>
  <si>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</si>
  <si>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</si>
  <si>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</si>
  <si>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</si>
  <si>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</si>
  <si>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</si>
  <si>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</si>
  <si>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</si>
  <si>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</si>
  <si>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</si>
  <si>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</si>
  <si>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</si>
  <si>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</si>
  <si>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</si>
  <si>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</si>
  <si>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</si>
  <si>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</si>
  <si>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</si>
  <si>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</si>
  <si>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</si>
  <si>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</si>
  <si>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</si>
  <si>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</si>
  <si>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</si>
  <si>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</si>
  <si>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</si>
  <si>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</si>
  <si>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</si>
  <si>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</si>
  <si>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</si>
  <si>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</si>
  <si>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</si>
  <si>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</si>
  <si>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</si>
  <si>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</si>
  <si>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</si>
  <si>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</si>
  <si>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</si>
  <si>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</si>
  <si>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</si>
  <si>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</si>
  <si>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</si>
  <si>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</si>
  <si>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</si>
  <si>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</si>
  <si>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</si>
  <si>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</si>
  <si>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</si>
  <si>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</si>
  <si>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</si>
  <si>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</si>
  <si>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</si>
  <si>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</si>
  <si>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</si>
  <si>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</si>
  <si>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</si>
  <si>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</si>
  <si>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</si>
  <si>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</si>
  <si>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</si>
  <si>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</si>
  <si>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</si>
  <si>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</si>
  <si>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</si>
  <si>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</si>
  <si>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</si>
  <si>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</si>
  <si>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</si>
  <si>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</si>
  <si>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</si>
  <si>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</si>
  <si>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</si>
  <si>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</si>
  <si>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</si>
  <si>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</si>
  <si>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</si>
  <si>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</si>
  <si>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</si>
  <si>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</si>
  <si>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</si>
  <si>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</si>
  <si>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</si>
  <si>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</si>
  <si>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</si>
  <si>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</si>
  <si>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</si>
  <si>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</si>
  <si>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</si>
  <si>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</si>
  <si>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</si>
  <si>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</si>
  <si>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</si>
  <si>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</si>
  <si>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</si>
  <si>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</si>
  <si>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</si>
  <si>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</si>
  <si>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</si>
  <si>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</si>
  <si>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</si>
  <si>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</si>
  <si>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</si>
  <si>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</si>
  <si>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</si>
  <si>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</si>
  <si>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</si>
  <si>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</si>
  <si>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</si>
  <si>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</si>
  <si>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</si>
  <si>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</si>
  <si>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</si>
  <si>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</si>
  <si>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</si>
  <si>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</si>
  <si>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</si>
  <si>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</si>
  <si>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</si>
  <si>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</si>
  <si>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</si>
  <si>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</si>
  <si>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</si>
  <si>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</si>
  <si>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</si>
  <si>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</si>
  <si>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</si>
  <si>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</si>
  <si>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</si>
  <si>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</si>
  <si>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</si>
  <si>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</si>
  <si>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</si>
  <si>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</si>
  <si>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</si>
  <si>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</si>
  <si>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</si>
  <si>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</si>
  <si>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</si>
  <si>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</si>
  <si>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</si>
  <si>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</si>
  <si>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</si>
  <si>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</si>
  <si>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</si>
  <si>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</si>
  <si>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</si>
  <si>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</si>
  <si>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</si>
  <si>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</si>
  <si>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</si>
  <si>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</si>
  <si>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</si>
  <si>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</si>
  <si>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</si>
  <si>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</si>
  <si>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</si>
  <si>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</si>
  <si>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</si>
  <si>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</si>
  <si>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</si>
  <si>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</si>
  <si>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</si>
  <si>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</si>
  <si>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</si>
  <si>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</si>
  <si>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</si>
  <si>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</si>
  <si>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</si>
  <si>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</si>
  <si>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</si>
  <si>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</si>
  <si>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</si>
  <si>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</si>
  <si>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</si>
  <si>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</si>
  <si>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</si>
  <si>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</si>
  <si>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</si>
  <si>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</si>
  <si>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</si>
  <si>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</si>
  <si>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</si>
  <si>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</si>
  <si>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</si>
  <si>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</si>
  <si>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</si>
  <si>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</si>
  <si>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</si>
  <si>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</si>
  <si>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</si>
  <si>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</si>
  <si>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</si>
  <si>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</si>
  <si>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</si>
  <si>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</si>
  <si>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</si>
  <si>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</si>
  <si>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</si>
  <si>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</si>
  <si>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</si>
  <si>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</si>
  <si>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</si>
  <si>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</si>
  <si>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</si>
  <si>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</si>
  <si>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</si>
  <si>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</si>
  <si>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</si>
  <si>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</si>
  <si>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</si>
  <si>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</si>
  <si>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</si>
  <si>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</si>
  <si>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</si>
  <si>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</si>
  <si>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</si>
  <si>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</si>
  <si>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</si>
  <si>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</si>
  <si>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</si>
  <si>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</si>
  <si>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</si>
  <si>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</si>
  <si>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</si>
  <si>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</si>
  <si>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</si>
  <si>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</si>
  <si>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</si>
  <si>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</si>
  <si>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</si>
  <si>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</si>
  <si>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</si>
  <si>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</si>
  <si>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</si>
  <si>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</si>
  <si>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</si>
  <si>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</si>
  <si>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</si>
  <si>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</si>
  <si>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</si>
  <si>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</si>
  <si>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</si>
  <si>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</si>
  <si>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</si>
  <si>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</si>
  <si>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</si>
  <si>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</si>
  <si>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</si>
  <si>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</si>
  <si>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</si>
  <si>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</si>
  <si>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</si>
  <si>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</si>
  <si>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</si>
  <si>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</si>
  <si>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</si>
  <si>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</si>
  <si>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</si>
  <si>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</si>
  <si>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</si>
  <si>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</si>
  <si>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</si>
  <si>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</si>
  <si>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</si>
  <si>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</si>
  <si>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</si>
  <si>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</si>
  <si>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</si>
  <si>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</si>
  <si>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</si>
  <si>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</si>
  <si>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</si>
  <si>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</si>
  <si>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</si>
  <si>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</si>
  <si>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</si>
  <si>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</si>
  <si>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</si>
  <si>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</si>
  <si>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</si>
  <si>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</si>
  <si>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</si>
  <si>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</si>
  <si>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</si>
  <si>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</si>
  <si>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</si>
  <si>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</si>
  <si>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</si>
  <si>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</si>
  <si>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</si>
  <si>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</si>
  <si>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</si>
  <si>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</si>
  <si>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</si>
  <si>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</si>
  <si>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</si>
  <si>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</si>
  <si>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</si>
  <si>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</si>
  <si>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</si>
  <si>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</si>
  <si>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</si>
  <si>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</si>
  <si>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</si>
  <si>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</si>
  <si>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</si>
  <si>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</si>
  <si>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</si>
  <si>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</si>
  <si>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</si>
  <si>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</si>
  <si>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</si>
  <si>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</si>
  <si>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</si>
  <si>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</si>
  <si>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</si>
  <si>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</si>
  <si>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</si>
  <si>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</si>
  <si>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</si>
  <si>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</si>
  <si>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</si>
  <si>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</si>
  <si>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</si>
  <si>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</si>
  <si>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</si>
  <si>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</si>
  <si>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</si>
  <si>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</si>
  <si>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</si>
  <si>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</si>
  <si>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</si>
  <si>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</si>
  <si>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</si>
  <si>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</si>
  <si>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</si>
  <si>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</si>
  <si>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</si>
  <si>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</si>
  <si>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</si>
  <si>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</si>
  <si>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</si>
  <si>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</si>
  <si>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</si>
  <si>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</si>
  <si>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</si>
  <si>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</si>
  <si>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</si>
  <si>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</si>
  <si>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</si>
  <si>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</si>
  <si>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</si>
  <si>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</si>
  <si>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</si>
  <si>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</si>
  <si>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</si>
  <si>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</si>
  <si>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</si>
  <si>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</si>
  <si>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</si>
  <si>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</si>
  <si>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</si>
  <si>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</si>
  <si>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</si>
  <si>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</si>
  <si>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</si>
  <si>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</si>
  <si>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</si>
  <si>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</si>
  <si>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</si>
  <si>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</si>
  <si>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</si>
  <si>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</si>
  <si>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</si>
  <si>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</si>
  <si>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</si>
  <si>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</si>
  <si>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</si>
  <si>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</si>
  <si>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</si>
  <si>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</si>
  <si>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</si>
  <si>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</si>
  <si>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</si>
  <si>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</si>
  <si>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</si>
  <si>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</si>
  <si>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</si>
  <si>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</si>
  <si>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</si>
  <si>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</si>
  <si>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</si>
  <si>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</si>
  <si>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</si>
  <si>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</si>
  <si>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</si>
  <si>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</si>
  <si>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</si>
  <si>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</si>
  <si>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</si>
  <si>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</si>
  <si>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</si>
  <si>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</si>
  <si>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</si>
  <si>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</si>
  <si>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</si>
  <si>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</si>
  <si>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</si>
  <si>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</si>
  <si>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</si>
  <si>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</si>
  <si>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</si>
  <si>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</si>
  <si>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</si>
  <si>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</si>
  <si>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</si>
  <si>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</si>
  <si>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</si>
  <si>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</si>
  <si>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</si>
  <si>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</si>
  <si>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</si>
  <si>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</si>
  <si>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</si>
  <si>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</si>
  <si>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</si>
  <si>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</si>
  <si>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</si>
  <si>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</si>
  <si>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</si>
  <si>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</si>
  <si>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</si>
  <si>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</si>
  <si>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</si>
  <si>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</si>
  <si>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</si>
  <si>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</si>
  <si>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</si>
  <si>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</si>
  <si>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</si>
  <si>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</si>
  <si>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</si>
  <si>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</si>
  <si>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</si>
  <si>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</si>
  <si>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</si>
  <si>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</si>
  <si>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</si>
  <si>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</si>
  <si>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</si>
  <si>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</si>
  <si>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</si>
  <si>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</si>
  <si>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</si>
  <si>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</si>
  <si>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</si>
  <si>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</si>
  <si>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</si>
  <si>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</si>
  <si>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</si>
  <si>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</si>
  <si>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</si>
  <si>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</si>
  <si>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</si>
  <si>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</si>
  <si>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</si>
  <si>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</si>
  <si>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</si>
  <si>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</si>
  <si>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</si>
  <si>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</si>
  <si>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</si>
  <si>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</si>
  <si>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</si>
  <si>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</si>
  <si>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</si>
  <si>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</si>
  <si>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</si>
  <si>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</si>
  <si>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</si>
  <si>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</si>
  <si>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</si>
  <si>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</si>
  <si>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</si>
  <si>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</si>
  <si>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</si>
  <si>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</si>
  <si>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</si>
  <si>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</si>
  <si>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</si>
  <si>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</si>
  <si>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</si>
  <si>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</si>
  <si>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</si>
  <si>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</si>
  <si>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</si>
  <si>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</si>
  <si>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</si>
  <si>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</si>
  <si>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</si>
  <si>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</si>
  <si>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</si>
  <si>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</si>
  <si>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</si>
  <si>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</si>
  <si>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</si>
  <si>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</si>
  <si>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</si>
  <si>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</si>
  <si>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</si>
  <si>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</si>
  <si>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</si>
  <si>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</si>
  <si>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</si>
  <si>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</si>
  <si>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</si>
  <si>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</si>
  <si>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</si>
  <si>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</si>
  <si>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</si>
  <si>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</si>
  <si>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</si>
  <si>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</si>
  <si>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</si>
  <si>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</si>
  <si>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</si>
  <si>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</si>
  <si>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</si>
  <si>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</si>
  <si>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</si>
  <si>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</si>
  <si>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</si>
  <si>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</si>
  <si>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</si>
  <si>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</si>
  <si>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</si>
  <si>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</si>
  <si>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</si>
  <si>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</si>
  <si>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</si>
  <si>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</si>
  <si>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</si>
  <si>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</si>
  <si>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</si>
  <si>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</si>
  <si>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</si>
  <si>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</si>
  <si>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</si>
  <si>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</si>
  <si>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</si>
  <si>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</si>
  <si>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</si>
  <si>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</si>
  <si>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</si>
  <si>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</si>
  <si>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</si>
  <si>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</si>
  <si>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</si>
  <si>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</si>
  <si>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</si>
  <si>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</si>
  <si>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</si>
  <si>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</si>
  <si>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</si>
  <si>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</si>
  <si>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</si>
  <si>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</si>
  <si>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</si>
  <si>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</si>
  <si>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</si>
  <si>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</si>
  <si>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</si>
  <si>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</si>
  <si>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</si>
  <si>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</si>
  <si>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</si>
  <si>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</si>
  <si>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</si>
  <si>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</si>
  <si>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</si>
  <si>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</si>
  <si>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</si>
  <si>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</si>
  <si>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</si>
  <si>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</si>
  <si>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</si>
  <si>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</si>
  <si>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</si>
  <si>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</si>
  <si>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</si>
  <si>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</si>
  <si>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</si>
  <si>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</si>
  <si>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</si>
  <si>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</si>
  <si>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</si>
  <si>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</si>
  <si>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</si>
  <si>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</si>
  <si>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</si>
  <si>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</si>
  <si>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</si>
  <si>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</si>
  <si>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</si>
  <si>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</si>
  <si>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</si>
  <si>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</si>
  <si>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</si>
  <si>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</si>
  <si>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</si>
  <si>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</si>
  <si>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</si>
  <si>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</si>
  <si>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</si>
  <si>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</si>
  <si>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</si>
  <si>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</si>
  <si>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</si>
  <si>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</si>
  <si>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</si>
  <si>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</si>
  <si>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</si>
  <si>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</si>
  <si>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</si>
  <si>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</si>
  <si>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</si>
  <si>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</si>
  <si>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</si>
  <si>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</si>
  <si>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</si>
  <si>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</si>
  <si>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</si>
  <si>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</si>
  <si>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</si>
  <si>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</si>
  <si>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</si>
  <si>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</si>
  <si>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</si>
  <si>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</si>
  <si>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</si>
  <si>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</si>
  <si>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</si>
  <si>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</si>
  <si>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</si>
  <si>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</si>
  <si>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</si>
  <si>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</si>
  <si>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</si>
  <si>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</si>
  <si>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</si>
  <si>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</si>
  <si>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</si>
  <si>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</si>
  <si>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</si>
  <si>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</si>
  <si>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</si>
  <si>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</si>
  <si>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</si>
  <si>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</si>
  <si>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</si>
  <si>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</si>
  <si>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</si>
  <si>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</si>
  <si>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</si>
  <si>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</si>
  <si>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</si>
  <si>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</si>
  <si>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</si>
  <si>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</si>
  <si>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</si>
  <si>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</si>
  <si>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</si>
  <si>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</si>
  <si>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</si>
  <si>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</si>
  <si>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</si>
  <si>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</si>
  <si>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</si>
  <si>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</si>
  <si>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</si>
  <si>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</si>
  <si>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</si>
  <si>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</si>
  <si>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</si>
  <si>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</si>
  <si>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</si>
  <si>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</si>
  <si>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</si>
  <si>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</si>
  <si>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</si>
  <si>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</si>
  <si>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</si>
  <si>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</si>
  <si>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</si>
  <si>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</si>
  <si>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</si>
  <si>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</si>
  <si>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</si>
  <si>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</si>
  <si>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</si>
  <si>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</si>
  <si>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</si>
  <si>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</si>
  <si>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</si>
  <si>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</si>
  <si>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</si>
  <si>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</si>
  <si>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</si>
  <si>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</si>
  <si>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</si>
  <si>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</si>
  <si>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</si>
  <si>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</si>
  <si>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</si>
  <si>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</si>
  <si>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</si>
  <si>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</si>
  <si>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</si>
  <si>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</si>
  <si>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</si>
  <si>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</si>
  <si>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</si>
  <si>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</si>
  <si>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</si>
  <si>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</si>
  <si>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</si>
  <si>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</si>
  <si>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</si>
  <si>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</si>
  <si>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</si>
  <si>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</si>
  <si>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</si>
  <si>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</si>
  <si>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</si>
  <si>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</si>
  <si>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</si>
  <si>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</si>
  <si>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</si>
  <si>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</si>
  <si>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</si>
  <si>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</si>
  <si>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</si>
  <si>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</si>
  <si>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</si>
  <si>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</si>
  <si>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</si>
  <si>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</si>
  <si>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</si>
  <si>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</si>
  <si>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</si>
  <si>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</si>
  <si>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</si>
  <si>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</si>
  <si>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</si>
  <si>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</si>
  <si>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</si>
  <si>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</si>
  <si>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</si>
  <si>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</si>
  <si>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</si>
  <si>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</si>
  <si>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</si>
  <si>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</si>
  <si>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</si>
  <si>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</si>
  <si>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</si>
  <si>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</si>
  <si>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</si>
  <si>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</si>
  <si>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</si>
  <si>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</si>
  <si>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</si>
  <si>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</si>
  <si>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</si>
  <si>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</si>
  <si>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</si>
  <si>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</si>
  <si>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</si>
  <si>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</si>
  <si>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</si>
  <si>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</si>
  <si>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</si>
  <si>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</si>
  <si>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</si>
  <si>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</si>
  <si>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</si>
  <si>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</si>
  <si>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</si>
  <si>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</si>
  <si>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</si>
  <si>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</si>
  <si>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</si>
  <si>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</si>
  <si>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</si>
  <si>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</si>
  <si>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</si>
  <si>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</si>
  <si>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</si>
  <si>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</si>
  <si>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</si>
  <si>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</si>
  <si>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</si>
  <si>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</si>
  <si>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</si>
  <si>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</si>
  <si>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</si>
  <si>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</si>
  <si>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</si>
  <si>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</si>
  <si>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</si>
  <si>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</si>
  <si>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</si>
  <si>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</si>
  <si>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</si>
  <si>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</si>
  <si>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</si>
  <si>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</si>
  <si>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</si>
  <si>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</si>
  <si>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</si>
  <si>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</si>
  <si>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</si>
  <si>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</si>
  <si>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</si>
  <si>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</si>
  <si>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</si>
  <si>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</si>
  <si>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</si>
  <si>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</si>
  <si>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</si>
  <si>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</si>
  <si>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</si>
  <si>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</si>
  <si>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</si>
  <si>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</si>
  <si>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</si>
  <si>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</si>
  <si>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</si>
  <si>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</si>
  <si>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</si>
  <si>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</si>
  <si>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</si>
  <si>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</si>
  <si>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</si>
  <si>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</si>
  <si>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</si>
  <si>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</si>
  <si>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</si>
  <si>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</si>
  <si>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</si>
  <si>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</si>
  <si>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</si>
  <si>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</si>
  <si>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</si>
  <si>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</si>
  <si>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</si>
  <si>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</si>
  <si>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</si>
  <si>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</si>
  <si>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</si>
  <si>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</si>
  <si>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</si>
  <si>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</si>
  <si>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</si>
  <si>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</si>
  <si>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</si>
  <si>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</si>
  <si>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</si>
  <si>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</si>
  <si>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</si>
  <si>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</si>
  <si>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</si>
  <si>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</si>
  <si>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</si>
  <si>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</si>
  <si>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</si>
  <si>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</si>
  <si>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</si>
  <si>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</si>
  <si>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</si>
  <si>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</si>
  <si>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</si>
  <si>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</si>
  <si>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</si>
  <si>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</si>
  <si>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</si>
  <si>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</si>
  <si>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</si>
  <si>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</si>
  <si>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</si>
  <si>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</si>
  <si>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</si>
  <si>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</si>
  <si>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</si>
  <si>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</si>
  <si>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</si>
  <si>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</si>
  <si>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</si>
  <si>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</si>
  <si>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</si>
  <si>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</si>
  <si>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</si>
  <si>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</si>
  <si>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</si>
  <si>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</si>
  <si>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</si>
  <si>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</si>
  <si>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</si>
  <si>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</si>
  <si>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</si>
  <si>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</si>
  <si>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</si>
  <si>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</si>
  <si>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</si>
  <si>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</si>
  <si>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</si>
  <si>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</si>
  <si>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</si>
  <si>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</si>
  <si>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</si>
  <si>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</si>
  <si>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</si>
  <si>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</si>
  <si>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</si>
  <si>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</si>
  <si>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</si>
  <si>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</si>
  <si>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</si>
  <si>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</si>
  <si>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</si>
  <si>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</si>
  <si>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</si>
  <si>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</si>
  <si>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</si>
  <si>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</si>
  <si>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</si>
  <si>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</si>
  <si>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</si>
  <si>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</si>
  <si>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</si>
  <si>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</si>
  <si>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</si>
  <si>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</si>
  <si>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</si>
  <si>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</si>
  <si>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</si>
  <si>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</si>
  <si>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</si>
  <si>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</si>
  <si>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</si>
  <si>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</si>
  <si>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</si>
  <si>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</si>
  <si>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</si>
  <si>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</si>
  <si>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</si>
  <si>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</si>
  <si>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</si>
  <si>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</si>
  <si>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</si>
  <si>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</si>
  <si>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</si>
  <si>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</si>
  <si>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</si>
  <si>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</si>
  <si>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</si>
  <si>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</si>
  <si>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</si>
  <si>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</si>
  <si>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</si>
  <si>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</si>
  <si>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</si>
  <si>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</si>
  <si>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</si>
  <si>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</si>
  <si>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</si>
  <si>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</si>
  <si>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</si>
  <si>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</si>
  <si>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</si>
  <si>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</si>
  <si>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</si>
  <si>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</si>
  <si>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</si>
  <si>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</si>
  <si>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</si>
  <si>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</si>
  <si>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</si>
  <si>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</si>
  <si>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</si>
  <si>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</si>
  <si>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</si>
  <si>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</si>
  <si>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</si>
  <si>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</si>
  <si>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</si>
  <si>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</si>
  <si>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</si>
  <si>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</si>
  <si>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</si>
  <si>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</si>
  <si>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</si>
  <si>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</si>
  <si>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</si>
  <si>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</si>
  <si>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</si>
  <si>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</si>
  <si>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</si>
  <si>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</si>
  <si>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</si>
  <si>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</si>
  <si>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</si>
  <si>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</si>
  <si>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</si>
  <si>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</si>
  <si>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</si>
  <si>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</si>
  <si>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</si>
  <si>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</si>
  <si>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</si>
  <si>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</si>
  <si>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</si>
  <si>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</si>
  <si>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</si>
  <si>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</si>
  <si>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</si>
  <si>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</si>
  <si>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</si>
  <si>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</si>
  <si>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</si>
  <si>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</si>
  <si>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</si>
  <si>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</si>
  <si>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</si>
  <si>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</si>
  <si>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</si>
  <si>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</si>
  <si>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</si>
  <si>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</si>
  <si>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</si>
  <si>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</si>
  <si>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</si>
  <si>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</si>
  <si>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</si>
  <si>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</si>
  <si>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</si>
  <si>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</si>
  <si>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</si>
  <si>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</si>
  <si>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</si>
  <si>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</si>
  <si>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</si>
  <si>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</si>
  <si>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</si>
  <si>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</si>
  <si>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</si>
  <si>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</si>
  <si>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</si>
  <si>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</si>
  <si>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</si>
  <si>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</si>
  <si>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</si>
  <si>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</si>
  <si>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</si>
  <si>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</si>
  <si>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</si>
  <si>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</si>
  <si>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</si>
  <si>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</si>
  <si>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</si>
  <si>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</si>
  <si>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</si>
  <si>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</si>
  <si>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</si>
  <si>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</si>
  <si>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</si>
  <si>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</si>
  <si>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</si>
  <si>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</si>
  <si>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</si>
  <si>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</si>
  <si>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</si>
  <si>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</si>
  <si>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</si>
  <si>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</si>
  <si>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</si>
  <si>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</si>
  <si>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</si>
  <si>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</si>
  <si>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</si>
  <si>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</si>
  <si>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</si>
  <si>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</si>
  <si>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</si>
  <si>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</si>
  <si>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</si>
  <si>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</si>
  <si>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</si>
  <si>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</si>
  <si>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</si>
  <si>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</si>
  <si>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</si>
  <si>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</si>
  <si>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</si>
  <si>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</si>
  <si>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</si>
  <si>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</si>
  <si>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</si>
  <si>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</si>
  <si>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</si>
  <si>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</si>
  <si>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</si>
  <si>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</si>
  <si>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</si>
  <si>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</si>
  <si>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</si>
  <si>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</si>
  <si>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</si>
  <si>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</si>
  <si>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</si>
  <si>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</si>
  <si>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</si>
  <si>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</si>
  <si>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</si>
  <si>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</si>
  <si>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</si>
  <si>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</si>
  <si>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</si>
  <si>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</si>
  <si>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</si>
  <si>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</si>
  <si>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</si>
  <si>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</si>
  <si>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</si>
  <si>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</si>
  <si>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</si>
  <si>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</si>
  <si>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</si>
  <si>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</si>
  <si>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</si>
  <si>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</si>
  <si>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</si>
  <si>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</si>
  <si>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</si>
  <si>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</si>
  <si>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</si>
  <si>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</si>
  <si>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</si>
  <si>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</si>
  <si>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</si>
  <si>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</si>
  <si>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</si>
  <si>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</si>
  <si>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</si>
  <si>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</si>
  <si>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</si>
  <si>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</si>
  <si>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</si>
  <si>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</si>
  <si>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</si>
  <si>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</si>
  <si>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</si>
  <si>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</si>
  <si>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</si>
  <si>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</si>
  <si>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</si>
  <si>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</si>
  <si>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</si>
  <si>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</si>
  <si>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</si>
  <si>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</si>
  <si>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</si>
  <si>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</si>
  <si>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</si>
  <si>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</si>
  <si>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</si>
  <si>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</si>
  <si>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</si>
  <si>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</si>
  <si>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</si>
  <si>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</si>
  <si>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</si>
  <si>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</si>
  <si>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</si>
  <si>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</si>
  <si>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</si>
  <si>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</si>
  <si>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</si>
  <si>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</si>
  <si>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</si>
  <si>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</si>
  <si>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</si>
  <si>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</si>
  <si>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</si>
  <si>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</si>
  <si>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</si>
  <si>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</si>
  <si>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</si>
  <si>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</si>
  <si>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</si>
  <si>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</si>
  <si>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</si>
  <si>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</si>
  <si>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</si>
  <si>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</si>
  <si>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</si>
  <si>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</si>
  <si>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</si>
  <si>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</si>
  <si>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</si>
  <si>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</si>
  <si>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</si>
  <si>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</si>
  <si>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</si>
  <si>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</si>
  <si>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</si>
  <si>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</si>
  <si>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</si>
  <si>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</si>
  <si>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</si>
  <si>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</si>
  <si>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</si>
  <si>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</si>
  <si>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</si>
  <si>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</si>
  <si>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</si>
  <si>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</si>
  <si>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</si>
  <si>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</si>
  <si>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</si>
  <si>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</si>
  <si>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</si>
  <si>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</si>
  <si>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</si>
  <si>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</si>
  <si>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</si>
  <si>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</si>
  <si>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</si>
  <si>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</si>
  <si>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</si>
  <si>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</si>
  <si>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</si>
  <si>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</si>
  <si>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</si>
  <si>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</si>
  <si>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</si>
  <si>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</si>
  <si>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</si>
  <si>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</si>
  <si>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</si>
  <si>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</si>
  <si>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</si>
  <si>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</si>
  <si>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</si>
  <si>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</si>
  <si>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</si>
  <si>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</si>
  <si>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</si>
  <si>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</si>
  <si>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</si>
  <si>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</si>
  <si>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</si>
  <si>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</si>
  <si>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</si>
  <si>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</si>
  <si>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</si>
  <si>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</si>
  <si>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</si>
  <si>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</si>
  <si>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</si>
  <si>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</si>
  <si>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</si>
  <si>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</si>
  <si>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</si>
  <si>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</si>
  <si>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</si>
  <si>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</si>
  <si>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</si>
  <si>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</si>
  <si>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</si>
  <si>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</si>
  <si>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</si>
  <si>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</si>
  <si>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</si>
  <si>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</si>
  <si>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</si>
  <si>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</si>
  <si>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</si>
  <si>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</si>
  <si>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</si>
  <si>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</si>
  <si>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</si>
  <si>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</si>
  <si>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</si>
  <si>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</si>
  <si>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</si>
  <si>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</si>
  <si>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</si>
  <si>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</si>
  <si>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</si>
  <si>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</si>
  <si>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</si>
  <si>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</si>
  <si>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</si>
  <si>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</si>
  <si>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</si>
  <si>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</si>
  <si>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</si>
  <si>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</si>
  <si>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</si>
  <si>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</si>
  <si>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</si>
  <si>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</si>
  <si>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</si>
  <si>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</si>
  <si>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</si>
  <si>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</si>
  <si>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</si>
  <si>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</si>
  <si>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</si>
  <si>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</si>
  <si>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</si>
  <si>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</si>
  <si>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</si>
  <si>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</si>
  <si>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</si>
  <si>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</si>
  <si>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</si>
  <si>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</si>
  <si>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</si>
  <si>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</si>
  <si>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</si>
  <si>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</si>
  <si>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</si>
  <si>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</si>
  <si>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</si>
  <si>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</si>
  <si>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</si>
  <si>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</si>
  <si>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</si>
  <si>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</si>
  <si>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</si>
  <si>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</si>
  <si>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</si>
  <si>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</si>
  <si>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</si>
  <si>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</si>
  <si>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</si>
  <si>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</si>
  <si>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</si>
  <si>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</si>
  <si>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</si>
  <si>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</si>
  <si>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</si>
  <si>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</si>
  <si>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</si>
  <si>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</si>
  <si>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</si>
  <si>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</si>
  <si>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</si>
  <si>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</si>
  <si>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</si>
  <si>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</si>
  <si>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</si>
  <si>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</si>
  <si>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</si>
  <si>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</si>
  <si>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</si>
  <si>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</si>
  <si>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</si>
  <si>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</si>
  <si>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</si>
  <si>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</si>
  <si>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</si>
  <si>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</si>
  <si>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</si>
  <si>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</si>
  <si>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</si>
  <si>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</si>
  <si>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</si>
  <si>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</si>
  <si>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</si>
  <si>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</si>
  <si>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</si>
  <si>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</si>
  <si>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</si>
  <si>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</si>
  <si>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</si>
  <si>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</si>
  <si>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</si>
  <si>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</si>
  <si>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</si>
  <si>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</si>
  <si>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</si>
  <si>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</si>
  <si>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</si>
  <si>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</si>
  <si>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</si>
  <si>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</si>
  <si>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</si>
  <si>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</si>
  <si>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</si>
  <si>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</si>
  <si>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</si>
  <si>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</si>
  <si>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</si>
  <si>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</si>
  <si>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</si>
  <si>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</si>
  <si>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</si>
  <si>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</si>
  <si>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</si>
  <si>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</si>
  <si>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</si>
  <si>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</si>
  <si>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</si>
  <si>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</si>
  <si>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</si>
  <si>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</si>
  <si>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</si>
  <si>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</si>
  <si>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</si>
  <si>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</si>
  <si>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</si>
  <si>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</si>
  <si>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</si>
  <si>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</si>
  <si>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</si>
  <si>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</si>
  <si>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</si>
  <si>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</si>
  <si>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</si>
  <si>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</si>
  <si>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</si>
  <si>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</si>
  <si>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</si>
  <si>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</si>
  <si>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</si>
  <si>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</si>
  <si>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</si>
  <si>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</si>
  <si>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</si>
  <si>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</si>
  <si>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</si>
  <si>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</si>
  <si>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</si>
  <si>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</si>
  <si>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</si>
  <si>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</si>
  <si>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</si>
  <si>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</si>
  <si>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</si>
  <si>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</si>
  <si>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</si>
  <si>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</si>
  <si>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</si>
  <si>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</si>
  <si>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</si>
  <si>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</si>
  <si>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</si>
  <si>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</si>
  <si>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</si>
  <si>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</si>
  <si>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</si>
  <si>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</si>
  <si>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</si>
  <si>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</si>
  <si>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</si>
  <si>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</si>
  <si>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</si>
  <si>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</si>
  <si>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</si>
  <si>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</si>
  <si>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</si>
  <si>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</si>
  <si>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</si>
  <si>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</si>
  <si>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</si>
  <si>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</si>
  <si>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</si>
  <si>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</si>
  <si>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</si>
  <si>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</si>
  <si>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</si>
  <si>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</si>
  <si>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</si>
  <si>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</si>
  <si>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</si>
  <si>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</si>
  <si>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</si>
  <si>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</si>
  <si>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</si>
  <si>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</si>
  <si>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</si>
  <si>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</si>
  <si>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</si>
  <si>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</si>
  <si>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</si>
  <si>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</si>
  <si>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</si>
  <si>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</si>
  <si>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</si>
  <si>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</si>
  <si>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</si>
  <si>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</si>
  <si>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</si>
  <si>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</si>
  <si>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</si>
  <si>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</si>
  <si>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</si>
  <si>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</si>
  <si>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</si>
  <si>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</si>
  <si>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</si>
  <si>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</si>
  <si>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</si>
  <si>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</si>
  <si>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</si>
  <si>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</si>
  <si>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</si>
  <si>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</si>
  <si>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</si>
  <si>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</si>
  <si>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</si>
  <si>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</si>
  <si>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</si>
  <si>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</si>
  <si>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</si>
  <si>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</si>
  <si>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</si>
  <si>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</si>
  <si>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</si>
  <si>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</si>
  <si>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</si>
  <si>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</si>
  <si>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</si>
  <si>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</si>
  <si>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</si>
  <si>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</si>
  <si>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</si>
  <si>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</si>
  <si>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</si>
  <si>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</si>
  <si>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</si>
  <si>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</si>
  <si>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</si>
  <si>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</si>
  <si>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</si>
  <si>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</si>
  <si>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</si>
  <si>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</si>
  <si>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</si>
  <si>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</si>
  <si>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</si>
  <si>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</si>
  <si>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</si>
  <si>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</si>
  <si>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</si>
  <si>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</si>
  <si>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</si>
  <si>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</si>
  <si>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</si>
  <si>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</si>
  <si>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</si>
  <si>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</si>
  <si>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</si>
  <si>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</si>
  <si>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</si>
  <si>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</si>
  <si>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</si>
  <si>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</si>
  <si>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</si>
  <si>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</si>
  <si>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</si>
  <si>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</si>
  <si>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</si>
  <si>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</si>
  <si>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</si>
  <si>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</si>
  <si>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</si>
  <si>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</si>
  <si>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</si>
  <si>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</si>
  <si>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</si>
  <si>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</si>
  <si>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</si>
  <si>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</si>
  <si>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</si>
  <si>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</si>
  <si>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</si>
  <si>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</si>
  <si>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</si>
  <si>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</si>
  <si>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</si>
  <si>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</si>
  <si>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</si>
  <si>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</si>
  <si>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</si>
  <si>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</si>
  <si>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</si>
  <si>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</si>
  <si>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</si>
  <si>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</si>
  <si>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</si>
  <si>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</si>
  <si>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</si>
  <si>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</si>
  <si>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</si>
  <si>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</si>
  <si>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</si>
  <si>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</si>
  <si>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</si>
  <si>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</si>
  <si>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</si>
  <si>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</si>
  <si>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</si>
  <si>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</si>
  <si>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</si>
  <si>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</si>
  <si>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</si>
  <si>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</si>
  <si>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</si>
  <si>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</si>
  <si>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</si>
  <si>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</si>
  <si>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</si>
  <si>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</si>
  <si>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</si>
  <si>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</si>
  <si>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</si>
  <si>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</si>
  <si>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</si>
  <si>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</si>
  <si>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</si>
  <si>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</si>
  <si>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</si>
  <si>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</si>
  <si>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</si>
  <si>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</si>
  <si>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</si>
  <si>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</si>
  <si>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</si>
  <si>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</si>
  <si>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</si>
  <si>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</si>
  <si>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</si>
  <si>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</si>
  <si>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</si>
  <si>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</si>
  <si>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</si>
  <si>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</si>
  <si>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</si>
  <si>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</si>
  <si>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</si>
  <si>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</si>
  <si>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</si>
  <si>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</si>
  <si>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</si>
  <si>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</si>
  <si>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</si>
  <si>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</si>
  <si>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</si>
  <si>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</si>
  <si>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</si>
  <si>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</si>
  <si>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</si>
  <si>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</si>
  <si>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</si>
  <si>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</si>
  <si>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</si>
  <si>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</si>
  <si>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</si>
  <si>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</si>
  <si>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</si>
  <si>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</si>
  <si>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</si>
  <si>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</si>
  <si>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</si>
  <si>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</si>
  <si>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</si>
  <si>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</si>
  <si>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</si>
  <si>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</si>
  <si>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</si>
  <si>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</si>
  <si>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</si>
  <si>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</si>
  <si>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</si>
  <si>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</si>
  <si>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</si>
  <si>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</si>
  <si>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</si>
  <si>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</si>
  <si>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</si>
  <si>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</si>
  <si>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</si>
  <si>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</si>
  <si>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</si>
  <si>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</si>
  <si>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</si>
  <si>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</si>
  <si>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</si>
  <si>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</si>
  <si>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</si>
  <si>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</si>
  <si>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</si>
  <si>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</si>
  <si>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</si>
  <si>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</si>
  <si>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</si>
  <si>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</si>
  <si>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</si>
  <si>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</si>
  <si>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</si>
  <si>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</si>
  <si>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</si>
  <si>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</si>
  <si>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</si>
  <si>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</si>
  <si>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</si>
  <si>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</si>
  <si>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</si>
  <si>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</si>
  <si>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</si>
  <si>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</si>
  <si>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</si>
  <si>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</si>
  <si>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</si>
  <si>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</si>
  <si>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</si>
  <si>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</si>
  <si>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</si>
  <si>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</si>
  <si>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</si>
  <si>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</si>
  <si>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</si>
  <si>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</si>
  <si>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</si>
  <si>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</si>
  <si>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</si>
  <si>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</si>
  <si>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</si>
  <si>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</si>
  <si>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</si>
  <si>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</si>
  <si>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</si>
  <si>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</si>
  <si>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</si>
  <si>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</si>
  <si>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</si>
  <si>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</si>
  <si>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</si>
  <si>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</si>
  <si>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</si>
  <si>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</si>
  <si>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</si>
  <si>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</si>
  <si>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</si>
  <si>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</si>
  <si>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</si>
  <si>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</si>
  <si>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</si>
  <si>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</si>
  <si>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</si>
  <si>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</si>
  <si>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</si>
  <si>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</si>
  <si>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</si>
  <si>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</si>
  <si>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</si>
  <si>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</si>
  <si>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</si>
  <si>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</si>
  <si>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</si>
  <si>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</si>
  <si>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</si>
  <si>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</si>
  <si>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</si>
  <si>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</si>
  <si>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</si>
  <si>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</si>
  <si>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</si>
  <si>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</si>
  <si>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</si>
  <si>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</si>
  <si>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</si>
  <si>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</si>
  <si>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</si>
  <si>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</si>
  <si>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</si>
  <si>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</si>
  <si>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</si>
  <si>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</si>
  <si>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</si>
  <si>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</si>
  <si>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</si>
  <si>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</si>
  <si>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</si>
  <si>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</si>
  <si>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</si>
  <si>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</si>
  <si>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</si>
  <si>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</si>
  <si>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</si>
  <si>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</si>
  <si>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</si>
  <si>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</si>
  <si>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</si>
  <si>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</si>
  <si>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</si>
  <si>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</si>
  <si>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</si>
  <si>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</si>
  <si>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</si>
  <si>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</si>
  <si>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</si>
  <si>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</si>
  <si>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</si>
  <si>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</si>
  <si>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</si>
  <si>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</si>
  <si>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</si>
  <si>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</si>
  <si>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</si>
  <si>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</si>
  <si>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</si>
  <si>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</si>
  <si>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</si>
  <si>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</si>
  <si>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</si>
  <si>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</si>
  <si>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</si>
  <si>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</si>
  <si>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</si>
  <si>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</si>
  <si>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</si>
  <si>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</si>
  <si>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</si>
  <si>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</si>
  <si>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</si>
  <si>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</si>
  <si>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</si>
  <si>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</si>
  <si>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</si>
  <si>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</si>
  <si>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</si>
  <si>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</si>
  <si>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</si>
  <si>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</si>
  <si>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</si>
  <si>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</si>
  <si>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</si>
  <si>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</si>
  <si>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</si>
  <si>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</si>
  <si>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</si>
  <si>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</si>
  <si>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</si>
  <si>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</si>
  <si>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</si>
  <si>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</si>
  <si>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</si>
  <si>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</si>
  <si>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</si>
  <si>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</si>
  <si>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</si>
  <si>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</si>
  <si>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</si>
  <si>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</si>
  <si>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</si>
  <si>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</si>
  <si>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</si>
  <si>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</si>
  <si>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</si>
  <si>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</si>
  <si>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</si>
  <si>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</si>
  <si>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</si>
  <si>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</si>
  <si>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</si>
  <si>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</si>
  <si>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</si>
  <si>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</si>
  <si>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</si>
  <si>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</si>
  <si>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</si>
  <si>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</si>
  <si>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</si>
  <si>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</si>
  <si>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</si>
  <si>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</si>
  <si>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</si>
  <si>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</si>
  <si>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</si>
  <si>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</si>
  <si>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</si>
  <si>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</si>
  <si>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</si>
  <si>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</si>
  <si>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</si>
  <si>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</si>
  <si>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</si>
  <si>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</si>
  <si>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</si>
  <si>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</si>
  <si>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</si>
  <si>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</si>
  <si>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</si>
  <si>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</si>
  <si>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</si>
  <si>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</si>
  <si>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</si>
  <si>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</si>
  <si>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</si>
  <si>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</si>
  <si>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</si>
  <si>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</si>
  <si>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</si>
  <si>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</si>
  <si>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</si>
  <si>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</si>
  <si>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</si>
  <si>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</si>
  <si>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</si>
  <si>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</si>
  <si>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</si>
  <si>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</si>
  <si>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</si>
  <si>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</si>
  <si>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</si>
  <si>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</si>
  <si>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</si>
  <si>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</si>
  <si>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</si>
  <si>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</si>
  <si>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</si>
  <si>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</si>
  <si>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</si>
  <si>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</si>
  <si>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</si>
  <si>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</si>
  <si>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</si>
  <si>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</si>
  <si>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</si>
  <si>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</si>
  <si>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</si>
  <si>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</si>
  <si>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</si>
  <si>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</si>
  <si>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</si>
  <si>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</si>
  <si>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</si>
  <si>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</si>
  <si>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</si>
  <si>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</si>
  <si>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</si>
  <si>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</si>
  <si>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</si>
  <si>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</si>
  <si>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</si>
  <si>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</si>
  <si>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</si>
  <si>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</si>
  <si>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</si>
  <si>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</si>
  <si>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</si>
  <si>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</si>
  <si>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</si>
  <si>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</si>
  <si>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</si>
  <si>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</si>
  <si>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</si>
  <si>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</si>
  <si>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</si>
  <si>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</si>
  <si>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</si>
  <si>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</si>
  <si>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</si>
  <si>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</si>
  <si>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</si>
  <si>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</si>
  <si>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</si>
  <si>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</si>
  <si>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</si>
  <si>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</si>
  <si>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</si>
  <si>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</si>
  <si>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</si>
  <si>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</si>
  <si>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</si>
  <si>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</si>
  <si>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</si>
  <si>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</si>
  <si>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</si>
  <si>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</si>
  <si>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</si>
  <si>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</si>
  <si>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</si>
  <si>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</si>
  <si>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</si>
  <si>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</si>
  <si>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</si>
  <si>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</si>
  <si>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</si>
  <si>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</si>
  <si>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</si>
  <si>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</si>
  <si>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</si>
  <si>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</si>
  <si>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</si>
  <si>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</si>
  <si>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</si>
  <si>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</si>
  <si>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</si>
  <si>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</si>
  <si>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</si>
  <si>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</si>
  <si>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</si>
  <si>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</si>
  <si>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</si>
  <si>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</si>
  <si>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</si>
  <si>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</si>
  <si>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</si>
  <si>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</si>
  <si>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</si>
  <si>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</si>
  <si>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</si>
  <si>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</si>
  <si>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</si>
  <si>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</si>
  <si>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</si>
  <si>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</si>
  <si>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</si>
  <si>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</si>
  <si>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</si>
  <si>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</si>
  <si>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</si>
  <si>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</si>
  <si>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</si>
  <si>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</si>
  <si>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</si>
  <si>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</si>
  <si>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</si>
  <si>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</si>
  <si>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</si>
  <si>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</si>
  <si>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</si>
  <si>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</si>
  <si>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</si>
  <si>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</si>
  <si>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</si>
  <si>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</si>
  <si>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</si>
  <si>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</si>
  <si>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</si>
  <si>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</si>
  <si>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</si>
  <si>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</si>
  <si>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</si>
  <si>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</si>
  <si>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</si>
  <si>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</si>
  <si>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</si>
  <si>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</si>
  <si>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</si>
  <si>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</si>
  <si>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</si>
  <si>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</si>
  <si>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</si>
  <si>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</si>
  <si>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</si>
  <si>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</si>
  <si>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</si>
  <si>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</si>
  <si>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</si>
  <si>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</si>
  <si>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</si>
  <si>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</si>
  <si>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</si>
  <si>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</si>
  <si>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</si>
  <si>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</si>
  <si>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</si>
  <si>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</si>
  <si>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</si>
  <si>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</si>
  <si>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</si>
  <si>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</si>
  <si>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</si>
  <si>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</si>
  <si>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</si>
  <si>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</si>
  <si>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</si>
  <si>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</si>
  <si>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</si>
  <si>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</si>
  <si>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</si>
  <si>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</si>
  <si>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</si>
  <si>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</si>
  <si>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</si>
  <si>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</si>
  <si>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</si>
  <si>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</si>
  <si>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</si>
  <si>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</si>
  <si>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</si>
  <si>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</si>
  <si>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</si>
  <si>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</si>
  <si>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</si>
  <si>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</si>
  <si>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</si>
  <si>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</si>
  <si>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</si>
  <si>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</si>
  <si>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</si>
  <si>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</si>
  <si>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</si>
  <si>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</si>
  <si>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</si>
  <si>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</si>
  <si>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</si>
  <si>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</si>
  <si>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</si>
  <si>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</si>
  <si>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</si>
  <si>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</si>
  <si>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</si>
  <si>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</si>
  <si>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</si>
  <si>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</si>
  <si>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</si>
  <si>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</si>
  <si>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</si>
  <si>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</si>
  <si>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</si>
  <si>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</si>
  <si>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</si>
  <si>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</si>
  <si>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</si>
  <si>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</si>
  <si>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</si>
  <si>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</si>
  <si>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</si>
  <si>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</si>
  <si>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</si>
  <si>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</si>
  <si>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</si>
  <si>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</si>
  <si>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</si>
  <si>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</si>
  <si>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</si>
  <si>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</si>
  <si>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</si>
  <si>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</si>
  <si>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</si>
  <si>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</si>
  <si>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</si>
  <si>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</si>
  <si>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</si>
  <si>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</si>
  <si>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</si>
  <si>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</si>
  <si>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</si>
  <si>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</si>
  <si>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</si>
  <si>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</si>
  <si>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</si>
  <si>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</si>
  <si>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</si>
  <si>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</si>
  <si>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</si>
  <si>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</si>
  <si>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</si>
  <si>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</si>
  <si>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</si>
  <si>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</si>
  <si>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</si>
  <si>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</si>
  <si>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</si>
  <si>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</si>
  <si>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</si>
  <si>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</si>
  <si>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</si>
  <si>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</si>
  <si>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</si>
  <si>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</si>
  <si>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</si>
  <si>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</si>
  <si>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</si>
  <si>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</si>
  <si>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</si>
  <si>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</si>
  <si>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</si>
  <si>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</si>
  <si>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</si>
  <si>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</si>
  <si>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</si>
  <si>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</si>
  <si>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</si>
  <si>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</si>
  <si>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</si>
  <si>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</si>
  <si>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</si>
  <si>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</si>
  <si>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</si>
  <si>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</si>
  <si>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</si>
  <si>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</si>
  <si>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</si>
  <si>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</si>
  <si>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</si>
  <si>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</si>
  <si>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</si>
  <si>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</si>
  <si>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</si>
  <si>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</si>
  <si>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</si>
  <si>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</si>
  <si>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</si>
  <si>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</si>
  <si>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</si>
  <si>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</si>
  <si>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</si>
  <si>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</si>
  <si>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</si>
  <si>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</si>
  <si>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</si>
  <si>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</si>
  <si>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</si>
  <si>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</si>
  <si>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</si>
  <si>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</si>
  <si>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</si>
  <si>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</si>
  <si>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</si>
  <si>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</si>
  <si>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</si>
  <si>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</si>
  <si>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</si>
  <si>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</si>
  <si>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</si>
  <si>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</si>
  <si>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</si>
  <si>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</si>
  <si>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</si>
  <si>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</si>
  <si>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</si>
  <si>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</si>
  <si>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</si>
  <si>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</si>
  <si>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</si>
  <si>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</si>
  <si>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</si>
  <si>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</si>
  <si>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</si>
  <si>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</si>
  <si>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</si>
  <si>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</si>
  <si>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</si>
  <si>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</si>
  <si>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</si>
  <si>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</si>
  <si>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</si>
  <si>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</si>
  <si>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</si>
  <si>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</si>
  <si>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</si>
  <si>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</si>
  <si>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</si>
  <si>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</si>
  <si>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</si>
  <si>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</si>
  <si>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</si>
  <si>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</si>
  <si>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</si>
  <si>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</si>
  <si>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</si>
  <si>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</si>
  <si>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</si>
  <si>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</si>
  <si>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</si>
  <si>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</si>
  <si>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</si>
  <si>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</si>
  <si>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</si>
  <si>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</si>
  <si>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</si>
  <si>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</si>
  <si>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</si>
  <si>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</si>
  <si>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</si>
  <si>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</si>
  <si>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</si>
  <si>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</si>
  <si>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</si>
  <si>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</si>
  <si>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</si>
  <si>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</si>
  <si>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</si>
  <si>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</si>
  <si>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</si>
  <si>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</si>
  <si>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</si>
  <si>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</si>
  <si>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</si>
  <si>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</si>
  <si>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</si>
  <si>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</si>
  <si>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</si>
  <si>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</si>
  <si>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</si>
  <si>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</si>
  <si>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</si>
  <si>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</si>
  <si>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</si>
  <si>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</si>
  <si>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</si>
  <si>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</si>
  <si>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</si>
  <si>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</si>
  <si>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</si>
  <si>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</si>
  <si>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</si>
  <si>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</si>
  <si>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</si>
  <si>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</si>
  <si>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</si>
  <si>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</si>
  <si>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</si>
  <si>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</si>
  <si>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</si>
  <si>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</si>
  <si>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</si>
  <si>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</si>
  <si>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</si>
  <si>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</si>
  <si>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</si>
  <si>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</si>
  <si>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</si>
  <si>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</si>
  <si>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</si>
  <si>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</si>
  <si>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</si>
  <si>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</si>
  <si>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</si>
  <si>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</si>
  <si>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</si>
  <si>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</si>
  <si>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</si>
  <si>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</si>
  <si>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</si>
  <si>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</si>
  <si>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</si>
  <si>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</si>
  <si>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</si>
  <si>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</si>
  <si>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</si>
  <si>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</si>
  <si>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</si>
  <si>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</si>
  <si>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</si>
  <si>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</si>
  <si>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</si>
  <si>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</si>
  <si>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</si>
  <si>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</si>
  <si>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</si>
  <si>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</si>
  <si>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</si>
  <si>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</si>
  <si>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</si>
  <si>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</si>
  <si>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</si>
  <si>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</si>
  <si>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</si>
  <si>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</si>
  <si>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</si>
  <si>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</si>
  <si>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</si>
  <si>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</si>
  <si>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</si>
  <si>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</si>
  <si>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</si>
  <si>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</si>
  <si>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</si>
  <si>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</si>
  <si>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</si>
  <si>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</si>
  <si>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</si>
  <si>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</si>
  <si>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</si>
  <si>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</si>
  <si>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</si>
  <si>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</si>
  <si>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</si>
  <si>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</si>
  <si>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</si>
  <si>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</si>
  <si>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</si>
  <si>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</si>
  <si>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</si>
  <si>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</si>
  <si>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</si>
  <si>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</si>
  <si>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</si>
  <si>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</si>
  <si>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</si>
  <si>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</si>
  <si>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</si>
  <si>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</si>
  <si>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</si>
  <si>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</si>
  <si>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</si>
  <si>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</si>
  <si>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</si>
  <si>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</si>
  <si>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</si>
  <si>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</si>
  <si>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</si>
  <si>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</si>
  <si>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</si>
  <si>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</si>
  <si>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</si>
  <si>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</si>
  <si>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</si>
  <si>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</si>
  <si>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</si>
  <si>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</si>
  <si>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</si>
  <si>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</si>
  <si>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</si>
  <si>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</si>
  <si>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</si>
  <si>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</si>
  <si>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</si>
  <si>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</si>
  <si>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</si>
  <si>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</si>
  <si>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</si>
  <si>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</si>
  <si>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</si>
  <si>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</si>
  <si>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</si>
  <si>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</si>
  <si>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</si>
  <si>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</si>
  <si>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</si>
  <si>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</si>
  <si>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</si>
  <si>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</si>
  <si>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</si>
  <si>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</si>
  <si>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</si>
  <si>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</si>
  <si>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</si>
  <si>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</si>
  <si>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</si>
  <si>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</si>
  <si>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</si>
  <si>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</si>
  <si>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</si>
  <si>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</si>
  <si>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</si>
  <si>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</si>
  <si>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</si>
  <si>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</si>
  <si>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</si>
  <si>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</si>
  <si>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</si>
  <si>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</si>
  <si>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</si>
  <si>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</si>
  <si>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</si>
  <si>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</si>
  <si>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</si>
  <si>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</si>
  <si>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</si>
  <si>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</si>
  <si>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</si>
  <si>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</si>
  <si>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</si>
  <si>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</si>
  <si>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</si>
  <si>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</si>
  <si>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</si>
  <si>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</si>
  <si>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</si>
  <si>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</si>
  <si>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</si>
  <si>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</si>
  <si>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</si>
  <si>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</si>
  <si>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</si>
  <si>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</si>
  <si>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</si>
  <si>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</si>
  <si>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</si>
  <si>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</si>
  <si>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</si>
  <si>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</si>
  <si>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</si>
  <si>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</si>
  <si>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</si>
  <si>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</si>
  <si>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</si>
  <si>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</si>
  <si>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</si>
  <si>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</si>
  <si>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</si>
  <si>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</si>
  <si>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</si>
  <si>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</si>
  <si>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</si>
  <si>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</si>
  <si>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</si>
  <si>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</si>
  <si>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</si>
  <si>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</si>
  <si>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</si>
  <si>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</si>
  <si>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</si>
  <si>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</si>
  <si>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</si>
  <si>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</si>
  <si>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</si>
  <si>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</si>
  <si>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</si>
  <si>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</si>
  <si>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</si>
  <si>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</si>
  <si>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</si>
  <si>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</si>
  <si>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</si>
  <si>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</si>
  <si>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</si>
  <si>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</si>
  <si>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</si>
  <si>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</si>
  <si>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</si>
  <si>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</si>
  <si>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</si>
  <si>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</si>
  <si>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</si>
  <si>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</si>
  <si>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</si>
  <si>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</si>
  <si>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</si>
  <si>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</si>
  <si>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</si>
  <si>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</si>
  <si>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</si>
  <si>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</si>
  <si>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</si>
  <si>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</si>
  <si>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</si>
  <si>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</si>
  <si>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</si>
  <si>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</si>
  <si>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</si>
  <si>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</si>
  <si>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</si>
  <si>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</si>
  <si>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</si>
  <si>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</si>
  <si>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</si>
  <si>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</si>
  <si>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</si>
  <si>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</si>
  <si>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</si>
  <si>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</si>
  <si>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</si>
  <si>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</si>
  <si>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</si>
  <si>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</si>
  <si>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</si>
  <si>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</si>
  <si>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</si>
  <si>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</si>
  <si>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</si>
  <si>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</si>
  <si>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</si>
  <si>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</si>
  <si>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</si>
  <si>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</si>
  <si>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</si>
  <si>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</si>
  <si>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</si>
  <si>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</si>
  <si>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</si>
  <si>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</si>
  <si>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</si>
  <si>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</si>
  <si>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</si>
  <si>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</si>
  <si>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</si>
  <si>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</si>
  <si>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</si>
  <si>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</si>
  <si>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</si>
  <si>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</si>
  <si>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</si>
  <si>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</si>
  <si>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</si>
  <si>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</si>
  <si>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</si>
  <si>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</si>
  <si>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</si>
  <si>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</si>
  <si>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</si>
  <si>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</si>
  <si>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</si>
  <si>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</si>
  <si>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</si>
  <si>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</si>
  <si>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</si>
  <si>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</si>
  <si>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</si>
  <si>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</si>
  <si>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</si>
  <si>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</si>
  <si>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</si>
  <si>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</si>
  <si>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</si>
  <si>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</si>
  <si>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</si>
  <si>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</si>
  <si>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</si>
  <si>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</si>
  <si>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</si>
  <si>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</si>
  <si>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</si>
  <si>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</si>
  <si>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</si>
  <si>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</si>
  <si>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</si>
  <si>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</si>
  <si>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</si>
  <si>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</si>
  <si>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</si>
  <si>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</si>
  <si>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</si>
  <si>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</si>
  <si>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</si>
  <si>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</si>
  <si>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</si>
  <si>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</si>
  <si>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</si>
  <si>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</si>
  <si>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</si>
  <si>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</si>
  <si>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</si>
  <si>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</si>
  <si>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</si>
  <si>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</si>
  <si>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</si>
  <si>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</si>
  <si>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</si>
  <si>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</si>
  <si>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</si>
  <si>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</si>
  <si>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</si>
  <si>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</si>
  <si>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</si>
  <si>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</si>
  <si>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</si>
  <si>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</si>
  <si>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</si>
  <si>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</si>
  <si>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</si>
  <si>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</si>
  <si>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</si>
  <si>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</si>
  <si>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</si>
  <si>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</si>
  <si>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</si>
  <si>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</si>
  <si>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</si>
  <si>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</si>
  <si>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</si>
  <si>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</si>
  <si>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</si>
  <si>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</si>
  <si>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</si>
  <si>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</si>
  <si>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</si>
  <si>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</si>
  <si>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</si>
  <si>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</si>
  <si>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</si>
  <si>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</si>
  <si>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</si>
  <si>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</si>
  <si>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</si>
  <si>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</si>
  <si>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</si>
  <si>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</si>
  <si>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</si>
  <si>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</si>
  <si>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</si>
  <si>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</si>
  <si>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</si>
  <si>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</si>
  <si>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</si>
  <si>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</si>
  <si>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</si>
  <si>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</si>
  <si>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</si>
  <si>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</si>
  <si>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</si>
  <si>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</si>
  <si>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</si>
  <si>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</si>
  <si>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</si>
  <si>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</si>
  <si>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</si>
  <si>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</si>
  <si>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</si>
  <si>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</si>
  <si>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</si>
  <si>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</si>
  <si>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</si>
  <si>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</si>
  <si>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</si>
  <si>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</si>
  <si>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</si>
  <si>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</si>
  <si>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</si>
  <si>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</si>
  <si>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</si>
  <si>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</si>
  <si>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</si>
  <si>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</si>
  <si>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</si>
  <si>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</si>
  <si>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</si>
  <si>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</si>
  <si>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</si>
  <si>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</si>
  <si>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</si>
  <si>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</si>
  <si>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</si>
  <si>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</si>
  <si>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</si>
  <si>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</si>
  <si>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</si>
  <si>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</si>
  <si>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</si>
  <si>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</si>
  <si>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</si>
  <si>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</si>
  <si>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</si>
  <si>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</si>
  <si>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</si>
  <si>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</si>
  <si>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</si>
  <si>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</si>
  <si>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</si>
  <si>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</si>
  <si>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</si>
  <si>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</si>
  <si>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</si>
  <si>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</si>
  <si>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</si>
  <si>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</si>
  <si>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</si>
  <si>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</si>
  <si>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</si>
  <si>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</si>
  <si>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</si>
  <si>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</si>
  <si>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</si>
  <si>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</si>
  <si>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</si>
  <si>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</si>
  <si>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</si>
  <si>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</si>
  <si>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</si>
  <si>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</si>
  <si>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</si>
  <si>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</si>
  <si>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</si>
  <si>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</si>
  <si>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</si>
  <si>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</si>
  <si>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</si>
  <si>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</si>
  <si>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</si>
  <si>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</si>
  <si>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</si>
  <si>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</si>
  <si>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</si>
  <si>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</si>
  <si>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</si>
  <si>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</si>
  <si>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</si>
  <si>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</si>
  <si>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</si>
  <si>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</si>
  <si>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</si>
  <si>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</si>
  <si>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</si>
  <si>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</si>
  <si>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</si>
  <si>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</si>
  <si>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</si>
  <si>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</si>
  <si>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</si>
  <si>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</si>
  <si>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</si>
  <si>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</si>
  <si>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</si>
  <si>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</si>
  <si>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</si>
  <si>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</si>
  <si>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</si>
  <si>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</si>
  <si>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</si>
  <si>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</si>
  <si>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</si>
  <si>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</si>
  <si>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</si>
  <si>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</si>
  <si>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</si>
  <si>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</si>
  <si>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</si>
  <si>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</si>
  <si>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</si>
  <si>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</si>
  <si>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</si>
  <si>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</si>
  <si>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</si>
  <si>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</si>
  <si>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</si>
  <si>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</si>
  <si>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</si>
  <si>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</si>
  <si>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</si>
  <si>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</si>
  <si>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</si>
  <si>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</si>
  <si>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</si>
  <si>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</si>
  <si>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</si>
  <si>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</si>
  <si>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</si>
  <si>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</si>
  <si>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</si>
  <si>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</si>
  <si>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</si>
  <si>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</si>
  <si>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</si>
  <si>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</si>
  <si>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</si>
  <si>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</si>
  <si>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</si>
  <si>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</si>
  <si>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</si>
  <si>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</si>
  <si>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</si>
  <si>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</si>
  <si>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</si>
  <si>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</si>
  <si>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</si>
  <si>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</si>
  <si>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</si>
  <si>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</si>
  <si>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</si>
  <si>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</si>
  <si>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</si>
  <si>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</si>
  <si>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</si>
  <si>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</si>
  <si>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</si>
  <si>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</si>
  <si>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</si>
  <si>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</si>
  <si>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</si>
  <si>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</si>
  <si>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</si>
  <si>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</si>
  <si>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</si>
  <si>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</si>
  <si>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</si>
  <si>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</si>
  <si>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</si>
  <si>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</si>
  <si>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</si>
  <si>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</si>
  <si>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</si>
  <si>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</si>
  <si>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</si>
  <si>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</si>
  <si>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</si>
  <si>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</si>
  <si>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</si>
  <si>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</si>
  <si>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</si>
  <si>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</si>
  <si>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</si>
  <si>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</si>
  <si>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</si>
  <si>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</si>
  <si>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</si>
  <si>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</si>
  <si>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</si>
  <si>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</si>
  <si>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</si>
  <si>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</si>
  <si>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</si>
  <si>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</si>
  <si>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</si>
  <si>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</si>
  <si>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</si>
  <si>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</si>
  <si>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</si>
  <si>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</si>
  <si>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</si>
  <si>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</si>
  <si>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</si>
  <si>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</si>
  <si>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</si>
  <si>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</si>
  <si>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</si>
  <si>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</si>
  <si>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</si>
  <si>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</si>
  <si>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</si>
  <si>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</si>
  <si>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</si>
  <si>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</si>
  <si>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</si>
  <si>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</si>
  <si>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</si>
  <si>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</si>
  <si>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</si>
  <si>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</si>
  <si>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</si>
  <si>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</si>
  <si>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</si>
  <si>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</si>
  <si>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</si>
  <si>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</si>
  <si>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</si>
  <si>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</si>
  <si>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</si>
  <si>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</si>
  <si>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</si>
  <si>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</si>
  <si>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无</t>
  </si>
  <si>
    <t>否</t>
  </si>
  <si>
    <t>通路</t>
  </si>
  <si>
    <t>通电</t>
  </si>
  <si>
    <t>通讯</t>
  </si>
  <si>
    <t>通上水</t>
  </si>
  <si>
    <t>通下水</t>
  </si>
  <si>
    <t>地上</t>
  </si>
  <si>
    <t>办公楼</t>
  </si>
  <si>
    <t>押一</t>
  </si>
  <si>
    <t>钢混</t>
  </si>
  <si>
    <t>收益法</t>
  </si>
  <si>
    <t>自定义容积率</t>
  </si>
  <si>
    <t>与级别开发程度一致</t>
  </si>
  <si>
    <t>一般</t>
  </si>
  <si>
    <t>较差</t>
  </si>
  <si>
    <t>较好</t>
  </si>
  <si>
    <t>未包含在土地购买价格中</t>
  </si>
  <si>
    <t>全部缴纳</t>
  </si>
  <si>
    <t>已包含在土地取得成本中</t>
  </si>
  <si>
    <t>成本法</t>
  </si>
  <si>
    <t>总价</t>
  </si>
  <si>
    <t>成本比率</t>
  </si>
  <si>
    <t>成新度</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</si>
  <si>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</si>
  <si>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</si>
  <si>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</si>
  <si>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</si>
  <si>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</si>
  <si>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</si>
  <si>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</si>
  <si>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</si>
  <si>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</si>
  <si>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</si>
  <si>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</si>
  <si>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</si>
  <si>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</si>
  <si>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</si>
  <si>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</si>
  <si>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</si>
  <si>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</si>
  <si>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</si>
  <si>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</si>
  <si>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</si>
  <si>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</si>
  <si>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</si>
  <si>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办公</t>
    <phoneticPr fontId="3" type="noConversion"/>
  </si>
  <si>
    <t>办公其他</t>
    <phoneticPr fontId="3" type="noConversion"/>
  </si>
  <si>
    <t>现房</t>
  </si>
  <si>
    <t>办公项目</t>
  </si>
  <si>
    <t>非生产用房</t>
  </si>
  <si>
    <t>售价</t>
  </si>
  <si>
    <t>正常</t>
  </si>
  <si>
    <t>办公</t>
    <phoneticPr fontId="31" type="noConversion"/>
  </si>
  <si>
    <t>七通</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</si>
  <si>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</si>
  <si>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</si>
  <si>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</si>
  <si>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</si>
  <si>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</si>
  <si>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</si>
  <si>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</si>
  <si>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</si>
  <si>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塔楼</t>
    <phoneticPr fontId="3" type="noConversion"/>
  </si>
  <si>
    <t>钢混</t>
    <phoneticPr fontId="3" type="noConversion"/>
  </si>
  <si>
    <t>精装</t>
    <phoneticPr fontId="3" type="noConversion"/>
  </si>
  <si>
    <t>甲</t>
    <phoneticPr fontId="3" type="noConversion"/>
  </si>
  <si>
    <t>专业</t>
    <phoneticPr fontId="3" type="noConversion"/>
  </si>
  <si>
    <t>六通</t>
  </si>
  <si>
    <t>五通</t>
  </si>
  <si>
    <t>四通</t>
  </si>
  <si>
    <t>三通</t>
  </si>
  <si>
    <t>精装</t>
    <phoneticPr fontId="3" type="noConversion"/>
  </si>
  <si>
    <t>简装</t>
    <phoneticPr fontId="3" type="noConversion"/>
  </si>
  <si>
    <t>毛坯</t>
    <phoneticPr fontId="3" type="noConversion"/>
  </si>
  <si>
    <t>支路</t>
  </si>
  <si>
    <t>低区</t>
  </si>
  <si>
    <t>塔楼</t>
  </si>
  <si>
    <t>精装</t>
  </si>
  <si>
    <t>甲</t>
  </si>
  <si>
    <t>专业</t>
  </si>
  <si>
    <t>中区</t>
  </si>
  <si>
    <t>高区</t>
  </si>
  <si>
    <t>比较法-办公</t>
  </si>
  <si>
    <t>报价</t>
  </si>
  <si>
    <t>报价</t>
    <phoneticPr fontId="31" type="noConversion"/>
  </si>
  <si>
    <t>丹棱SOHO</t>
    <phoneticPr fontId="3" type="noConversion"/>
  </si>
  <si>
    <t>立方庭大厦</t>
    <phoneticPr fontId="3" type="noConversion"/>
  </si>
  <si>
    <t>项目模式</t>
  </si>
  <si>
    <t>大恒科技大厦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</si>
</sst>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47" fillId="3" borderId="3" xfId="0" applyNumberFormat="1" applyFont="1" applyFill="1" applyBorder="1" applyProtection="1">
      <alignment vertical="center"/>
      <protection locked="0"/>
    </xf>
    <xf numFmtId="183" fontId="61" fillId="0" borderId="1" xfId="0" applyNumberFormat="1" applyFont="1" applyFill="1" applyBorder="1" applyAlignment="1" applyProtection="1">
      <alignment horizontal="center" vertical="center" shrinkToFi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65553</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80953" cy="1638095"/>
        </a:xfrm>
        <a:prstGeom prst="rect">
          <a:avLst/>
        </a:prstGeom>
      </xdr:spPr>
    </xdr:pic>
    <xdr:clientData/>
  </xdr:twoCellAnchor>
  <xdr:twoCellAnchor editAs="oneCell">
    <xdr:from>
      <xdr:col>0</xdr:col>
      <xdr:colOff>0</xdr:colOff>
      <xdr:row>10</xdr:row>
      <xdr:rowOff>0</xdr:rowOff>
    </xdr:from>
    <xdr:to>
      <xdr:col>12</xdr:col>
      <xdr:colOff>560877</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790477" cy="1771429"/>
        </a:xfrm>
        <a:prstGeom prst="rect">
          <a:avLst/>
        </a:prstGeom>
      </xdr:spPr>
    </xdr:pic>
    <xdr:clientData/>
  </xdr:twoCellAnchor>
  <xdr:twoCellAnchor editAs="oneCell">
    <xdr:from>
      <xdr:col>0</xdr:col>
      <xdr:colOff>0</xdr:colOff>
      <xdr:row>22</xdr:row>
      <xdr:rowOff>0</xdr:rowOff>
    </xdr:from>
    <xdr:to>
      <xdr:col>13</xdr:col>
      <xdr:colOff>46505</xdr:colOff>
      <xdr:row>31</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8961905" cy="1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745;&#31639;&#34920;-&#26032;&#19996;&#26041;&#21335;&#27004;-2022-&#29579;&#32043;&#290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办公"/>
      <sheetName val="收益法-车库"/>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5">
          <cell r="I5">
            <v>24865.040000000005</v>
          </cell>
        </row>
      </sheetData>
      <sheetData sheetId="12"/>
      <sheetData sheetId="13">
        <row r="19">
          <cell r="F19">
            <v>1506.52</v>
          </cell>
        </row>
      </sheetData>
      <sheetData sheetId="14">
        <row r="6">
          <cell r="N6">
            <v>0.77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估价对象为北京市房地产，为所有。根据《国有土地使用证》[]，估价对象（分摊）出让国有建设用地使用权面积为1899.7平方米，建筑面积为24865.04平方米。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估价对象为北京市房地产,属开发建设的办公项目，该项目尚在开发建设中。根据《国有土地使用证》[]，估价对象（分摊）出让国有建设用地使用权面积为1899.7平方米，规划建筑面积为24865.04平方米。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2023年8月23日（评估专业人员实地查勘之日）</v>
      </c>
    </row>
    <row r="13" spans="1:2" s="1200" customFormat="1">
      <c r="A13" s="1198" t="s">
        <v>529</v>
      </c>
      <c r="B13" s="1199" t="str">
        <f>'预评函-1'!A18</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6954</v>
      </c>
    </row>
    <row r="21" spans="1:2" s="1200" customFormat="1">
      <c r="A21" s="1198" t="s">
        <v>537</v>
      </c>
      <c r="B21" s="1199">
        <f ca="1">'预评函-2'!D7</f>
        <v>2797</v>
      </c>
    </row>
    <row r="22" spans="1:2" s="1200" customFormat="1">
      <c r="A22" s="1198" t="s">
        <v>538</v>
      </c>
      <c r="B22" s="1199" t="str">
        <f ca="1">'预评函-2'!D6</f>
        <v>陆仟玖佰伍拾肆万元整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6954</v>
      </c>
    </row>
    <row r="31" spans="1:2" s="1200" customFormat="1">
      <c r="A31" s="1198" t="s">
        <v>576</v>
      </c>
      <c r="B31" s="1199">
        <f ca="1">'预评函-2'!D15</f>
        <v>2797</v>
      </c>
    </row>
    <row r="32" spans="1:2" s="1200" customFormat="1">
      <c r="A32" s="1198" t="s">
        <v>543</v>
      </c>
      <c r="B32" s="1199" t="str">
        <f ca="1">'预评函-2'!D14</f>
        <v>陆仟玖佰伍拾肆万元整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24865.040000000005</v>
      </c>
    </row>
    <row r="44" spans="1:2" s="1200" customFormat="1">
      <c r="A44" s="1198" t="s">
        <v>575</v>
      </c>
      <c r="B44" s="1199" t="str">
        <f>'预评函-3'!C2</f>
        <v>(分摊)土地面积</v>
      </c>
    </row>
    <row r="45" spans="1:2" s="1200" customFormat="1">
      <c r="A45" s="1198" t="s">
        <v>547</v>
      </c>
      <c r="B45" s="1199">
        <f>'预评函-3'!C4</f>
        <v>1899.7</v>
      </c>
    </row>
    <row r="46" spans="1:2" s="1200" customFormat="1">
      <c r="A46" s="1198" t="s">
        <v>573</v>
      </c>
      <c r="B46" s="1199" t="str">
        <f>'预评函-3'!D2</f>
        <v>出让国有建设用地使用权价值</v>
      </c>
    </row>
    <row r="47" spans="1:2" s="1200" customFormat="1">
      <c r="A47" s="1198" t="s">
        <v>548</v>
      </c>
      <c r="B47" s="1199" t="e">
        <f ca="1">'预评函-3'!D4</f>
        <v>#DIV/0!</v>
      </c>
    </row>
    <row r="48" spans="1:2" s="1200" customFormat="1">
      <c r="A48" s="1198" t="s">
        <v>549</v>
      </c>
      <c r="B48" s="1199" t="e">
        <f ca="1">'预评函-3'!E4</f>
        <v>#DIV/0!</v>
      </c>
    </row>
    <row r="49" spans="1:2" s="1200" customFormat="1">
      <c r="A49" s="1198" t="s">
        <v>550</v>
      </c>
      <c r="B49" s="1199" t="e">
        <f ca="1">'预评函-3'!D5</f>
        <v>#DIV/0!</v>
      </c>
    </row>
    <row r="50" spans="1:2" s="1200" customFormat="1">
      <c r="A50" s="1198" t="s">
        <v>574</v>
      </c>
      <c r="B50" s="1199" t="str">
        <f>'预评函-3'!F2</f>
        <v>在建建筑物价值</v>
      </c>
    </row>
    <row r="51" spans="1:2" s="1200" customFormat="1">
      <c r="A51" s="1198" t="s">
        <v>551</v>
      </c>
      <c r="B51" s="1199" t="e">
        <f ca="1">'预评函-3'!F4</f>
        <v>#DIV/0!</v>
      </c>
    </row>
    <row r="52" spans="1:2" s="1200" customFormat="1">
      <c r="A52" s="1198" t="s">
        <v>552</v>
      </c>
      <c r="B52" s="1199" t="e">
        <f ca="1">'预评函-3'!G4</f>
        <v>#DIV/0!</v>
      </c>
    </row>
    <row r="53" spans="1:2" s="1200" customFormat="1">
      <c r="A53" s="1198" t="s">
        <v>580</v>
      </c>
      <c r="B53" s="1199" t="e">
        <f ca="1">'预评函-3'!F5</f>
        <v>#DIV/0!</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487"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1" t="s">
        <v>385</v>
      </c>
      <c r="C54" s="1548" t="s">
        <v>583</v>
      </c>
    </row>
    <row r="55" spans="1:4">
      <c r="A55" s="3487"/>
      <c r="B55" s="1551" t="s">
        <v>386</v>
      </c>
      <c r="C55" s="1548" t="s">
        <v>584</v>
      </c>
    </row>
    <row r="56" spans="1:4">
      <c r="A56" s="3487"/>
      <c r="B56" s="1551" t="s">
        <v>387</v>
      </c>
      <c r="C56" s="1548" t="s">
        <v>588</v>
      </c>
    </row>
    <row r="57" spans="1:4">
      <c r="A57" s="3487"/>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88" t="s">
        <v>2579</v>
      </c>
      <c r="J2" s="3488"/>
      <c r="K2" s="3488"/>
      <c r="L2" s="3488"/>
      <c r="M2" s="3488"/>
      <c r="N2" s="3488"/>
      <c r="O2" s="3488"/>
      <c r="P2" s="3488"/>
      <c r="Q2" s="3488"/>
      <c r="R2" s="3488"/>
    </row>
    <row r="3" spans="1:18">
      <c r="A3" s="3017" t="s">
        <v>2500</v>
      </c>
      <c r="B3" s="3018">
        <f>项目基本情况!D3</f>
        <v>45161</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3.32</v>
      </c>
      <c r="D5" s="3022">
        <f>IF(ISERROR(ROUND(POWER(1+E5,A5-C5)*(POWER(1+E5,C5)-1)/(POWER(1+E5,A5)-1),3)),0,ROUND(POWER(1+E5,A5-C5)*(POWER(1+E5,C5)-1)/(POWER(1+E5,A5)-1),4))</f>
        <v>0.1542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13.33</v>
      </c>
      <c r="D6" s="3022">
        <f>IF(ISERROR(ROUND(POWER(1+E6,A6-C6)*(POWER(1+E6,C6)-1)/(POWER(1+E6,A6)-1),3)),0,ROUND(POWER(1+E6,A6-C6)*(POWER(1+E6,C6)-1)/(POWER(1+E6,A6)-1),4))</f>
        <v>0.4738</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33.340000000000003</v>
      </c>
      <c r="D7" s="3022">
        <f>IF(ISERROR(ROUND(POWER(1+E7,A7-C7)*(POWER(1+E7,C7)-1)/(POWER(1+E7,A7)-1),3)),0,ROUND(POWER(1+E7,A7-C7)*(POWER(1+E7,C7)-1)/(POWER(1+E7,A7)-1),4))</f>
        <v>0.77959999999999996</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Normal="100" zoomScaleSheetLayoutView="100" workbookViewId="0">
      <selection activeCell="G28" sqref="G2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45161</v>
      </c>
      <c r="C3" s="2371" t="s">
        <v>2170</v>
      </c>
      <c r="D3" s="2370">
        <f>B3</f>
        <v>45161</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3375</v>
      </c>
      <c r="C8" s="2387"/>
      <c r="D8" s="3492" t="s">
        <v>2176</v>
      </c>
      <c r="E8" s="2388" t="s">
        <v>3376</v>
      </c>
      <c r="F8" s="2389"/>
      <c r="G8" s="2660"/>
      <c r="H8" s="2660"/>
      <c r="I8" s="2660"/>
      <c r="J8" s="2436"/>
      <c r="K8" s="2611"/>
      <c r="L8" s="2610"/>
      <c r="M8" s="2610"/>
      <c r="N8" s="2436"/>
      <c r="O8" s="2447"/>
      <c r="P8" s="2436"/>
      <c r="Q8" s="2436"/>
      <c r="R8" s="2436"/>
    </row>
    <row r="9" spans="1:30" ht="13.5" thickBot="1">
      <c r="A9" s="2390" t="s">
        <v>2177</v>
      </c>
      <c r="B9" s="2391" t="s">
        <v>3376</v>
      </c>
      <c r="C9" s="2392"/>
      <c r="D9" s="3493"/>
      <c r="E9" s="2391"/>
      <c r="F9" s="2393"/>
      <c r="G9" s="2662"/>
      <c r="H9" s="2662"/>
      <c r="I9" s="2662"/>
      <c r="J9" s="2436"/>
      <c r="K9" s="2613"/>
      <c r="L9" s="2610"/>
      <c r="M9" s="2610"/>
      <c r="N9" s="2436"/>
      <c r="O9" s="2447"/>
      <c r="P9" s="2436"/>
      <c r="Q9" s="2436"/>
      <c r="R9" s="2436"/>
    </row>
    <row r="10" spans="1:30" ht="13.5" thickTop="1">
      <c r="A10" s="2394" t="s">
        <v>2178</v>
      </c>
      <c r="B10" s="2395" t="s">
        <v>3377</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3378</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2575</v>
      </c>
      <c r="J12" s="3059"/>
      <c r="K12" s="2610"/>
      <c r="L12" s="2610"/>
      <c r="M12" s="2436"/>
      <c r="N12" s="2447"/>
      <c r="O12" s="2436"/>
      <c r="P12" s="2436"/>
      <c r="Q12" s="2436"/>
      <c r="AD12" s="1742"/>
    </row>
    <row r="13" spans="1:30" ht="15">
      <c r="A13" s="3420" t="s">
        <v>3333</v>
      </c>
      <c r="B13" s="2404" t="s">
        <v>2189</v>
      </c>
      <c r="C13" s="854"/>
      <c r="D13" s="854"/>
      <c r="E13" s="3791">
        <v>55285</v>
      </c>
      <c r="F13" s="3791">
        <v>55285</v>
      </c>
      <c r="G13" s="854"/>
      <c r="H13" s="854"/>
      <c r="I13" s="854"/>
      <c r="J13" s="3059"/>
      <c r="K13" s="2610"/>
      <c r="L13" s="2610"/>
      <c r="M13" s="2436"/>
      <c r="N13" s="2447"/>
      <c r="O13" s="2436"/>
      <c r="P13" s="2436"/>
      <c r="Q13" s="2436"/>
      <c r="AD13" s="1742"/>
    </row>
    <row r="14" spans="1:30">
      <c r="A14" s="1078"/>
      <c r="B14" s="2404" t="s">
        <v>2190</v>
      </c>
      <c r="C14" s="2405"/>
      <c r="D14" s="2405"/>
      <c r="E14" s="2405">
        <v>50</v>
      </c>
      <c r="F14" s="2405">
        <v>50</v>
      </c>
      <c r="G14" s="2405"/>
      <c r="H14" s="2405"/>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f>IF(A13="出让",IF(E13="","",ROUNDDOWN(MIN((E13-$D$3)/365,E14),2)),E14)</f>
        <v>27.73</v>
      </c>
      <c r="F15" s="2407">
        <f>IF(A13="出让",IF(F13="","",ROUNDDOWN(MIN((F13-$D$3)/365,F14),2)),F14)</f>
        <v>27.73</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499"/>
      <c r="C16" s="3500"/>
      <c r="D16" s="3501"/>
      <c r="E16" s="2410" t="s">
        <v>2193</v>
      </c>
      <c r="F16" s="3502"/>
      <c r="G16" s="3503"/>
      <c r="H16" s="3503"/>
      <c r="I16" s="3504"/>
      <c r="J16" s="2436"/>
      <c r="K16" s="2614"/>
      <c r="L16" s="2448"/>
      <c r="M16" s="2448"/>
      <c r="N16" s="2506"/>
      <c r="O16" s="2448"/>
      <c r="P16" s="2506"/>
      <c r="Q16" s="2436"/>
      <c r="R16" s="2436"/>
    </row>
    <row r="17" spans="1:28">
      <c r="A17" s="313" t="s">
        <v>2194</v>
      </c>
      <c r="B17" s="302" t="s">
        <v>2195</v>
      </c>
      <c r="C17" s="8">
        <f>'数据-汇总表'!E3</f>
        <v>24865.040000000005</v>
      </c>
      <c r="D17" s="2319" t="s">
        <v>2196</v>
      </c>
      <c r="E17" s="3505" t="s">
        <v>2197</v>
      </c>
      <c r="F17" s="3506"/>
      <c r="G17" s="3506"/>
      <c r="H17" s="3506"/>
      <c r="I17" s="3507"/>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1899.7</v>
      </c>
      <c r="D18" s="1089" t="s">
        <v>2200</v>
      </c>
      <c r="E18" s="3508" t="s">
        <v>2201</v>
      </c>
      <c r="F18" s="3509"/>
      <c r="G18" s="3509"/>
      <c r="H18" s="3509"/>
      <c r="I18" s="3510"/>
      <c r="J18" s="2436"/>
      <c r="K18" s="2615"/>
      <c r="L18" s="2448"/>
      <c r="M18" s="2448"/>
      <c r="N18" s="2506"/>
      <c r="O18" s="2448"/>
      <c r="P18" s="2506"/>
      <c r="Q18" s="2436"/>
      <c r="R18" s="2436"/>
      <c r="S18" s="2436"/>
      <c r="T18" s="2436"/>
      <c r="U18" s="2436"/>
      <c r="V18" s="2436"/>
    </row>
    <row r="19" spans="1:28" ht="37.5" thickTop="1" thickBot="1">
      <c r="A19" s="327" t="s">
        <v>1055</v>
      </c>
      <c r="B19" s="307" t="s">
        <v>2202</v>
      </c>
      <c r="C19" s="1560" t="s">
        <v>3379</v>
      </c>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495" t="s">
        <v>2205</v>
      </c>
      <c r="C20" s="3496"/>
      <c r="D20" s="3497" t="s">
        <v>2206</v>
      </c>
      <c r="E20" s="3498"/>
      <c r="F20" s="2644" t="s">
        <v>1056</v>
      </c>
      <c r="G20" s="2661"/>
      <c r="H20" s="2661"/>
      <c r="I20" s="2661"/>
      <c r="J20" s="2436"/>
      <c r="K20" s="349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49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49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2" t="s">
        <v>2213</v>
      </c>
      <c r="B27" s="320" t="s">
        <v>2214</v>
      </c>
      <c r="C27" s="2413" t="s">
        <v>3429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2"/>
      <c r="B28" s="302" t="s">
        <v>2215</v>
      </c>
      <c r="C28" s="2415" t="s">
        <v>3380</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2"/>
      <c r="B29" s="302" t="s">
        <v>2216</v>
      </c>
      <c r="C29" s="2417" t="s">
        <v>3381</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3"/>
      <c r="B30" s="302" t="s">
        <v>2217</v>
      </c>
      <c r="C30" s="3514"/>
      <c r="D30" s="3515"/>
      <c r="E30" s="2661"/>
      <c r="F30" s="2661"/>
      <c r="G30" s="2661"/>
      <c r="H30" s="2661"/>
      <c r="I30" s="2661"/>
      <c r="J30" s="2436"/>
      <c r="K30" s="2613"/>
      <c r="L30" s="2610"/>
      <c r="M30" s="2610"/>
      <c r="N30" s="2436"/>
      <c r="O30" s="2447"/>
      <c r="P30" s="2436"/>
      <c r="Q30" s="2436"/>
      <c r="R30" s="2436"/>
      <c r="S30" s="2436"/>
      <c r="T30" s="2436"/>
      <c r="U30" s="2436"/>
      <c r="V30" s="2436"/>
    </row>
    <row r="31" spans="1:28">
      <c r="A31" s="3516" t="s">
        <v>2218</v>
      </c>
      <c r="B31" s="2419" t="s">
        <v>3428</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17"/>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17"/>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t="s">
        <v>3382</v>
      </c>
      <c r="C34" s="2023" t="s">
        <v>3383</v>
      </c>
      <c r="D34" s="2023" t="s">
        <v>3384</v>
      </c>
      <c r="E34" s="2023" t="s">
        <v>3385</v>
      </c>
      <c r="F34" s="2023" t="s">
        <v>3386</v>
      </c>
      <c r="G34" s="2023"/>
      <c r="H34" s="2023"/>
      <c r="I34" s="2661"/>
      <c r="J34" s="2436"/>
      <c r="K34" s="2424">
        <f>COUNTIF(B34:H34,"——")</f>
        <v>0</v>
      </c>
      <c r="L34" s="323" t="s">
        <v>2220</v>
      </c>
      <c r="M34" s="323" t="s">
        <v>2221</v>
      </c>
      <c r="N34" s="323" t="s">
        <v>2222</v>
      </c>
      <c r="O34" s="323" t="s">
        <v>2223</v>
      </c>
      <c r="P34" s="323" t="s">
        <v>2224</v>
      </c>
      <c r="Q34" s="323" t="s">
        <v>2225</v>
      </c>
      <c r="R34" s="323" t="s">
        <v>2226</v>
      </c>
      <c r="S34" s="3511" t="s">
        <v>2227</v>
      </c>
      <c r="T34" s="2425" t="str">
        <f>NUMBERSTRING(7-K34,1)&amp;"通"</f>
        <v>七通</v>
      </c>
      <c r="U34" s="2436"/>
      <c r="V34" s="2436"/>
    </row>
    <row r="35" spans="1:30">
      <c r="A35" s="2426"/>
      <c r="B35" s="3518" t="s">
        <v>2228</v>
      </c>
      <c r="C35" s="3518"/>
      <c r="D35" s="3518"/>
      <c r="E35" s="3518"/>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1"/>
      <c r="T35" s="329" t="str">
        <f>IF(T34="一通",L35,IF(T34="二通",M35,IF(T34="三通",N35,IF(T34="四通",O35,IF(T34="五通",P35,IF(T34="六通",Q35,R35))))))</f>
        <v>通路、通电、通讯、通上水、通下水、、</v>
      </c>
      <c r="U35" s="2436"/>
      <c r="V35" s="2436"/>
    </row>
    <row r="36" spans="1:30">
      <c r="A36" s="2427"/>
      <c r="B36" s="662" t="s">
        <v>2184</v>
      </c>
      <c r="C36" s="662" t="s">
        <v>2185</v>
      </c>
      <c r="D36" s="662" t="s">
        <v>2183</v>
      </c>
      <c r="E36" s="662" t="s">
        <v>2188</v>
      </c>
      <c r="F36" s="3062" t="s">
        <v>2578</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24" sqref="D24:D41"/>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2729.06</v>
      </c>
      <c r="B3" s="11">
        <f>IF(C3="否",G5-AT5,G5)</f>
        <v>35720.530000000006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35720.530000000006</v>
      </c>
      <c r="H5" s="13">
        <f t="shared" ref="H5:AT5" si="0">SUM(H13:H656)</f>
        <v>34365.160000000003</v>
      </c>
      <c r="I5" s="13">
        <f t="shared" si="0"/>
        <v>24865.040000000005</v>
      </c>
      <c r="J5" s="13">
        <f t="shared" si="0"/>
        <v>0</v>
      </c>
      <c r="K5" s="13">
        <f t="shared" si="0"/>
        <v>2476.71</v>
      </c>
      <c r="L5" s="13">
        <f t="shared" si="0"/>
        <v>0</v>
      </c>
      <c r="M5" s="13">
        <f t="shared" si="0"/>
        <v>7023.41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1355.37</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1355.37</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24865.040000000005</v>
      </c>
      <c r="BA5" s="15">
        <f t="shared" si="1"/>
        <v>24865.040000000005</v>
      </c>
      <c r="BB5" s="15">
        <f t="shared" si="1"/>
        <v>24865.040000000005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2729.0600000000004</v>
      </c>
      <c r="F6" s="13" t="s">
        <v>0</v>
      </c>
      <c r="G6" s="13" t="s">
        <v>1</v>
      </c>
      <c r="H6" s="17">
        <f>SUMIF(I$12:AB$12,"总值",I6:AB6)</f>
        <v>2625.51</v>
      </c>
      <c r="I6" s="13">
        <f t="shared" ref="I6:AB6" si="2">ROUND($A$3*I5/$B$3,2)</f>
        <v>1899.7</v>
      </c>
      <c r="J6" s="13">
        <f t="shared" si="2"/>
        <v>0</v>
      </c>
      <c r="K6" s="13">
        <f t="shared" si="2"/>
        <v>189.22</v>
      </c>
      <c r="L6" s="13">
        <f t="shared" si="2"/>
        <v>0</v>
      </c>
      <c r="M6" s="13">
        <f t="shared" si="2"/>
        <v>536.59</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103.55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103.55</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1899.7</v>
      </c>
      <c r="AZ6" s="13" t="s">
        <v>2</v>
      </c>
      <c r="BA6" s="13">
        <f>ROUND($AY$6*BA5/$AZ$5,2)</f>
        <v>1899.7</v>
      </c>
      <c r="BB6" s="13">
        <f>ROUND($AY$6*BB5/$AZ$5,2)</f>
        <v>1899.7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3387</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0"/>
      <c r="L10" s="807"/>
      <c r="M10" s="1600"/>
      <c r="N10" s="807"/>
      <c r="O10" s="1600"/>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3388</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51">
      <c r="A13" s="1048"/>
      <c r="B13" s="1048" t="s">
        <v>3404</v>
      </c>
      <c r="C13" s="3788">
        <v>-401</v>
      </c>
      <c r="D13" s="1622" t="s">
        <v>3381</v>
      </c>
      <c r="E13" s="13">
        <f>IF($C$3="是",ROUND($A$3*G13/$B$3,2),ROUND($A$3*(G13-AT13)/$B$3,2))</f>
        <v>54.29</v>
      </c>
      <c r="F13" s="29"/>
      <c r="G13" s="30">
        <f>H13+AC13+AT13</f>
        <v>710.56</v>
      </c>
      <c r="H13" s="17">
        <f>SUMIF(I$12:AB$12,"总值",I13:AB13)</f>
        <v>710.56</v>
      </c>
      <c r="I13" s="3786"/>
      <c r="J13" s="3786"/>
      <c r="K13" s="3786">
        <v>710.56</v>
      </c>
      <c r="L13" s="3786"/>
      <c r="M13" s="3786"/>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t="str">
        <f t="shared" si="6"/>
        <v>京（2016）海淀区不动产权第0047728号</v>
      </c>
      <c r="AX13" s="8">
        <f t="shared" si="6"/>
        <v>-401</v>
      </c>
      <c r="AY13" s="1346">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788">
        <v>-402</v>
      </c>
      <c r="D14" s="1622" t="s">
        <v>3381</v>
      </c>
      <c r="E14" s="13">
        <f>IF($C$3="是",ROUND($A$3*G14/$B$3,2),ROUND($A$3*(G14-AT14)/$B$3,2))</f>
        <v>2.81</v>
      </c>
      <c r="F14" s="29"/>
      <c r="G14" s="30">
        <f>H14+AC14+AT14</f>
        <v>36.729999999999997</v>
      </c>
      <c r="H14" s="17">
        <f>SUMIF(I$12:AB$12,"总值",I14:AB14)</f>
        <v>36.729999999999997</v>
      </c>
      <c r="I14" s="3786"/>
      <c r="J14" s="3786"/>
      <c r="K14" s="3786">
        <v>36.729999999999997</v>
      </c>
      <c r="L14" s="3786"/>
      <c r="M14" s="3786"/>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-402</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51">
      <c r="A15" s="1048"/>
      <c r="B15" s="1048" t="s">
        <v>3405</v>
      </c>
      <c r="C15" s="3788">
        <v>-301</v>
      </c>
      <c r="D15" s="1622" t="s">
        <v>3381</v>
      </c>
      <c r="E15" s="13">
        <f>IF($C$3="是",ROUND($A$3*G15/$B$3,2),ROUND($A$3*(G15-AT15)/$B$3,2))</f>
        <v>418.14</v>
      </c>
      <c r="F15" s="29"/>
      <c r="G15" s="30">
        <f>H15+AC15+AT15</f>
        <v>5472.99</v>
      </c>
      <c r="H15" s="17">
        <f>SUMIF(I$12:AB$12,"总值",I15:AB15)</f>
        <v>5472.99</v>
      </c>
      <c r="I15" s="3786"/>
      <c r="J15" s="3786"/>
      <c r="K15" s="3786"/>
      <c r="L15" s="3786"/>
      <c r="M15" s="3786">
        <v>5472.99</v>
      </c>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t="str">
        <f t="shared" si="6"/>
        <v>京（2016）海淀区不动产权第0047727号</v>
      </c>
      <c r="AX15" s="8">
        <f t="shared" si="6"/>
        <v>-301</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788">
        <v>-302</v>
      </c>
      <c r="D16" s="1622" t="s">
        <v>3381</v>
      </c>
      <c r="E16" s="13">
        <f>IF($C$3="是",ROUND($A$3*G16/$B$3,2),ROUND($A$3*(G16-AT16)/$B$3,2))</f>
        <v>23.53</v>
      </c>
      <c r="F16" s="29"/>
      <c r="G16" s="30">
        <f>H16+AC16+AT16</f>
        <v>308.01</v>
      </c>
      <c r="H16" s="17">
        <f>SUMIF(I$12:AB$12,"总值",I16:AB16)</f>
        <v>308.01</v>
      </c>
      <c r="I16" s="3786"/>
      <c r="J16" s="3786"/>
      <c r="K16" s="3786">
        <v>308.01</v>
      </c>
      <c r="L16" s="3786"/>
      <c r="M16" s="3786"/>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-302</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3788">
        <v>-303</v>
      </c>
      <c r="D17" s="1622" t="s">
        <v>3381</v>
      </c>
      <c r="E17" s="13">
        <f>IF($C$3="是",ROUND($A$3*G17/$B$3,2),ROUND($A$3*(G17-AT17)/$B$3,2))</f>
        <v>2.12</v>
      </c>
      <c r="F17" s="29"/>
      <c r="G17" s="30">
        <f>H17+AC17+AT17</f>
        <v>27.7</v>
      </c>
      <c r="H17" s="17">
        <f>SUMIF(I$12:AB$12,"总值",I17:AB17)</f>
        <v>27.7</v>
      </c>
      <c r="I17" s="3786"/>
      <c r="J17" s="3786"/>
      <c r="K17" s="3786">
        <v>27.7</v>
      </c>
      <c r="L17" s="3786"/>
      <c r="M17" s="3786"/>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-303</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789">
        <v>-304</v>
      </c>
      <c r="D18" s="1622" t="s">
        <v>3381</v>
      </c>
      <c r="E18" s="32">
        <f t="shared" ref="E18:E112" si="7">IF($C$3="是",ROUND($A$3*G18/$B$3,2),ROUND($A$3*(G18-AT18)/$B$3,2))</f>
        <v>17.13</v>
      </c>
      <c r="F18" s="33"/>
      <c r="G18" s="34">
        <f t="shared" ref="G18:G109" si="8">H18+AC18+AT18</f>
        <v>224.18</v>
      </c>
      <c r="H18" s="35">
        <f t="shared" ref="H18:H109" si="9">SUMIF(I$12:AB$12,"总值",I18:AB18)</f>
        <v>224.18</v>
      </c>
      <c r="I18" s="3787"/>
      <c r="J18" s="3787"/>
      <c r="K18" s="3787">
        <v>224.18</v>
      </c>
      <c r="L18" s="3787"/>
      <c r="M18" s="3787"/>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-304</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71.25">
      <c r="A19" s="6"/>
      <c r="B19" s="31" t="s">
        <v>3406</v>
      </c>
      <c r="C19" s="3789">
        <v>-201</v>
      </c>
      <c r="D19" s="1622" t="s">
        <v>3381</v>
      </c>
      <c r="E19" s="32">
        <f t="shared" si="7"/>
        <v>87.36</v>
      </c>
      <c r="F19" s="33"/>
      <c r="G19" s="34">
        <f t="shared" si="8"/>
        <v>1143.42</v>
      </c>
      <c r="H19" s="35">
        <f t="shared" si="9"/>
        <v>1143.42</v>
      </c>
      <c r="I19" s="3787"/>
      <c r="J19" s="3787"/>
      <c r="K19" s="3787"/>
      <c r="L19" s="3787"/>
      <c r="M19" s="3787">
        <v>1143.42</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t="str">
        <f t="shared" si="12"/>
        <v>京（2016）海淀区不动产权第0047708号</v>
      </c>
      <c r="AX19" s="1340">
        <f t="shared" si="13"/>
        <v>-201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789">
        <v>-202</v>
      </c>
      <c r="D20" s="1622" t="s">
        <v>3381</v>
      </c>
      <c r="E20" s="32">
        <f t="shared" si="7"/>
        <v>74.069999999999993</v>
      </c>
      <c r="F20" s="33"/>
      <c r="G20" s="34">
        <f t="shared" si="8"/>
        <v>969.44</v>
      </c>
      <c r="H20" s="35">
        <f t="shared" si="9"/>
        <v>969.44</v>
      </c>
      <c r="I20" s="3787"/>
      <c r="J20" s="3787"/>
      <c r="K20" s="3787">
        <v>969.44</v>
      </c>
      <c r="L20" s="3787"/>
      <c r="M20" s="3787"/>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-202</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71.25">
      <c r="A21" s="6"/>
      <c r="B21" s="31" t="s">
        <v>3407</v>
      </c>
      <c r="C21" s="3789">
        <v>-101</v>
      </c>
      <c r="D21" s="1622" t="s">
        <v>3381</v>
      </c>
      <c r="E21" s="32">
        <f t="shared" si="7"/>
        <v>103.55</v>
      </c>
      <c r="F21" s="33"/>
      <c r="G21" s="34">
        <f t="shared" si="8"/>
        <v>1355.37</v>
      </c>
      <c r="H21" s="35">
        <f t="shared" si="9"/>
        <v>0</v>
      </c>
      <c r="I21" s="3787"/>
      <c r="J21" s="3787"/>
      <c r="K21" s="3787"/>
      <c r="L21" s="3787"/>
      <c r="M21" s="3787"/>
      <c r="N21" s="36"/>
      <c r="O21" s="36"/>
      <c r="P21" s="36"/>
      <c r="Q21" s="36"/>
      <c r="R21" s="36"/>
      <c r="S21" s="36"/>
      <c r="T21" s="36"/>
      <c r="U21" s="36"/>
      <c r="V21" s="36"/>
      <c r="W21" s="36"/>
      <c r="X21" s="36"/>
      <c r="Y21" s="36"/>
      <c r="Z21" s="36"/>
      <c r="AA21" s="36"/>
      <c r="AB21" s="36"/>
      <c r="AC21" s="32">
        <f t="shared" si="10"/>
        <v>1355.37</v>
      </c>
      <c r="AD21" s="37"/>
      <c r="AE21" s="37"/>
      <c r="AF21" s="37"/>
      <c r="AG21" s="37"/>
      <c r="AH21" s="37"/>
      <c r="AI21" s="37"/>
      <c r="AJ21" s="37"/>
      <c r="AK21" s="37"/>
      <c r="AL21" s="37">
        <v>1355.37</v>
      </c>
      <c r="AM21" s="37"/>
      <c r="AN21" s="37"/>
      <c r="AO21" s="37"/>
      <c r="AP21" s="37"/>
      <c r="AQ21" s="37"/>
      <c r="AR21" s="37"/>
      <c r="AS21" s="37"/>
      <c r="AT21" s="38"/>
      <c r="AU21" s="1628"/>
      <c r="AV21" s="1340">
        <f t="shared" si="11"/>
        <v>0</v>
      </c>
      <c r="AW21" s="1340" t="str">
        <f t="shared" si="12"/>
        <v>京（2016）海淀区不动产权第0047699号</v>
      </c>
      <c r="AX21" s="1340">
        <f t="shared" si="13"/>
        <v>-101</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789">
        <v>-102</v>
      </c>
      <c r="D22" s="1622" t="s">
        <v>3381</v>
      </c>
      <c r="E22" s="32">
        <f t="shared" si="7"/>
        <v>15.29</v>
      </c>
      <c r="F22" s="33"/>
      <c r="G22" s="34">
        <f t="shared" si="8"/>
        <v>200.09</v>
      </c>
      <c r="H22" s="35">
        <f t="shared" si="9"/>
        <v>200.09</v>
      </c>
      <c r="I22" s="3787"/>
      <c r="J22" s="3787"/>
      <c r="K22" s="3787">
        <v>200.09</v>
      </c>
      <c r="L22" s="3787"/>
      <c r="M22" s="3787"/>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-102</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789">
        <v>-103</v>
      </c>
      <c r="D23" s="1622" t="s">
        <v>3381</v>
      </c>
      <c r="E23" s="32">
        <f t="shared" si="7"/>
        <v>31.09</v>
      </c>
      <c r="F23" s="33"/>
      <c r="G23" s="34">
        <f t="shared" si="8"/>
        <v>407</v>
      </c>
      <c r="H23" s="35">
        <f t="shared" si="9"/>
        <v>407</v>
      </c>
      <c r="I23" s="3787"/>
      <c r="J23" s="3787"/>
      <c r="K23" s="3787"/>
      <c r="L23" s="3787"/>
      <c r="M23" s="3787">
        <v>407</v>
      </c>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-103</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71.25">
      <c r="A24" s="6"/>
      <c r="B24" s="31" t="s">
        <v>3408</v>
      </c>
      <c r="C24" s="3789">
        <v>101</v>
      </c>
      <c r="D24" s="1622" t="s">
        <v>3379</v>
      </c>
      <c r="E24" s="32">
        <f t="shared" si="7"/>
        <v>71.16</v>
      </c>
      <c r="F24" s="33"/>
      <c r="G24" s="34">
        <f t="shared" si="8"/>
        <v>931.44</v>
      </c>
      <c r="H24" s="35">
        <f t="shared" si="9"/>
        <v>931.44</v>
      </c>
      <c r="I24" s="3787">
        <v>931.44</v>
      </c>
      <c r="J24" s="3787"/>
      <c r="K24" s="3787"/>
      <c r="L24" s="3787"/>
      <c r="M24" s="3787"/>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t="str">
        <f t="shared" si="12"/>
        <v>京（2016）海淀区不动产证第0047731号</v>
      </c>
      <c r="AX24" s="1340">
        <f t="shared" si="13"/>
        <v>101</v>
      </c>
      <c r="AY24" s="39">
        <f t="shared" si="14"/>
        <v>71.16</v>
      </c>
      <c r="AZ24" s="32">
        <f t="shared" si="15"/>
        <v>931.44</v>
      </c>
      <c r="BA24" s="32">
        <f t="shared" si="16"/>
        <v>931.44</v>
      </c>
      <c r="BB24" s="32">
        <f t="shared" si="17"/>
        <v>931.44</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71.25">
      <c r="A25" s="6"/>
      <c r="B25" s="31" t="s">
        <v>3409</v>
      </c>
      <c r="C25" s="3789">
        <v>201</v>
      </c>
      <c r="D25" s="1622" t="s">
        <v>3379</v>
      </c>
      <c r="E25" s="32">
        <f t="shared" si="7"/>
        <v>72.650000000000006</v>
      </c>
      <c r="F25" s="33"/>
      <c r="G25" s="34">
        <f t="shared" si="8"/>
        <v>950.88</v>
      </c>
      <c r="H25" s="35">
        <f t="shared" si="9"/>
        <v>950.88</v>
      </c>
      <c r="I25" s="3787">
        <v>950.88</v>
      </c>
      <c r="J25" s="3787"/>
      <c r="K25" s="3787"/>
      <c r="L25" s="3787"/>
      <c r="M25" s="3787"/>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t="str">
        <f t="shared" si="12"/>
        <v>京（2016）海淀区不动产证第0047730号</v>
      </c>
      <c r="AX25" s="1340">
        <f t="shared" si="13"/>
        <v>201</v>
      </c>
      <c r="AY25" s="39">
        <f t="shared" si="14"/>
        <v>72.650000000000006</v>
      </c>
      <c r="AZ25" s="32">
        <f t="shared" si="15"/>
        <v>950.88</v>
      </c>
      <c r="BA25" s="32">
        <f t="shared" si="16"/>
        <v>950.88</v>
      </c>
      <c r="BB25" s="32">
        <f t="shared" si="17"/>
        <v>950.88</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71.25">
      <c r="A26" s="6"/>
      <c r="B26" s="31" t="s">
        <v>3410</v>
      </c>
      <c r="C26" s="3789">
        <v>301</v>
      </c>
      <c r="D26" s="1622" t="s">
        <v>3379</v>
      </c>
      <c r="E26" s="32">
        <f t="shared" si="7"/>
        <v>48.19</v>
      </c>
      <c r="F26" s="33"/>
      <c r="G26" s="34">
        <f t="shared" si="8"/>
        <v>630.82000000000005</v>
      </c>
      <c r="H26" s="35">
        <f t="shared" si="9"/>
        <v>630.82000000000005</v>
      </c>
      <c r="I26" s="3787">
        <v>630.82000000000005</v>
      </c>
      <c r="J26" s="3787"/>
      <c r="K26" s="3787"/>
      <c r="L26" s="3787"/>
      <c r="M26" s="3787"/>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t="str">
        <f t="shared" si="12"/>
        <v>京（2016）海淀区不动产证第0047732号</v>
      </c>
      <c r="AX26" s="1340">
        <f t="shared" si="13"/>
        <v>301</v>
      </c>
      <c r="AY26" s="39">
        <f t="shared" si="14"/>
        <v>48.19</v>
      </c>
      <c r="AZ26" s="32">
        <f t="shared" si="15"/>
        <v>630.82000000000005</v>
      </c>
      <c r="BA26" s="32">
        <f t="shared" si="16"/>
        <v>630.82000000000005</v>
      </c>
      <c r="BB26" s="32">
        <f t="shared" si="17"/>
        <v>630.82000000000005</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71.25">
      <c r="A27" s="6"/>
      <c r="B27" s="31" t="s">
        <v>3411</v>
      </c>
      <c r="C27" s="3789">
        <v>501</v>
      </c>
      <c r="D27" s="1622" t="s">
        <v>3379</v>
      </c>
      <c r="E27" s="32">
        <f t="shared" si="7"/>
        <v>115.1</v>
      </c>
      <c r="F27" s="33"/>
      <c r="G27" s="34">
        <f t="shared" si="8"/>
        <v>1506.52</v>
      </c>
      <c r="H27" s="35">
        <f t="shared" si="9"/>
        <v>1506.52</v>
      </c>
      <c r="I27" s="3787">
        <v>1506.52</v>
      </c>
      <c r="J27" s="3787"/>
      <c r="K27" s="3787"/>
      <c r="L27" s="3787"/>
      <c r="M27" s="3787"/>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t="str">
        <f t="shared" si="12"/>
        <v>京（2016）海淀区不动产证第0047747号</v>
      </c>
      <c r="AX27" s="1340">
        <f t="shared" si="13"/>
        <v>501</v>
      </c>
      <c r="AY27" s="39">
        <f t="shared" si="14"/>
        <v>115.1</v>
      </c>
      <c r="AZ27" s="32">
        <f t="shared" si="15"/>
        <v>1506.52</v>
      </c>
      <c r="BA27" s="32">
        <f t="shared" si="16"/>
        <v>1506.52</v>
      </c>
      <c r="BB27" s="32">
        <f t="shared" si="17"/>
        <v>1506.52</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71.25">
      <c r="A28" s="6"/>
      <c r="B28" s="31" t="s">
        <v>3412</v>
      </c>
      <c r="C28" s="3789">
        <v>601</v>
      </c>
      <c r="D28" s="1622" t="s">
        <v>3379</v>
      </c>
      <c r="E28" s="32">
        <f t="shared" si="7"/>
        <v>115.1</v>
      </c>
      <c r="F28" s="33"/>
      <c r="G28" s="34">
        <f t="shared" si="8"/>
        <v>1506.52</v>
      </c>
      <c r="H28" s="35">
        <f t="shared" si="9"/>
        <v>1506.52</v>
      </c>
      <c r="I28" s="3787">
        <v>1506.52</v>
      </c>
      <c r="J28" s="3787"/>
      <c r="K28" s="3787"/>
      <c r="L28" s="3787"/>
      <c r="M28" s="3787"/>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t="str">
        <f t="shared" si="12"/>
        <v>京（2016）海淀区不动产证第0047748号</v>
      </c>
      <c r="AX28" s="1340">
        <f t="shared" si="13"/>
        <v>601</v>
      </c>
      <c r="AY28" s="39">
        <f t="shared" si="14"/>
        <v>115.1</v>
      </c>
      <c r="AZ28" s="32">
        <f t="shared" si="15"/>
        <v>1506.52</v>
      </c>
      <c r="BA28" s="32">
        <f t="shared" si="16"/>
        <v>1506.52</v>
      </c>
      <c r="BB28" s="32">
        <f t="shared" si="17"/>
        <v>1506.52</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71.25">
      <c r="A29" s="6"/>
      <c r="B29" s="31" t="s">
        <v>3413</v>
      </c>
      <c r="C29" s="3789">
        <v>701</v>
      </c>
      <c r="D29" s="1622" t="s">
        <v>3379</v>
      </c>
      <c r="E29" s="32">
        <f t="shared" si="7"/>
        <v>115.1</v>
      </c>
      <c r="F29" s="33"/>
      <c r="G29" s="34">
        <f t="shared" si="8"/>
        <v>1506.52</v>
      </c>
      <c r="H29" s="35">
        <f t="shared" si="9"/>
        <v>1506.52</v>
      </c>
      <c r="I29" s="3787">
        <v>1506.52</v>
      </c>
      <c r="J29" s="3787"/>
      <c r="K29" s="3787"/>
      <c r="L29" s="3787"/>
      <c r="M29" s="3787"/>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t="str">
        <f t="shared" si="12"/>
        <v>京（2016）海淀区不动产证第0047768号</v>
      </c>
      <c r="AX29" s="1340">
        <f t="shared" si="13"/>
        <v>701</v>
      </c>
      <c r="AY29" s="39">
        <f t="shared" si="14"/>
        <v>115.1</v>
      </c>
      <c r="AZ29" s="32">
        <f t="shared" si="15"/>
        <v>1506.52</v>
      </c>
      <c r="BA29" s="32">
        <f t="shared" si="16"/>
        <v>1506.52</v>
      </c>
      <c r="BB29" s="32">
        <f t="shared" si="17"/>
        <v>1506.52</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71.25">
      <c r="A30" s="6"/>
      <c r="B30" s="31" t="s">
        <v>3414</v>
      </c>
      <c r="C30" s="3789">
        <v>801</v>
      </c>
      <c r="D30" s="1622" t="s">
        <v>3379</v>
      </c>
      <c r="E30" s="32">
        <f t="shared" si="7"/>
        <v>115.1</v>
      </c>
      <c r="F30" s="33"/>
      <c r="G30" s="34">
        <f t="shared" si="8"/>
        <v>1506.52</v>
      </c>
      <c r="H30" s="35">
        <f t="shared" si="9"/>
        <v>1506.52</v>
      </c>
      <c r="I30" s="3787">
        <v>1506.52</v>
      </c>
      <c r="J30" s="3787"/>
      <c r="K30" s="3787"/>
      <c r="L30" s="3787"/>
      <c r="M30" s="3787"/>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t="str">
        <f t="shared" si="12"/>
        <v>京（2016）海淀区不动产证第0047765号</v>
      </c>
      <c r="AX30" s="1340">
        <f t="shared" si="13"/>
        <v>801</v>
      </c>
      <c r="AY30" s="39">
        <f t="shared" si="14"/>
        <v>115.1</v>
      </c>
      <c r="AZ30" s="32">
        <f t="shared" si="15"/>
        <v>1506.52</v>
      </c>
      <c r="BA30" s="32">
        <f t="shared" si="16"/>
        <v>1506.52</v>
      </c>
      <c r="BB30" s="32">
        <f t="shared" si="17"/>
        <v>1506.52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71.25">
      <c r="A31" s="6"/>
      <c r="B31" s="31" t="s">
        <v>3415</v>
      </c>
      <c r="C31" s="3789">
        <v>901</v>
      </c>
      <c r="D31" s="1622" t="s">
        <v>3379</v>
      </c>
      <c r="E31" s="32">
        <f t="shared" si="7"/>
        <v>115.1</v>
      </c>
      <c r="F31" s="33"/>
      <c r="G31" s="34">
        <f t="shared" si="8"/>
        <v>1506.52</v>
      </c>
      <c r="H31" s="35">
        <f t="shared" si="9"/>
        <v>1506.52</v>
      </c>
      <c r="I31" s="3787">
        <v>1506.52</v>
      </c>
      <c r="J31" s="3787"/>
      <c r="K31" s="3787"/>
      <c r="L31" s="3787"/>
      <c r="M31" s="3787"/>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t="str">
        <f t="shared" si="12"/>
        <v>京（2016）海淀区不动产证第0047764号</v>
      </c>
      <c r="AX31" s="1340">
        <f t="shared" si="13"/>
        <v>901</v>
      </c>
      <c r="AY31" s="39">
        <f t="shared" si="14"/>
        <v>115.1</v>
      </c>
      <c r="AZ31" s="32">
        <f t="shared" si="15"/>
        <v>1506.52</v>
      </c>
      <c r="BA31" s="32">
        <f t="shared" si="16"/>
        <v>1506.52</v>
      </c>
      <c r="BB31" s="32">
        <f t="shared" si="17"/>
        <v>1506.52</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71.25">
      <c r="A32" s="6"/>
      <c r="B32" s="31" t="s">
        <v>3416</v>
      </c>
      <c r="C32" s="3789">
        <v>1001</v>
      </c>
      <c r="D32" s="1622" t="s">
        <v>3379</v>
      </c>
      <c r="E32" s="32">
        <f t="shared" si="7"/>
        <v>115.1</v>
      </c>
      <c r="F32" s="33"/>
      <c r="G32" s="34">
        <f t="shared" si="8"/>
        <v>1506.52</v>
      </c>
      <c r="H32" s="35">
        <f t="shared" si="9"/>
        <v>1506.52</v>
      </c>
      <c r="I32" s="3787">
        <v>1506.52</v>
      </c>
      <c r="J32" s="3787"/>
      <c r="K32" s="3787"/>
      <c r="L32" s="3787"/>
      <c r="M32" s="3787"/>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t="str">
        <f t="shared" si="12"/>
        <v>京（2016）海淀区不动产证第0047763号</v>
      </c>
      <c r="AX32" s="1340">
        <f t="shared" si="13"/>
        <v>1001</v>
      </c>
      <c r="AY32" s="39">
        <f t="shared" si="14"/>
        <v>115.1</v>
      </c>
      <c r="AZ32" s="32">
        <f t="shared" si="15"/>
        <v>1506.52</v>
      </c>
      <c r="BA32" s="32">
        <f t="shared" si="16"/>
        <v>1506.52</v>
      </c>
      <c r="BB32" s="32">
        <f t="shared" si="17"/>
        <v>1506.52</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71.25">
      <c r="A33" s="6"/>
      <c r="B33" s="31" t="s">
        <v>3417</v>
      </c>
      <c r="C33" s="3789">
        <v>1101</v>
      </c>
      <c r="D33" s="1622" t="s">
        <v>3379</v>
      </c>
      <c r="E33" s="32">
        <f t="shared" si="7"/>
        <v>115.1</v>
      </c>
      <c r="F33" s="33"/>
      <c r="G33" s="34">
        <f t="shared" si="8"/>
        <v>1506.52</v>
      </c>
      <c r="H33" s="35">
        <f t="shared" si="9"/>
        <v>1506.52</v>
      </c>
      <c r="I33" s="3787">
        <v>1506.52</v>
      </c>
      <c r="J33" s="3787"/>
      <c r="K33" s="3787"/>
      <c r="L33" s="3787"/>
      <c r="M33" s="3787"/>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t="str">
        <f t="shared" si="12"/>
        <v>京（2016）海淀区不动产证第0047760号</v>
      </c>
      <c r="AX33" s="1340">
        <f t="shared" si="13"/>
        <v>1101</v>
      </c>
      <c r="AY33" s="39">
        <f t="shared" si="14"/>
        <v>115.1</v>
      </c>
      <c r="AZ33" s="32">
        <f t="shared" si="15"/>
        <v>1506.52</v>
      </c>
      <c r="BA33" s="32">
        <f t="shared" si="16"/>
        <v>1506.52</v>
      </c>
      <c r="BB33" s="32">
        <f t="shared" si="17"/>
        <v>1506.52</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71.25">
      <c r="A34" s="6"/>
      <c r="B34" s="31" t="s">
        <v>3418</v>
      </c>
      <c r="C34" s="3789">
        <v>1201</v>
      </c>
      <c r="D34" s="1622" t="s">
        <v>3379</v>
      </c>
      <c r="E34" s="32">
        <f t="shared" si="7"/>
        <v>115.1</v>
      </c>
      <c r="F34" s="33"/>
      <c r="G34" s="34">
        <f t="shared" si="8"/>
        <v>1506.52</v>
      </c>
      <c r="H34" s="35">
        <f t="shared" si="9"/>
        <v>1506.52</v>
      </c>
      <c r="I34" s="3787">
        <v>1506.52</v>
      </c>
      <c r="J34" s="3787"/>
      <c r="K34" s="3787"/>
      <c r="L34" s="3787"/>
      <c r="M34" s="3787"/>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t="str">
        <f t="shared" si="12"/>
        <v>京（2016）海淀区不动产证第0047759号</v>
      </c>
      <c r="AX34" s="1340">
        <f t="shared" si="13"/>
        <v>1201</v>
      </c>
      <c r="AY34" s="39">
        <f t="shared" si="14"/>
        <v>115.1</v>
      </c>
      <c r="AZ34" s="32">
        <f t="shared" si="15"/>
        <v>1506.52</v>
      </c>
      <c r="BA34" s="32">
        <f t="shared" si="16"/>
        <v>1506.52</v>
      </c>
      <c r="BB34" s="32">
        <f t="shared" si="17"/>
        <v>1506.52</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ht="71.25">
      <c r="A35" s="6"/>
      <c r="B35" s="31" t="s">
        <v>3419</v>
      </c>
      <c r="C35" s="3789">
        <v>1301</v>
      </c>
      <c r="D35" s="1622" t="s">
        <v>3379</v>
      </c>
      <c r="E35" s="32">
        <f t="shared" si="7"/>
        <v>115.1</v>
      </c>
      <c r="F35" s="33"/>
      <c r="G35" s="34">
        <f t="shared" si="8"/>
        <v>1506.52</v>
      </c>
      <c r="H35" s="35">
        <f t="shared" si="9"/>
        <v>1506.52</v>
      </c>
      <c r="I35" s="3787">
        <v>1506.52</v>
      </c>
      <c r="J35" s="3787"/>
      <c r="K35" s="3787"/>
      <c r="L35" s="3787"/>
      <c r="M35" s="3787"/>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t="str">
        <f t="shared" si="12"/>
        <v>京（2016）海淀区不动产证第0047758号</v>
      </c>
      <c r="AX35" s="1340">
        <f t="shared" si="13"/>
        <v>1301</v>
      </c>
      <c r="AY35" s="39">
        <f t="shared" si="14"/>
        <v>115.1</v>
      </c>
      <c r="AZ35" s="32">
        <f t="shared" si="15"/>
        <v>1506.52</v>
      </c>
      <c r="BA35" s="32">
        <f t="shared" si="16"/>
        <v>1506.52</v>
      </c>
      <c r="BB35" s="32">
        <f t="shared" si="17"/>
        <v>1506.52</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ht="71.25">
      <c r="A36" s="6"/>
      <c r="B36" s="31" t="s">
        <v>3420</v>
      </c>
      <c r="C36" s="3789">
        <v>1401</v>
      </c>
      <c r="D36" s="1622" t="s">
        <v>3379</v>
      </c>
      <c r="E36" s="32">
        <f t="shared" si="7"/>
        <v>115.1</v>
      </c>
      <c r="F36" s="33"/>
      <c r="G36" s="34">
        <f t="shared" si="8"/>
        <v>1506.52</v>
      </c>
      <c r="H36" s="35">
        <f t="shared" si="9"/>
        <v>1506.52</v>
      </c>
      <c r="I36" s="3787">
        <v>1506.52</v>
      </c>
      <c r="J36" s="3787"/>
      <c r="K36" s="3787"/>
      <c r="L36" s="3787"/>
      <c r="M36" s="3787"/>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t="str">
        <f t="shared" si="12"/>
        <v>京（2016）海淀区不动产证第0047757号</v>
      </c>
      <c r="AX36" s="1340">
        <f t="shared" si="13"/>
        <v>1401</v>
      </c>
      <c r="AY36" s="39">
        <f t="shared" si="14"/>
        <v>115.1</v>
      </c>
      <c r="AZ36" s="32">
        <f t="shared" si="15"/>
        <v>1506.52</v>
      </c>
      <c r="BA36" s="32">
        <f t="shared" si="16"/>
        <v>1506.52</v>
      </c>
      <c r="BB36" s="32">
        <f t="shared" si="17"/>
        <v>1506.52</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71.25">
      <c r="A37" s="6"/>
      <c r="B37" s="31" t="s">
        <v>3421</v>
      </c>
      <c r="C37" s="3789">
        <v>1501</v>
      </c>
      <c r="D37" s="1622" t="s">
        <v>3379</v>
      </c>
      <c r="E37" s="32">
        <f t="shared" si="7"/>
        <v>115.1</v>
      </c>
      <c r="F37" s="33"/>
      <c r="G37" s="34">
        <f t="shared" si="8"/>
        <v>1506.52</v>
      </c>
      <c r="H37" s="35">
        <f t="shared" si="9"/>
        <v>1506.52</v>
      </c>
      <c r="I37" s="3787">
        <v>1506.52</v>
      </c>
      <c r="J37" s="3787"/>
      <c r="K37" s="3787"/>
      <c r="L37" s="3787"/>
      <c r="M37" s="3787"/>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t="str">
        <f t="shared" si="12"/>
        <v>京（2016）海淀区不动产证第0047750号</v>
      </c>
      <c r="AX37" s="1340">
        <f t="shared" si="13"/>
        <v>1501</v>
      </c>
      <c r="AY37" s="39">
        <f t="shared" si="14"/>
        <v>115.1</v>
      </c>
      <c r="AZ37" s="32">
        <f t="shared" si="15"/>
        <v>1506.52</v>
      </c>
      <c r="BA37" s="32">
        <f t="shared" si="16"/>
        <v>1506.52</v>
      </c>
      <c r="BB37" s="32">
        <f t="shared" si="17"/>
        <v>1506.52</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ht="71.25">
      <c r="A38" s="6"/>
      <c r="B38" s="31" t="s">
        <v>3422</v>
      </c>
      <c r="C38" s="3789">
        <v>1601</v>
      </c>
      <c r="D38" s="1622" t="s">
        <v>3379</v>
      </c>
      <c r="E38" s="32">
        <f t="shared" si="7"/>
        <v>115.1</v>
      </c>
      <c r="F38" s="33"/>
      <c r="G38" s="34">
        <f t="shared" si="8"/>
        <v>1506.52</v>
      </c>
      <c r="H38" s="35">
        <f t="shared" si="9"/>
        <v>1506.52</v>
      </c>
      <c r="I38" s="3787">
        <v>1506.52</v>
      </c>
      <c r="J38" s="3787"/>
      <c r="K38" s="3787"/>
      <c r="L38" s="3787"/>
      <c r="M38" s="3787"/>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t="str">
        <f t="shared" si="12"/>
        <v>京（2016）海淀区不动产证第0047751号</v>
      </c>
      <c r="AX38" s="1340">
        <f t="shared" si="13"/>
        <v>1601</v>
      </c>
      <c r="AY38" s="39">
        <f t="shared" si="14"/>
        <v>115.1</v>
      </c>
      <c r="AZ38" s="32">
        <f t="shared" si="15"/>
        <v>1506.52</v>
      </c>
      <c r="BA38" s="32">
        <f t="shared" si="16"/>
        <v>1506.52</v>
      </c>
      <c r="BB38" s="32">
        <f t="shared" si="17"/>
        <v>1506.52</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71.25">
      <c r="A39" s="6"/>
      <c r="B39" s="31" t="s">
        <v>3423</v>
      </c>
      <c r="C39" s="3789">
        <v>1701</v>
      </c>
      <c r="D39" s="1622" t="s">
        <v>3379</v>
      </c>
      <c r="E39" s="32">
        <f t="shared" si="7"/>
        <v>115.1</v>
      </c>
      <c r="F39" s="33"/>
      <c r="G39" s="34">
        <f t="shared" si="8"/>
        <v>1506.52</v>
      </c>
      <c r="H39" s="35">
        <f t="shared" si="9"/>
        <v>1506.52</v>
      </c>
      <c r="I39" s="3787">
        <v>1506.52</v>
      </c>
      <c r="J39" s="3787"/>
      <c r="K39" s="3787"/>
      <c r="L39" s="3787"/>
      <c r="M39" s="3787"/>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t="str">
        <f t="shared" si="12"/>
        <v>京（2016）海淀区不动产证第0047753号</v>
      </c>
      <c r="AX39" s="1340">
        <f t="shared" si="13"/>
        <v>1701</v>
      </c>
      <c r="AY39" s="39">
        <f t="shared" si="14"/>
        <v>115.1</v>
      </c>
      <c r="AZ39" s="32">
        <f t="shared" si="15"/>
        <v>1506.52</v>
      </c>
      <c r="BA39" s="32">
        <f t="shared" si="16"/>
        <v>1506.52</v>
      </c>
      <c r="BB39" s="32">
        <f t="shared" si="17"/>
        <v>1506.52</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71.25">
      <c r="A40" s="6"/>
      <c r="B40" s="31" t="s">
        <v>3424</v>
      </c>
      <c r="C40" s="3789">
        <v>1801</v>
      </c>
      <c r="D40" s="1622" t="s">
        <v>3379</v>
      </c>
      <c r="E40" s="32">
        <f t="shared" si="7"/>
        <v>105.71</v>
      </c>
      <c r="F40" s="33"/>
      <c r="G40" s="34">
        <f t="shared" si="8"/>
        <v>1383.57</v>
      </c>
      <c r="H40" s="35">
        <f t="shared" si="9"/>
        <v>1383.57</v>
      </c>
      <c r="I40" s="3787">
        <v>1383.57</v>
      </c>
      <c r="J40" s="3787"/>
      <c r="K40" s="3787"/>
      <c r="L40" s="3787"/>
      <c r="M40" s="3787"/>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t="str">
        <f t="shared" si="12"/>
        <v>京（2016）海淀区不动产证第0047755号</v>
      </c>
      <c r="AX40" s="1340">
        <f t="shared" si="13"/>
        <v>1801</v>
      </c>
      <c r="AY40" s="39">
        <f t="shared" si="14"/>
        <v>105.71</v>
      </c>
      <c r="AZ40" s="32">
        <f t="shared" si="15"/>
        <v>1383.57</v>
      </c>
      <c r="BA40" s="32">
        <f t="shared" si="16"/>
        <v>1383.57</v>
      </c>
      <c r="BB40" s="32">
        <f t="shared" si="17"/>
        <v>1383.57</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71.25">
      <c r="A41" s="6"/>
      <c r="B41" s="31" t="s">
        <v>3425</v>
      </c>
      <c r="C41" s="3789">
        <v>1901</v>
      </c>
      <c r="D41" s="1622" t="s">
        <v>3379</v>
      </c>
      <c r="E41" s="32">
        <f t="shared" si="7"/>
        <v>105.71</v>
      </c>
      <c r="F41" s="33"/>
      <c r="G41" s="34">
        <f t="shared" si="8"/>
        <v>1383.57</v>
      </c>
      <c r="H41" s="35">
        <f t="shared" si="9"/>
        <v>1383.57</v>
      </c>
      <c r="I41" s="3787">
        <v>1383.57</v>
      </c>
      <c r="J41" s="3787"/>
      <c r="K41" s="3787"/>
      <c r="L41" s="3787"/>
      <c r="M41" s="3787"/>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t="str">
        <f t="shared" si="12"/>
        <v>京（2016）海淀区不动产证第0045332号</v>
      </c>
      <c r="AX41" s="1340">
        <f t="shared" si="13"/>
        <v>1901</v>
      </c>
      <c r="AY41" s="39">
        <f t="shared" si="14"/>
        <v>105.71</v>
      </c>
      <c r="AZ41" s="32">
        <f t="shared" si="15"/>
        <v>1383.57</v>
      </c>
      <c r="BA41" s="32">
        <f t="shared" si="16"/>
        <v>1383.57</v>
      </c>
      <c r="BB41" s="32">
        <f t="shared" si="17"/>
        <v>1383.57</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6" sqref="F26"/>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28" t="s">
        <v>1131</v>
      </c>
      <c r="B2" s="3528"/>
      <c r="C2" s="3528"/>
      <c r="D2" s="794" t="s">
        <v>1107</v>
      </c>
      <c r="E2" s="1636" t="s">
        <v>1108</v>
      </c>
      <c r="F2" s="2656"/>
      <c r="G2" s="2647"/>
      <c r="H2" s="2648"/>
      <c r="I2" s="2322" t="s">
        <v>1132</v>
      </c>
      <c r="J2" s="2656"/>
      <c r="K2" s="2656"/>
      <c r="L2" s="2656"/>
      <c r="M2" s="2656"/>
      <c r="N2" s="2658"/>
      <c r="O2" s="2656"/>
      <c r="P2" s="2656"/>
    </row>
    <row r="3" spans="1:16" ht="15.75" thickBot="1">
      <c r="A3" s="3529" t="s">
        <v>1105</v>
      </c>
      <c r="B3" s="3529"/>
      <c r="C3" s="3529"/>
      <c r="D3" s="43">
        <f>'数据-基础表'!AY6</f>
        <v>1899.7</v>
      </c>
      <c r="E3" s="43">
        <f>'数据-基础表'!AZ5</f>
        <v>24865.040000000005</v>
      </c>
      <c r="F3" s="2656"/>
      <c r="G3" s="1142"/>
      <c r="H3" s="1023" t="s">
        <v>1106</v>
      </c>
      <c r="I3" s="853">
        <f>ROUND('数据-基础表'!B3/'数据-基础表'!A3,2)</f>
        <v>13.09</v>
      </c>
      <c r="J3" s="2656"/>
      <c r="K3" s="2656"/>
      <c r="L3" s="2656"/>
      <c r="M3" s="2656"/>
      <c r="N3" s="2658"/>
      <c r="O3" s="2656"/>
      <c r="P3" s="2656"/>
    </row>
    <row r="4" spans="1:16" ht="15">
      <c r="A4" s="3530"/>
      <c r="B4" s="3531"/>
      <c r="C4" s="3532"/>
      <c r="D4" s="1638" t="s">
        <v>1107</v>
      </c>
      <c r="E4" s="1639" t="s">
        <v>1108</v>
      </c>
      <c r="F4" s="2656"/>
      <c r="G4" s="2649" t="s">
        <v>1133</v>
      </c>
      <c r="H4" s="1023" t="s">
        <v>1113</v>
      </c>
      <c r="I4" s="853">
        <f>ROUND(SUMIF('数据-基础表'!I9:AS9,"地上",'数据-基础表'!I5:AS5)/'数据-基础表'!A3,2)</f>
        <v>9.61</v>
      </c>
      <c r="J4" s="2656"/>
      <c r="K4" s="2656"/>
      <c r="L4" s="2656"/>
      <c r="M4" s="2656"/>
      <c r="N4" s="2658"/>
      <c r="O4" s="2656"/>
      <c r="P4" s="2656"/>
    </row>
    <row r="5" spans="1:16">
      <c r="A5" s="44" t="s">
        <v>1109</v>
      </c>
      <c r="B5" s="3533" t="s">
        <v>1110</v>
      </c>
      <c r="C5" s="3533"/>
      <c r="D5" s="45">
        <f>ROUND($D$3*E5/$E$3,2)</f>
        <v>0</v>
      </c>
      <c r="E5" s="46">
        <f>SUMIF('数据-基础表'!$11:$11,"住宅",'数据-基础表'!$5:$5)</f>
        <v>0</v>
      </c>
      <c r="F5" s="2656"/>
      <c r="G5" s="1142"/>
      <c r="H5" s="1023" t="s">
        <v>1106</v>
      </c>
      <c r="I5" s="853">
        <f>ROUND(E31/D31,2)</f>
        <v>13.09</v>
      </c>
      <c r="J5" s="2656"/>
      <c r="K5" s="2656"/>
      <c r="L5" s="2656"/>
      <c r="M5" s="2656"/>
      <c r="N5" s="2656"/>
      <c r="O5" s="2656"/>
      <c r="P5" s="2656"/>
    </row>
    <row r="6" spans="1:16" ht="15" thickBot="1">
      <c r="A6" s="1641"/>
      <c r="B6" s="3533" t="s">
        <v>1111</v>
      </c>
      <c r="C6" s="3533"/>
      <c r="D6" s="45">
        <f>ROUND($D$3*E6/$E$3,2)</f>
        <v>1899.7</v>
      </c>
      <c r="E6" s="46">
        <f>E3-E5</f>
        <v>24865.040000000005</v>
      </c>
      <c r="F6" s="2656"/>
      <c r="G6" s="2650" t="s">
        <v>1112</v>
      </c>
      <c r="H6" s="1143" t="s">
        <v>1113</v>
      </c>
      <c r="I6" s="2651">
        <f>ROUND(F31/D31,2)</f>
        <v>13.09</v>
      </c>
      <c r="J6" s="2656"/>
      <c r="K6" s="2656"/>
      <c r="L6" s="2656"/>
      <c r="M6" s="2656"/>
      <c r="N6" s="2656"/>
      <c r="O6" s="2656"/>
      <c r="P6" s="2656"/>
    </row>
    <row r="7" spans="1:16" ht="15.75" thickBot="1">
      <c r="A7" s="3525"/>
      <c r="B7" s="3526"/>
      <c r="C7" s="3527"/>
      <c r="D7" s="1638" t="s">
        <v>1107</v>
      </c>
      <c r="E7" s="1642"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1899.7</v>
      </c>
      <c r="E8" s="48">
        <f>SUMIF('数据-基础表'!BB10:BK10,"地上",'数据-基础表'!BB5:BK5)</f>
        <v>24865.040000000005</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1899.7</v>
      </c>
      <c r="E16" s="50">
        <f>SUM(E8:E15)</f>
        <v>24865.040000000005</v>
      </c>
      <c r="F16" s="2656"/>
      <c r="G16" s="2657"/>
      <c r="H16" s="1645" t="s">
        <v>1135</v>
      </c>
      <c r="I16" s="1646"/>
      <c r="J16" s="1136"/>
      <c r="K16" s="3522" t="s">
        <v>1135</v>
      </c>
      <c r="L16" s="3523"/>
      <c r="M16" s="3523"/>
      <c r="N16" s="3523"/>
      <c r="O16" s="3523"/>
      <c r="P16" s="3524"/>
    </row>
    <row r="17" spans="1:19" ht="15">
      <c r="A17" s="1647" t="s">
        <v>1136</v>
      </c>
      <c r="B17" s="1648" t="s">
        <v>1137</v>
      </c>
      <c r="C17" s="1649" t="s">
        <v>1138</v>
      </c>
      <c r="D17" s="1650" t="s">
        <v>1126</v>
      </c>
      <c r="E17" s="1651" t="s">
        <v>1127</v>
      </c>
      <c r="F17" s="1652"/>
      <c r="G17" s="1653"/>
      <c r="H17" s="1654" t="s">
        <v>1139</v>
      </c>
      <c r="I17" s="1655" t="s">
        <v>1124</v>
      </c>
      <c r="J17" s="1136"/>
      <c r="K17" s="3519" t="s">
        <v>1140</v>
      </c>
      <c r="L17" s="3520"/>
      <c r="M17" s="3521"/>
      <c r="N17" s="3519" t="s">
        <v>1141</v>
      </c>
      <c r="O17" s="3520"/>
      <c r="P17" s="3521"/>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3" t="s">
        <v>1150</v>
      </c>
      <c r="N18" s="1038" t="s">
        <v>1148</v>
      </c>
      <c r="O18" s="1663" t="s">
        <v>1149</v>
      </c>
      <c r="P18" s="853" t="s">
        <v>1150</v>
      </c>
      <c r="R18" s="1023" t="s">
        <v>1151</v>
      </c>
      <c r="S18" s="1023" t="s">
        <v>1152</v>
      </c>
    </row>
    <row r="19" spans="1:19">
      <c r="A19" s="1664"/>
      <c r="B19" s="47" t="s">
        <v>1125</v>
      </c>
      <c r="C19" s="3414" t="s">
        <v>3426</v>
      </c>
      <c r="D19" s="45">
        <f>ROUND($D$3*E19/$E$3,2)</f>
        <v>115.1</v>
      </c>
      <c r="E19" s="53">
        <f t="shared" ref="E19:E26" si="1">SUM(F19:G19)</f>
        <v>1506.52</v>
      </c>
      <c r="F19" s="3790">
        <f>1506.52</f>
        <v>1506.52</v>
      </c>
      <c r="G19" s="2793"/>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115.1</v>
      </c>
      <c r="S19" s="1024">
        <f t="shared" si="5"/>
        <v>1506.52</v>
      </c>
    </row>
    <row r="20" spans="1:19">
      <c r="A20" s="1667"/>
      <c r="B20" s="47" t="s">
        <v>1153</v>
      </c>
      <c r="C20" s="3414" t="s">
        <v>3427</v>
      </c>
      <c r="D20" s="45">
        <f t="shared" ref="D20:D26" si="6">ROUND($D$3*E20/$E$3,2)</f>
        <v>1784.6</v>
      </c>
      <c r="E20" s="53">
        <f t="shared" si="1"/>
        <v>23358.520000000004</v>
      </c>
      <c r="F20" s="3790">
        <f>'[3]数据-基础表'!I5-'[3]数据-汇总表'!F19</f>
        <v>23358.520000000004</v>
      </c>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1784.6</v>
      </c>
      <c r="S20" s="1024">
        <f t="shared" si="5"/>
        <v>23358.520000000004</v>
      </c>
    </row>
    <row r="21" spans="1:19">
      <c r="A21" s="1667"/>
      <c r="B21" s="47" t="s">
        <v>1153</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1899.6999999999998</v>
      </c>
      <c r="E27" s="1138">
        <f>IF(SUM(E19:E26)='数据-基础表'!BA5,SUM(E19:E26),IF(F27="地上面积有误","面积有误","地下面积有误"))</f>
        <v>24865.040000000005</v>
      </c>
      <c r="F27" s="1137">
        <f>IF(SUM(F19:F26)=E8,SUM(F19:F26),"地上面积有误")</f>
        <v>24865.040000000005</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1899.6999999999998</v>
      </c>
      <c r="S27" s="1023">
        <f>IF(SUM(S19:S26)=$E$3,SUM(S19:S26),SUM(S19:S26)&amp;"误差"&amp;ROUND(SUM(S19:S26)-E3,2))</f>
        <v>24865.040000000005</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1158</v>
      </c>
      <c r="D31" s="674">
        <f>D27+D30</f>
        <v>1899.6999999999998</v>
      </c>
      <c r="E31" s="674">
        <f>E27+E30</f>
        <v>24865.040000000005</v>
      </c>
      <c r="F31" s="675">
        <f>F27+F30</f>
        <v>24865.040000000005</v>
      </c>
      <c r="G31" s="676">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O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45161</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3403</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6">
        <f>SUMIF(项目基本情况!C$12:I$12,C6,项目基本情况!C$14:I$14)</f>
        <v>50</v>
      </c>
      <c r="E6" s="855">
        <f>IF(B6="","",SUMIF(项目基本情况!C$12:I$12,C6,项目基本情况!C$13:I$13))</f>
        <v>55285</v>
      </c>
      <c r="F6" s="64">
        <f>SUMIF(项目基本情况!C$12:I$12,C6,项目基本情况!C$15:I$15)</f>
        <v>27.73</v>
      </c>
      <c r="G6" s="65">
        <f>IF(ISERROR(ROUND(POWER(1+H6,D6-F6)*(POWER(1+H6,F6)-1)/(POWER(1+H6,D6)-1),3)),0,ROUND(POWER(1+H6,D6-F6)*(POWER(1+H6,F6)-1)/(POWER(1+H6,D6)-1),3))</f>
        <v>0.81200000000000006</v>
      </c>
      <c r="H6" s="730">
        <v>0.05</v>
      </c>
      <c r="I6" s="730">
        <v>5.5E-2</v>
      </c>
      <c r="J6" s="66">
        <v>7.4999999999999997E-2</v>
      </c>
      <c r="K6" s="1027">
        <f>SUMIF('数据-汇总表'!C$19:C$33,A6,'数据-汇总表'!E$19:E$33)</f>
        <v>1506.52</v>
      </c>
      <c r="L6" s="731">
        <v>4500</v>
      </c>
      <c r="M6" s="67">
        <f t="shared" ref="M6:M14" si="0">ROUND(K6*L6/10000,0)</f>
        <v>678</v>
      </c>
      <c r="N6" s="729">
        <f>ROUND(1-(1-0%)*(2022-2008)/60,2)</f>
        <v>0.77</v>
      </c>
      <c r="O6" s="67" t="str">
        <f>IF($N$5="成新度","——",ROUND(M6*N6,0))</f>
        <v>——</v>
      </c>
      <c r="P6" s="68" t="str">
        <f>IF($N$5="成新度","——",M6-O6)</f>
        <v>——</v>
      </c>
      <c r="Q6" s="732">
        <v>0.18</v>
      </c>
      <c r="R6" s="69">
        <f ca="1">SUMIF('数据-汇总表'!C$19:C$33,A6,'数据-汇总表'!R$19:R$27)</f>
        <v>115.1</v>
      </c>
      <c r="S6" s="51">
        <f>IF('数据-汇总表'!$I$17="按面积比例",SUMIF('数据-汇总表'!C$19:C$33,A6,'数据-汇总表'!K$19:K$33),SUMIF('数据-汇总表'!C$19:C$33,A6,'数据-汇总表'!N$19:N$33))</f>
        <v>0</v>
      </c>
      <c r="T6" s="1169">
        <f>ROUND($L$14*S6/10000,0)</f>
        <v>0</v>
      </c>
      <c r="U6" s="3425">
        <v>11</v>
      </c>
      <c r="V6" s="70">
        <v>2.5000000000000001E-2</v>
      </c>
      <c r="W6" s="70">
        <v>0.1</v>
      </c>
      <c r="X6" s="1037"/>
      <c r="Y6" s="71">
        <v>0.1</v>
      </c>
      <c r="Z6" s="72"/>
      <c r="AA6" s="66"/>
      <c r="AB6" s="66"/>
      <c r="AC6" s="1037"/>
      <c r="AD6" s="73"/>
      <c r="AE6" s="1038">
        <f ca="1">IF(AN6="",0,SUMIF(INDIRECT("'"&amp;AN6&amp;"'"&amp;"!E:E"),$AE$5,INDIRECT("'"&amp;AN6&amp;"'"&amp;"!F:F")))</f>
        <v>27.73</v>
      </c>
      <c r="AF6" s="1345"/>
      <c r="AG6" s="138">
        <f>IF(AF6="",0,AE6-AF6)</f>
        <v>0</v>
      </c>
      <c r="AH6" s="74"/>
      <c r="AI6" s="76">
        <v>365</v>
      </c>
      <c r="AJ6" s="77"/>
      <c r="AK6" s="78">
        <v>1.4999999999999999E-2</v>
      </c>
      <c r="AL6" s="79">
        <v>1.5E-3</v>
      </c>
      <c r="AM6" s="80">
        <v>0.01</v>
      </c>
      <c r="AN6" s="1712" t="s">
        <v>3391</v>
      </c>
      <c r="AO6" s="52">
        <f ca="1">SUMIF(INDIRECT("'"&amp;AN6&amp;"'"&amp;"!A:A"),"总价",INDIRECT("'"&amp;AN6&amp;"'"&amp;"!B:B"))</f>
        <v>8013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办公其他</v>
      </c>
      <c r="B7" s="1710" t="str">
        <f t="shared" ref="B7:B13" si="1">IF(A7=0,"","经营性")</f>
        <v>经营性</v>
      </c>
      <c r="C7" s="1711"/>
      <c r="D7" s="856">
        <f>SUMIF(项目基本情况!C$12:I$12,C7,项目基本情况!C$14:I$14)</f>
        <v>0</v>
      </c>
      <c r="E7" s="855">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23358.520000000004</v>
      </c>
      <c r="L7" s="731"/>
      <c r="M7" s="67">
        <f t="shared" si="0"/>
        <v>0</v>
      </c>
      <c r="N7" s="729"/>
      <c r="O7" s="67" t="str">
        <f t="shared" ref="O7:O14" si="3">IF($N$5="成新度","——",ROUND(M7*N7,0))</f>
        <v>——</v>
      </c>
      <c r="P7" s="68" t="str">
        <f t="shared" ref="P7:P14" si="4">IF($N$5="成新度","——",M7-O7)</f>
        <v>——</v>
      </c>
      <c r="Q7" s="732"/>
      <c r="R7" s="69">
        <f ca="1">SUMIF('数据-汇总表'!C$19:C$33,A7,'数据-汇总表'!R$19:R$27)</f>
        <v>1784.6</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1"/>
      <c r="D16" s="1717"/>
      <c r="E16" s="88"/>
      <c r="F16" s="88"/>
      <c r="G16" s="89">
        <f>ROUND(SUMPRODUCT(G6:G13,K6:K13)/SUMPRODUCT((G6:G13&gt;0)*(K6:K13)),3)</f>
        <v>0.81200000000000006</v>
      </c>
      <c r="H16" s="90">
        <f>ROUND(SUMPRODUCT(H6:H13,K6:K13)/SUMPRODUCT((H6:H13&gt;0)*(K6:K13)),3)</f>
        <v>0.05</v>
      </c>
      <c r="I16" s="91"/>
      <c r="J16" s="91"/>
      <c r="K16" s="92">
        <f>SUM(K6:K15)</f>
        <v>24865.040000000005</v>
      </c>
      <c r="L16" s="93">
        <f>ROUND(M16*10000/SUM(K6:K14),0)</f>
        <v>273</v>
      </c>
      <c r="M16" s="93">
        <f>SUM(M6:M14)</f>
        <v>678</v>
      </c>
      <c r="N16" s="94">
        <f>ROUND(SUMPRODUCT(M6:M14,N6:N14)/M16,3)</f>
        <v>0.77</v>
      </c>
      <c r="O16" s="93">
        <f>SUM(O6:O14)</f>
        <v>0</v>
      </c>
      <c r="P16" s="93">
        <f>SUM(P6:P14)</f>
        <v>0</v>
      </c>
      <c r="Q16" s="95">
        <f>ROUND(SUMPRODUCT(Q6:Q13,K6:K13)/SUMPRODUCT((Q6:Q13&gt;0)*(K6:K13)),2)</f>
        <v>0.18</v>
      </c>
      <c r="R16" s="1031">
        <f ca="1">SUM(R6:R13)</f>
        <v>1899.6999999999998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2300</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2298</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2302</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2"/>
      <c r="C29" s="2799" t="s">
        <v>2289</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10">
        <v>200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184</v>
      </c>
      <c r="C53" s="2658"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4" sqref="F24"/>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34" t="s">
        <v>2281</v>
      </c>
      <c r="B1" s="3535"/>
      <c r="C1" s="3535"/>
      <c r="D1" s="3535"/>
      <c r="E1" s="3535"/>
      <c r="F1" s="3535"/>
      <c r="G1" s="353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7"/>
      <c r="I2" s="797"/>
      <c r="J2" s="797"/>
      <c r="K2" s="797"/>
      <c r="L2" s="797"/>
      <c r="M2" s="797"/>
      <c r="N2" s="797"/>
      <c r="O2" s="797"/>
      <c r="P2" s="797"/>
      <c r="Q2" s="797"/>
      <c r="R2" s="797"/>
    </row>
    <row r="3" spans="1:29" ht="25.5">
      <c r="A3" s="2438" t="s">
        <v>2279</v>
      </c>
      <c r="B3" s="2460" t="s">
        <v>2251</v>
      </c>
      <c r="C3" s="2461"/>
      <c r="D3" s="2462"/>
      <c r="E3" s="2439" t="s">
        <v>2279</v>
      </c>
      <c r="F3" s="2463" t="s">
        <v>2252</v>
      </c>
      <c r="G3" s="2464" t="s">
        <v>2280</v>
      </c>
      <c r="H3" s="797"/>
      <c r="I3" s="797"/>
      <c r="J3" s="797"/>
      <c r="K3" s="797"/>
      <c r="L3" s="797"/>
      <c r="M3" s="797"/>
      <c r="N3" s="797"/>
      <c r="O3" s="797"/>
      <c r="P3" s="797"/>
      <c r="Q3" s="797"/>
      <c r="R3" s="797"/>
    </row>
    <row r="4" spans="1:29" ht="36">
      <c r="A4" s="2439"/>
      <c r="B4" s="323" t="s">
        <v>2253</v>
      </c>
      <c r="C4" s="2465"/>
      <c r="D4" s="2462"/>
      <c r="E4" s="2466"/>
      <c r="F4" s="1370" t="s">
        <v>2254</v>
      </c>
      <c r="G4" s="2467" t="s">
        <v>2255</v>
      </c>
      <c r="H4" s="797"/>
      <c r="I4" s="797"/>
      <c r="J4" s="797"/>
      <c r="K4" s="797"/>
      <c r="L4" s="797"/>
      <c r="M4" s="797"/>
      <c r="N4" s="797"/>
      <c r="O4" s="797"/>
      <c r="P4" s="797"/>
      <c r="Q4" s="797"/>
      <c r="R4" s="797"/>
    </row>
    <row r="5" spans="1:29" ht="24">
      <c r="A5" s="2439"/>
      <c r="B5" s="323" t="s">
        <v>2256</v>
      </c>
      <c r="C5" s="2465"/>
      <c r="D5" s="2462"/>
      <c r="E5" s="2466"/>
      <c r="F5" s="323" t="s">
        <v>2257</v>
      </c>
      <c r="G5" s="2467" t="s">
        <v>2258</v>
      </c>
      <c r="H5" s="797"/>
      <c r="I5" s="797"/>
      <c r="J5" s="797"/>
      <c r="K5" s="797"/>
      <c r="L5" s="797"/>
      <c r="M5" s="797"/>
      <c r="N5" s="797"/>
      <c r="O5" s="797"/>
      <c r="P5" s="797"/>
      <c r="Q5" s="797"/>
      <c r="R5" s="797"/>
    </row>
    <row r="6" spans="1:29">
      <c r="A6" s="2439"/>
      <c r="B6" s="323" t="s">
        <v>2259</v>
      </c>
      <c r="C6" s="2467"/>
      <c r="D6" s="2462"/>
      <c r="E6" s="2466"/>
      <c r="F6" s="323" t="s">
        <v>2260</v>
      </c>
      <c r="G6" s="2467" t="s">
        <v>2261</v>
      </c>
      <c r="H6" s="797"/>
      <c r="I6" s="797"/>
      <c r="J6" s="797"/>
      <c r="K6" s="797"/>
      <c r="L6" s="797"/>
      <c r="M6" s="797"/>
      <c r="N6" s="797"/>
      <c r="O6" s="797"/>
      <c r="P6" s="797"/>
      <c r="Q6" s="797"/>
      <c r="R6" s="797"/>
    </row>
    <row r="7" spans="1:29" ht="24.75" thickBot="1">
      <c r="A7" s="2439"/>
      <c r="B7" s="323" t="s">
        <v>2257</v>
      </c>
      <c r="C7" s="2467"/>
      <c r="D7" s="2468"/>
      <c r="E7" s="2469"/>
      <c r="F7" s="2470" t="s">
        <v>2262</v>
      </c>
      <c r="G7" s="2471" t="s">
        <v>2263</v>
      </c>
      <c r="H7" s="797"/>
      <c r="I7" s="797"/>
      <c r="J7" s="797"/>
      <c r="K7" s="797"/>
      <c r="L7" s="797"/>
      <c r="M7" s="797"/>
      <c r="N7" s="797"/>
      <c r="O7" s="797"/>
      <c r="P7" s="797"/>
      <c r="Q7" s="797"/>
      <c r="R7" s="797"/>
    </row>
    <row r="8" spans="1:29">
      <c r="A8" s="2439"/>
      <c r="B8" s="323" t="s">
        <v>2260</v>
      </c>
      <c r="C8" s="2467"/>
      <c r="D8" s="2468"/>
      <c r="E8" s="2468"/>
      <c r="F8" s="2472"/>
      <c r="G8" s="2472"/>
      <c r="H8" s="797"/>
      <c r="I8" s="797"/>
      <c r="J8" s="797"/>
      <c r="K8" s="797"/>
      <c r="L8" s="797"/>
      <c r="M8" s="797"/>
      <c r="N8" s="797"/>
      <c r="O8" s="797"/>
      <c r="P8" s="797"/>
      <c r="Q8" s="797"/>
      <c r="R8" s="797"/>
    </row>
    <row r="9" spans="1:29">
      <c r="A9" s="2439"/>
      <c r="B9" s="323" t="s">
        <v>2264</v>
      </c>
      <c r="C9" s="2465"/>
      <c r="D9" s="2462"/>
      <c r="E9" s="2468"/>
      <c r="F9" s="2472"/>
      <c r="G9" s="2472"/>
      <c r="H9" s="797"/>
      <c r="I9" s="797"/>
      <c r="J9" s="797"/>
      <c r="K9" s="797"/>
      <c r="L9" s="797"/>
      <c r="M9" s="797"/>
      <c r="N9" s="797"/>
      <c r="O9" s="797"/>
      <c r="P9" s="797"/>
      <c r="Q9" s="797"/>
      <c r="R9" s="797"/>
    </row>
    <row r="10" spans="1:29" s="2478" customFormat="1" ht="15" thickBot="1">
      <c r="A10" s="2440"/>
      <c r="B10" s="2473" t="s">
        <v>2265</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2282</v>
      </c>
      <c r="B13" s="2481"/>
      <c r="C13" s="2481"/>
      <c r="D13" s="2479"/>
      <c r="E13" s="2481"/>
      <c r="F13" s="2481"/>
      <c r="G13" s="2481"/>
    </row>
    <row r="14" spans="1:29" ht="15" thickBot="1">
      <c r="A14" s="2491"/>
      <c r="B14" s="2491"/>
      <c r="C14" s="2492" t="s">
        <v>2266</v>
      </c>
      <c r="D14" s="2462"/>
      <c r="E14" s="2493"/>
      <c r="F14" s="2493"/>
      <c r="G14" s="2457" t="s">
        <v>2267</v>
      </c>
    </row>
    <row r="15" spans="1:29" ht="51">
      <c r="A15" s="2441" t="s">
        <v>2268</v>
      </c>
      <c r="B15" s="2494" t="s">
        <v>2251</v>
      </c>
      <c r="C15" s="2495">
        <f>C3</f>
        <v>0</v>
      </c>
      <c r="D15" s="2462"/>
      <c r="E15" s="2442" t="s">
        <v>2269</v>
      </c>
      <c r="F15" s="2494" t="s">
        <v>2270</v>
      </c>
      <c r="G15" s="2496" t="str">
        <f>G3</f>
        <v>估价对象位于XX开发区，园区建设成熟度XX，产业集聚程度XX</v>
      </c>
    </row>
    <row r="16" spans="1:29" ht="38.25">
      <c r="A16" s="2443"/>
      <c r="B16" s="2497" t="s">
        <v>2253</v>
      </c>
      <c r="C16" s="2498">
        <f>C4</f>
        <v>0</v>
      </c>
      <c r="D16" s="2462"/>
      <c r="E16" s="2444"/>
      <c r="F16" s="2499" t="s">
        <v>2254</v>
      </c>
      <c r="G16" s="2500" t="str">
        <f>G4</f>
        <v>估价对象周边道路状况、公共交通通达情况、停车便捷程度，综合评价交通便捷度较好</v>
      </c>
    </row>
    <row r="17" spans="1:18" ht="38.25">
      <c r="A17" s="2443"/>
      <c r="B17" s="2497" t="s">
        <v>2256</v>
      </c>
      <c r="C17" s="2498">
        <f>C5</f>
        <v>0</v>
      </c>
      <c r="D17" s="2468"/>
      <c r="E17" s="2444"/>
      <c r="F17" s="2499" t="s">
        <v>2271</v>
      </c>
      <c r="G17" s="2501"/>
    </row>
    <row r="18" spans="1:18" ht="38.25">
      <c r="A18" s="2443"/>
      <c r="B18" s="2499" t="s">
        <v>2259</v>
      </c>
      <c r="C18" s="2500">
        <f>C6</f>
        <v>0</v>
      </c>
      <c r="D18" s="2468"/>
      <c r="E18" s="2444"/>
      <c r="F18" s="2499" t="s">
        <v>2262</v>
      </c>
      <c r="G18" s="2500" t="str">
        <f>G7</f>
        <v>该园区内是否有污染型企业，绿化情况，卫生条件，整体环境状况判断</v>
      </c>
    </row>
    <row r="19" spans="1:18" ht="25.5">
      <c r="A19" s="2443"/>
      <c r="B19" s="2499" t="s">
        <v>2272</v>
      </c>
      <c r="C19" s="2501"/>
      <c r="D19" s="2462"/>
      <c r="E19" s="2444"/>
      <c r="F19" s="323" t="s">
        <v>2257</v>
      </c>
      <c r="G19" s="2500" t="str">
        <f>G5</f>
        <v>估价对象所在区域公共配套设施齐备情况</v>
      </c>
    </row>
    <row r="20" spans="1:18" ht="25.5">
      <c r="A20" s="2443"/>
      <c r="B20" s="2499" t="s">
        <v>2273</v>
      </c>
      <c r="C20" s="2498">
        <f>C9</f>
        <v>0</v>
      </c>
      <c r="D20" s="2468"/>
      <c r="E20" s="2444"/>
      <c r="F20" s="323" t="s">
        <v>2260</v>
      </c>
      <c r="G20" s="2500" t="str">
        <f>G6</f>
        <v>估价对象所在区域基础设施水平</v>
      </c>
    </row>
    <row r="21" spans="1:18" ht="25.5">
      <c r="A21" s="2443"/>
      <c r="B21" s="323" t="s">
        <v>2257</v>
      </c>
      <c r="C21" s="2500">
        <f>C7</f>
        <v>0</v>
      </c>
      <c r="D21" s="2462"/>
      <c r="E21" s="2444"/>
      <c r="F21" s="2499" t="s">
        <v>2274</v>
      </c>
      <c r="G21" s="2502"/>
    </row>
    <row r="22" spans="1:18" ht="13.5" customHeight="1">
      <c r="A22" s="2443"/>
      <c r="B22" s="323" t="s">
        <v>2260</v>
      </c>
      <c r="C22" s="2500">
        <f>C8</f>
        <v>0</v>
      </c>
      <c r="D22" s="2462"/>
      <c r="E22" s="2444"/>
      <c r="F22" s="2499" t="s">
        <v>2265</v>
      </c>
      <c r="G22" s="2501"/>
    </row>
    <row r="23" spans="1:18" s="797" customFormat="1" ht="15" thickBot="1">
      <c r="A23" s="2443"/>
      <c r="B23" s="2499" t="s">
        <v>2274</v>
      </c>
      <c r="C23" s="2502"/>
      <c r="D23" s="1738"/>
      <c r="E23" s="2445"/>
      <c r="F23" s="2503" t="s">
        <v>2275</v>
      </c>
      <c r="G23" s="2504"/>
      <c r="H23" s="2488"/>
      <c r="I23" s="2489"/>
      <c r="J23" s="2488"/>
      <c r="K23" s="2488"/>
      <c r="L23" s="2489"/>
      <c r="M23" s="2488"/>
      <c r="N23" s="2488"/>
      <c r="O23" s="2489"/>
      <c r="P23" s="2488"/>
      <c r="Q23" s="2488"/>
      <c r="R23" s="2490"/>
    </row>
    <row r="24" spans="1:18" s="797" customFormat="1" ht="15" thickBot="1">
      <c r="A24" s="2446"/>
      <c r="B24" s="2503" t="s">
        <v>2276</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24865.040000000005</v>
      </c>
      <c r="C1" s="2683"/>
      <c r="D1" s="2683"/>
      <c r="E1" s="2683"/>
      <c r="F1" s="2683"/>
      <c r="G1" s="2684"/>
      <c r="H1" s="2685"/>
      <c r="I1" s="2685"/>
      <c r="J1" s="2685"/>
      <c r="K1" s="2685"/>
    </row>
    <row r="2" spans="1:11" ht="16.5">
      <c r="A2" s="2509" t="s">
        <v>653</v>
      </c>
      <c r="B2" s="2509">
        <f>SUM(C14:C23)</f>
        <v>1899.7</v>
      </c>
      <c r="C2" s="2683"/>
      <c r="D2" s="2683"/>
      <c r="E2" s="2683"/>
      <c r="F2" s="2683"/>
      <c r="G2" s="2684"/>
      <c r="H2" s="2685"/>
      <c r="I2" s="2685"/>
      <c r="J2" s="2685"/>
      <c r="K2" s="2685"/>
    </row>
    <row r="3" spans="1:11" ht="16.5">
      <c r="A3" s="2509" t="s">
        <v>662</v>
      </c>
      <c r="B3" s="2511">
        <f>项目基本情况!D3</f>
        <v>45161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6954</v>
      </c>
      <c r="C5" s="2509">
        <f ca="1">IF(B5=D14,结果表!H102,ROUND(B5*10000/$B$1,0))</f>
        <v>2797</v>
      </c>
      <c r="D5" s="2509">
        <f ca="1">ROUND(B5*10000/$B$2,0)</f>
        <v>36606</v>
      </c>
      <c r="E5" s="2683"/>
      <c r="F5" s="2684"/>
      <c r="G5" s="2684"/>
      <c r="H5" s="2685"/>
      <c r="I5" s="2685"/>
      <c r="J5" s="2685"/>
      <c r="K5" s="2685"/>
    </row>
    <row r="6" spans="1:11" ht="16.5">
      <c r="A6" s="2509" t="s">
        <v>656</v>
      </c>
      <c r="B6" s="2509">
        <f>SUM(G14:G23)</f>
        <v>0</v>
      </c>
      <c r="C6" s="2509">
        <f ca="1">IF(B6=G14,结果表!H108,ROUND(B6*10000/$B$1,0))</f>
        <v>2797</v>
      </c>
      <c r="D6" s="2509">
        <f>ROUND(B6*10000/$B$2,0)</f>
        <v>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24865.040000000005</v>
      </c>
      <c r="C14" s="2515">
        <f>项目基本情况!C18</f>
        <v>1899.7</v>
      </c>
      <c r="D14" s="2515">
        <f ca="1">结果表!H101</f>
        <v>6954</v>
      </c>
      <c r="E14" s="2515">
        <f ca="1">ROUND(D14*10000/B14,0)</f>
        <v>2797</v>
      </c>
      <c r="F14" s="2515">
        <f ca="1">ROUND(D14*10000/C14,0)</f>
        <v>36606</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30" zoomScaleNormal="100" zoomScaleSheetLayoutView="13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03" t="str">
        <f>项目基本情况!S2</f>
        <v>北京市房地产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1" t="s">
        <v>1265</v>
      </c>
      <c r="B4" s="1752" t="s">
        <v>1266</v>
      </c>
      <c r="C4" s="1753" t="s">
        <v>3463</v>
      </c>
      <c r="D4" s="1753" t="s">
        <v>3391</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c r="D5" s="3597"/>
      <c r="E5" s="131" t="s">
        <v>1269</v>
      </c>
      <c r="F5" s="1754"/>
      <c r="G5" s="1754"/>
      <c r="H5" s="1754"/>
      <c r="I5" s="1370"/>
    </row>
    <row r="6" spans="1:12" ht="12.75">
      <c r="A6" s="3551"/>
      <c r="B6" s="3606"/>
      <c r="C6" s="3611"/>
      <c r="D6" s="3597"/>
      <c r="E6" s="131" t="s">
        <v>1270</v>
      </c>
      <c r="F6" s="1754"/>
      <c r="G6" s="1754"/>
      <c r="H6" s="1754"/>
      <c r="I6" s="1370"/>
    </row>
    <row r="7" spans="1:12" ht="12.75">
      <c r="A7" s="3551"/>
      <c r="B7" s="3606"/>
      <c r="C7" s="3610"/>
      <c r="D7" s="3597"/>
      <c r="E7" s="131" t="s">
        <v>1271</v>
      </c>
      <c r="F7" s="1754"/>
      <c r="G7" s="1754"/>
      <c r="H7" s="1754"/>
      <c r="I7" s="1370"/>
    </row>
    <row r="8" spans="1:12" ht="12.75">
      <c r="A8" s="3551" t="s">
        <v>1272</v>
      </c>
      <c r="B8" s="3606">
        <v>15</v>
      </c>
      <c r="C8" s="3609"/>
      <c r="D8" s="3597"/>
      <c r="E8" s="131" t="s">
        <v>1273</v>
      </c>
      <c r="F8" s="1754"/>
      <c r="G8" s="1754"/>
      <c r="H8" s="1754"/>
      <c r="I8" s="1370"/>
    </row>
    <row r="9" spans="1:12" ht="12.75">
      <c r="A9" s="3551"/>
      <c r="B9" s="3606"/>
      <c r="C9" s="3610"/>
      <c r="D9" s="3597"/>
      <c r="E9" s="131" t="s">
        <v>1274</v>
      </c>
      <c r="F9" s="1754"/>
      <c r="G9" s="1754"/>
      <c r="H9" s="1754"/>
      <c r="I9" s="1370"/>
    </row>
    <row r="10" spans="1:12" ht="12.75">
      <c r="A10" s="3551" t="s">
        <v>1275</v>
      </c>
      <c r="B10" s="3606">
        <v>15</v>
      </c>
      <c r="C10" s="3609"/>
      <c r="D10" s="3597"/>
      <c r="E10" s="131" t="s">
        <v>1276</v>
      </c>
      <c r="F10" s="1754"/>
      <c r="G10" s="1754"/>
      <c r="H10" s="1754"/>
      <c r="I10" s="1370"/>
    </row>
    <row r="11" spans="1:12" ht="12.75">
      <c r="A11" s="3551"/>
      <c r="B11" s="3606"/>
      <c r="C11" s="3610"/>
      <c r="D11" s="3597"/>
      <c r="E11" s="131" t="s">
        <v>1277</v>
      </c>
      <c r="F11" s="1754"/>
      <c r="G11" s="1754"/>
      <c r="H11" s="1754"/>
      <c r="I11" s="1370"/>
    </row>
    <row r="12" spans="1:12" ht="12.75">
      <c r="A12" s="3551" t="s">
        <v>1278</v>
      </c>
      <c r="B12" s="3606">
        <v>15</v>
      </c>
      <c r="C12" s="3609"/>
      <c r="D12" s="3597"/>
      <c r="E12" s="131" t="s">
        <v>1279</v>
      </c>
      <c r="F12" s="1754"/>
      <c r="G12" s="1754"/>
      <c r="H12" s="1754"/>
      <c r="I12" s="1370"/>
    </row>
    <row r="13" spans="1:12" ht="12.75">
      <c r="A13" s="3551"/>
      <c r="B13" s="3606"/>
      <c r="C13" s="3610"/>
      <c r="D13" s="3597"/>
      <c r="E13" s="131" t="s">
        <v>1280</v>
      </c>
      <c r="F13" s="1754"/>
      <c r="G13" s="1754"/>
      <c r="H13" s="1754"/>
      <c r="I13" s="1370"/>
    </row>
    <row r="14" spans="1:12" ht="12.75">
      <c r="A14" s="3551" t="s">
        <v>1281</v>
      </c>
      <c r="B14" s="3606">
        <v>30</v>
      </c>
      <c r="C14" s="3609">
        <v>5</v>
      </c>
      <c r="D14" s="3597">
        <v>5</v>
      </c>
      <c r="E14" s="131" t="s">
        <v>1282</v>
      </c>
      <c r="F14" s="1754"/>
      <c r="G14" s="1754"/>
      <c r="H14" s="1754"/>
      <c r="I14" s="1370"/>
    </row>
    <row r="15" spans="1:12" ht="12.75">
      <c r="A15" s="3551"/>
      <c r="B15" s="3606"/>
      <c r="C15" s="3611"/>
      <c r="D15" s="3597"/>
      <c r="E15" s="131" t="s">
        <v>1283</v>
      </c>
      <c r="F15" s="1754"/>
      <c r="G15" s="1754"/>
      <c r="H15" s="1754"/>
      <c r="I15" s="1370"/>
    </row>
    <row r="16" spans="1:12" ht="12.75">
      <c r="A16" s="3551"/>
      <c r="B16" s="3606"/>
      <c r="C16" s="3610"/>
      <c r="D16" s="3597"/>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628" t="s">
        <v>2130</v>
      </c>
      <c r="F18" s="3629"/>
      <c r="G18" s="3629"/>
      <c r="H18" s="3629"/>
      <c r="I18" s="3629"/>
      <c r="K18" s="302" t="s">
        <v>1289</v>
      </c>
      <c r="L18" s="302">
        <f>IF(C1="",'数据-汇总表'!E3,SUMIF(项目类型,C1,'数据-汇总表'!E17:E26)+SUMIF(项目类型,C1,'数据-汇总表'!I17:I26))</f>
        <v>24865.040000000005</v>
      </c>
      <c r="M18" s="302">
        <f>IF(C1="",'数据-汇总表'!E3,SUMIF(项目类型,C1,'数据-汇总表'!E17:E26))</f>
        <v>24865.040000000005</v>
      </c>
    </row>
    <row r="19" spans="1:36" ht="15">
      <c r="A19" s="1758" t="s">
        <v>1290</v>
      </c>
      <c r="B19" s="1759" t="s">
        <v>1291</v>
      </c>
      <c r="C19" s="134">
        <f ca="1">SUMIF(INDIRECT("'"&amp;C4&amp;"'"&amp;"!A:A"),结果表!B19,INDIRECT("'"&amp;C4&amp;"'"&amp;"!B:B"))</f>
        <v>5895</v>
      </c>
      <c r="D19" s="135">
        <f ca="1">SUMIF(INDIRECT("'"&amp;D4&amp;"'"&amp;"!A:A"),结果表!B19,INDIRECT("'"&amp;D4&amp;"'"&amp;"!B:B"))</f>
        <v>8013</v>
      </c>
      <c r="E19" s="1758" t="s">
        <v>1292</v>
      </c>
      <c r="F19" s="1759" t="s">
        <v>1291</v>
      </c>
      <c r="G19" s="136">
        <f ca="1">ROUND(C19*$C$18+D19*$D$18,0)</f>
        <v>6954</v>
      </c>
      <c r="H19" s="1760" t="s">
        <v>1293</v>
      </c>
      <c r="I19" s="129"/>
      <c r="K19" s="302" t="s">
        <v>1294</v>
      </c>
      <c r="L19" s="302">
        <f>IF(C1="",'数据-汇总表'!D3,SUMIF(项目类型,C1,'数据-汇总表'!D17:D26)+SUMIF(项目类型,C1,'数据-汇总表'!H17:H27))</f>
        <v>1899.7</v>
      </c>
      <c r="M19" s="302">
        <f>IF(C1="",'数据-汇总表'!D3,SUMIF(项目类型,C1,'数据-汇总表'!D17:D26))</f>
        <v>1899.7</v>
      </c>
    </row>
    <row r="20" spans="1:36" ht="15">
      <c r="A20" s="1761"/>
      <c r="B20" s="1023" t="s">
        <v>1295</v>
      </c>
      <c r="C20" s="137">
        <f ca="1">SUMIF(INDIRECT("'"&amp;C4&amp;"'"&amp;"!A:A"),结果表!B20,INDIRECT("'"&amp;C4&amp;"'"&amp;"!B:B"))</f>
        <v>39129</v>
      </c>
      <c r="D20" s="138">
        <f ca="1">SUMIF(INDIRECT("'"&amp;D4&amp;"'"&amp;"!A:A"),结果表!B20,INDIRECT("'"&amp;D4&amp;"'"&amp;"!B:B"))</f>
        <v>53189</v>
      </c>
      <c r="E20" s="1761"/>
      <c r="F20" s="1023" t="s">
        <v>1295</v>
      </c>
      <c r="G20" s="139">
        <f ca="1">ROUND(C20*$C$18+D20*$D$18,0)</f>
        <v>46159</v>
      </c>
      <c r="H20" s="806" t="s">
        <v>1296</v>
      </c>
      <c r="I20" s="129"/>
    </row>
    <row r="21" spans="1:36" ht="15" customHeight="1" thickBot="1">
      <c r="A21" s="826"/>
      <c r="B21" s="1762" t="s">
        <v>1297</v>
      </c>
      <c r="C21" s="717">
        <f ca="1">ROUND(C19*10000/L19,0)</f>
        <v>31031</v>
      </c>
      <c r="D21" s="718">
        <f ca="1">ROUND(D19*10000/L19,0)</f>
        <v>42180</v>
      </c>
      <c r="E21" s="826"/>
      <c r="F21" s="1762" t="s">
        <v>1297</v>
      </c>
      <c r="G21" s="140">
        <f ca="1">ROUND(G19*10000/L19,0)</f>
        <v>36606</v>
      </c>
      <c r="H21" s="1763" t="s">
        <v>1296</v>
      </c>
      <c r="I21" s="129"/>
    </row>
    <row r="22" spans="1:36" ht="15" thickBot="1">
      <c r="A22" s="1685" t="s">
        <v>1298</v>
      </c>
      <c r="B22" s="1764"/>
      <c r="C22" s="1765"/>
      <c r="D22" s="719">
        <f ca="1">IF(C19&lt;D19,D19/C19-1,C19/D19-1)</f>
        <v>0.35928753180661577</v>
      </c>
      <c r="E22" s="129"/>
      <c r="F22" s="129"/>
      <c r="G22" s="129"/>
      <c r="H22" s="129"/>
      <c r="I22" s="129"/>
    </row>
    <row r="23" spans="1:36" ht="13.5" thickBot="1">
      <c r="A23" s="1744"/>
      <c r="B23" s="1744"/>
      <c r="C23" s="1744"/>
      <c r="D23" s="1744"/>
      <c r="E23" s="129"/>
      <c r="F23" s="129"/>
      <c r="G23" s="129"/>
      <c r="H23" s="129"/>
      <c r="I23" s="129"/>
    </row>
    <row r="24" spans="1:36" ht="14.25">
      <c r="A24" s="3621" t="s">
        <v>1299</v>
      </c>
      <c r="B24" s="1759" t="s">
        <v>1291</v>
      </c>
      <c r="C24" s="136">
        <f>IF(B30=0,0,D30)</f>
        <v>0</v>
      </c>
      <c r="D24" s="1766"/>
      <c r="E24" s="129"/>
      <c r="F24" s="129"/>
      <c r="G24" s="129"/>
      <c r="H24" s="129"/>
      <c r="I24" s="129"/>
    </row>
    <row r="25" spans="1:36" ht="14.25">
      <c r="A25" s="3622"/>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6954</v>
      </c>
      <c r="D32" s="1772" t="s">
        <v>3401</v>
      </c>
      <c r="E32" s="129"/>
      <c r="F32" s="129"/>
      <c r="G32" s="129"/>
      <c r="H32" s="129"/>
      <c r="I32" s="129"/>
    </row>
    <row r="33" spans="1:15" ht="15">
      <c r="A33" s="784" t="s">
        <v>1306</v>
      </c>
      <c r="B33" s="1773"/>
      <c r="C33" s="1774" t="s">
        <v>3402</v>
      </c>
      <c r="D33" s="1775" t="s">
        <v>3400</v>
      </c>
      <c r="E33" s="1776" t="s">
        <v>1307</v>
      </c>
      <c r="F33" s="1777" t="str">
        <f>IF(D32="楼面单价","取值（单价）","取值（总价）")</f>
        <v>取值（总价）</v>
      </c>
      <c r="G33" s="129"/>
      <c r="H33" s="129"/>
      <c r="I33" s="129"/>
    </row>
    <row r="34" spans="1:15" ht="15">
      <c r="A34" s="1778"/>
      <c r="B34" s="1779"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0" t="s">
        <v>1309</v>
      </c>
      <c r="F34" s="1327"/>
      <c r="G34" s="129"/>
      <c r="H34" s="129"/>
      <c r="I34" s="129"/>
    </row>
    <row r="35" spans="1:15" ht="15.75" thickBot="1">
      <c r="A35" s="1781"/>
      <c r="B35" s="1782" t="s">
        <v>1310</v>
      </c>
      <c r="C35" s="1167" t="e">
        <f ca="1">IF(C33="自定义",F35,ROUND(C32*D35,0))</f>
        <v>#DIV/0!</v>
      </c>
      <c r="D35" s="1168" t="e">
        <f ca="1">IF(C33="自定义",ROUND(C35/C32,3),IF(C33="收益比率",SUMIF(INDIRECT("'"&amp;D33&amp;"'"&amp;"!b:b"),"建筑物收益比率",INDIRECT("'"&amp;D33&amp;"'"&amp;"!c:c")),SUMIF(INDIRECT("'"&amp;D33&amp;"'"&amp;"!b:b"),"建筑物成本比率",INDIRECT("'"&amp;D33&amp;"'"&amp;"!c:c"))))</f>
        <v>#DIV/0!</v>
      </c>
      <c r="E35" s="1783" t="s">
        <v>1311</v>
      </c>
      <c r="F35" s="154"/>
      <c r="G35" s="129"/>
      <c r="H35" s="129"/>
      <c r="I35" s="129"/>
    </row>
    <row r="36" spans="1:15" ht="15.75" thickBot="1">
      <c r="A36" s="3598" t="s">
        <v>1312</v>
      </c>
      <c r="B36" s="1784" t="s">
        <v>1313</v>
      </c>
      <c r="C36" s="145"/>
      <c r="D36" s="1785"/>
      <c r="E36" s="1786"/>
      <c r="F36" s="1787"/>
      <c r="G36" s="129"/>
      <c r="H36" s="129"/>
      <c r="I36" s="129"/>
    </row>
    <row r="37" spans="1:15" ht="15.75" thickBot="1">
      <c r="A37" s="3599"/>
      <c r="B37" s="1671" t="s">
        <v>1314</v>
      </c>
      <c r="C37" s="147"/>
      <c r="D37" s="1136"/>
      <c r="E37" s="1136"/>
      <c r="F37" s="1787"/>
      <c r="G37" s="129"/>
      <c r="H37" s="129"/>
      <c r="I37" s="129"/>
    </row>
    <row r="38" spans="1:15" ht="15.75" thickBot="1">
      <c r="A38" s="3600"/>
      <c r="B38" s="1788" t="s">
        <v>1315</v>
      </c>
      <c r="C38" s="672"/>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18" t="s">
        <v>1326</v>
      </c>
      <c r="B45" s="3619"/>
      <c r="C45" s="3620"/>
      <c r="D45" s="155">
        <f ca="1">ROUND(H101*F45,0)</f>
        <v>6954</v>
      </c>
      <c r="E45" s="156" t="s">
        <v>1327</v>
      </c>
      <c r="F45" s="157">
        <v>1</v>
      </c>
      <c r="G45" s="158" t="s">
        <v>1328</v>
      </c>
      <c r="H45" s="129"/>
      <c r="I45" s="129"/>
      <c r="J45" s="3538" t="s">
        <v>1329</v>
      </c>
      <c r="K45" s="3538"/>
      <c r="L45" s="3538"/>
      <c r="M45" s="3538"/>
      <c r="N45" s="3538"/>
      <c r="O45" s="3538"/>
    </row>
    <row r="46" spans="1:15" ht="14.25" customHeight="1">
      <c r="A46" s="3615" t="s">
        <v>1330</v>
      </c>
      <c r="B46" s="3616"/>
      <c r="C46" s="3616"/>
      <c r="D46" s="3616"/>
      <c r="E46" s="3616"/>
      <c r="F46" s="3616"/>
      <c r="G46" s="3617"/>
      <c r="H46" s="1803"/>
      <c r="I46" s="159"/>
      <c r="J46" s="2520">
        <v>1</v>
      </c>
      <c r="K46" s="3539" t="s">
        <v>1331</v>
      </c>
      <c r="L46" s="3539"/>
      <c r="M46" s="3540"/>
      <c r="N46" s="3540"/>
      <c r="O46" s="3540"/>
    </row>
    <row r="47" spans="1:15" ht="12" customHeight="1">
      <c r="A47" s="160" t="s">
        <v>1332</v>
      </c>
      <c r="B47" s="161"/>
      <c r="C47" s="162"/>
      <c r="D47" s="1084" t="s">
        <v>1333</v>
      </c>
      <c r="E47" s="302" t="s">
        <v>1334</v>
      </c>
      <c r="F47" s="163" t="s">
        <v>1335</v>
      </c>
      <c r="G47" s="2543" t="s">
        <v>1336</v>
      </c>
      <c r="H47" s="2544"/>
      <c r="I47" s="159"/>
      <c r="J47" s="2520">
        <v>2</v>
      </c>
      <c r="K47" s="3539" t="s">
        <v>1337</v>
      </c>
      <c r="L47" s="3539"/>
      <c r="M47" s="3541">
        <f>'数据-取费表'!B2</f>
        <v>45161</v>
      </c>
      <c r="N47" s="3541"/>
      <c r="O47" s="3541"/>
    </row>
    <row r="48" spans="1:15" ht="25.5">
      <c r="A48" s="3601" t="s">
        <v>1338</v>
      </c>
      <c r="B48" s="3602"/>
      <c r="C48" s="3602"/>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3"/>
      <c r="J48" s="2520">
        <v>3</v>
      </c>
      <c r="K48" s="3539" t="s">
        <v>1340</v>
      </c>
      <c r="L48" s="3539"/>
      <c r="M48" s="3542">
        <f ca="1">H101</f>
        <v>6954</v>
      </c>
      <c r="N48" s="3542"/>
      <c r="O48" s="3542"/>
    </row>
    <row r="49" spans="1:35" ht="25.5" customHeight="1">
      <c r="A49" s="2330" t="s">
        <v>1341</v>
      </c>
      <c r="B49" s="3587" t="s">
        <v>1342</v>
      </c>
      <c r="C49" s="3587"/>
      <c r="D49" s="1587">
        <v>0</v>
      </c>
      <c r="E49" s="324" t="s">
        <v>1343</v>
      </c>
      <c r="F49" s="2421" t="s">
        <v>28</v>
      </c>
      <c r="G49" s="3570"/>
      <c r="H49" s="2307" t="s">
        <v>2133</v>
      </c>
      <c r="I49" s="2308"/>
      <c r="J49" s="2520">
        <v>4</v>
      </c>
      <c r="K49" s="3539" t="str">
        <f>IF(项目基本情况!E8="房地产抵押价值","房地产抵押价值","抵押担保权已注销时的房地产抵押价值")</f>
        <v>房地产抵押价值</v>
      </c>
      <c r="L49" s="3539"/>
      <c r="M49" s="3542">
        <f ca="1">IF(项目基本情况!E8="房地产抵押价值",H107,H109)</f>
        <v>6954</v>
      </c>
      <c r="N49" s="3542"/>
      <c r="O49" s="3542"/>
    </row>
    <row r="50" spans="1:35" ht="25.5" customHeight="1">
      <c r="A50" s="2548"/>
      <c r="B50" s="3587" t="s">
        <v>1344</v>
      </c>
      <c r="C50" s="3587"/>
      <c r="D50" s="2549"/>
      <c r="E50" s="332"/>
      <c r="F50" s="2421"/>
      <c r="G50" s="3571"/>
      <c r="H50" s="2309" t="s">
        <v>2134</v>
      </c>
      <c r="I50" s="2308"/>
      <c r="J50" s="3538" t="s">
        <v>1345</v>
      </c>
      <c r="K50" s="3538"/>
      <c r="L50" s="3538"/>
      <c r="M50" s="3538"/>
      <c r="N50" s="3538"/>
      <c r="O50" s="3538"/>
    </row>
    <row r="51" spans="1:35" ht="20.45" customHeight="1">
      <c r="A51" s="2550"/>
      <c r="B51" s="3587" t="s">
        <v>1346</v>
      </c>
      <c r="C51" s="3587"/>
      <c r="D51" s="1084"/>
      <c r="E51" s="327"/>
      <c r="F51" s="2421"/>
      <c r="G51" s="3572"/>
      <c r="H51" s="2309" t="s">
        <v>2135</v>
      </c>
      <c r="I51" s="2308"/>
      <c r="J51" s="2521" t="s">
        <v>1347</v>
      </c>
      <c r="K51" s="3539" t="s">
        <v>1348</v>
      </c>
      <c r="L51" s="3539"/>
      <c r="M51" s="2521" t="s">
        <v>1349</v>
      </c>
      <c r="N51" s="2521" t="s">
        <v>1350</v>
      </c>
      <c r="O51" s="2521" t="s">
        <v>1351</v>
      </c>
    </row>
    <row r="52" spans="1:35" ht="24" customHeight="1">
      <c r="A52" s="2332" t="s">
        <v>1352</v>
      </c>
      <c r="B52" s="3587" t="s">
        <v>1353</v>
      </c>
      <c r="C52" s="3587"/>
      <c r="D52" s="1084">
        <f ca="1">ROUND(D45*'数据-取费表'!B41/(1+'数据-取费表'!C42),0)</f>
        <v>364</v>
      </c>
      <c r="E52" s="2331" t="s">
        <v>1354</v>
      </c>
      <c r="F52" s="2551">
        <f>'数据-取费表'!B41</f>
        <v>5.5000000000000007E-2</v>
      </c>
      <c r="G52" s="2552"/>
      <c r="H52" s="2541"/>
      <c r="I52" s="1804"/>
      <c r="J52" s="2520">
        <v>1</v>
      </c>
      <c r="K52" s="3564" t="s">
        <v>1355</v>
      </c>
      <c r="L52" s="3564"/>
      <c r="M52" s="2522" t="b">
        <f>D48</f>
        <v>0</v>
      </c>
      <c r="N52" s="2520" t="str">
        <f>E48</f>
        <v>销售额×税（费）率</v>
      </c>
      <c r="O52" s="2523">
        <f>F48</f>
        <v>5.5000000000000007E-2</v>
      </c>
    </row>
    <row r="53" spans="1:35" ht="12" customHeight="1">
      <c r="A53" s="2332" t="s">
        <v>1356</v>
      </c>
      <c r="B53" s="3588" t="s">
        <v>2286</v>
      </c>
      <c r="C53" s="3589"/>
      <c r="D53" s="1084">
        <f ca="1">ROUND(D45*'数据-取费表'!B41/(1+'数据-取费表'!C42),0)</f>
        <v>364</v>
      </c>
      <c r="E53" s="2331" t="s">
        <v>1354</v>
      </c>
      <c r="F53" s="2551">
        <f>'数据-取费表'!B41</f>
        <v>5.5000000000000007E-2</v>
      </c>
      <c r="G53" s="2552"/>
      <c r="H53" s="2541"/>
      <c r="I53" s="1804"/>
      <c r="J53" s="2520">
        <v>2</v>
      </c>
      <c r="K53" s="3564" t="s">
        <v>1357</v>
      </c>
      <c r="L53" s="3564"/>
      <c r="M53" s="2522">
        <f t="shared" ref="M53:O54" ca="1" si="0">D55</f>
        <v>3</v>
      </c>
      <c r="N53" s="2520" t="str">
        <f t="shared" si="0"/>
        <v>销售额×税（费）率</v>
      </c>
      <c r="O53" s="2523" t="str">
        <f t="shared" si="0"/>
        <v>免征</v>
      </c>
    </row>
    <row r="54" spans="1:35" ht="12" customHeight="1">
      <c r="A54" s="2332" t="s">
        <v>1358</v>
      </c>
      <c r="B54" s="3588" t="s">
        <v>2287</v>
      </c>
      <c r="C54" s="3589"/>
      <c r="D54" s="1084">
        <f ca="1">C68</f>
        <v>364</v>
      </c>
      <c r="E54" s="327" t="s">
        <v>1359</v>
      </c>
      <c r="F54" s="2551">
        <f>'数据-取费表'!B41</f>
        <v>5.5000000000000007E-2</v>
      </c>
      <c r="G54" s="2552"/>
      <c r="H54" s="2553"/>
      <c r="I54" s="1804"/>
      <c r="J54" s="2520">
        <v>3</v>
      </c>
      <c r="K54" s="3564" t="s">
        <v>1360</v>
      </c>
      <c r="L54" s="3564"/>
      <c r="M54" s="2522">
        <f t="shared" ca="1" si="0"/>
        <v>3942</v>
      </c>
      <c r="N54" s="2520" t="str">
        <f t="shared" si="0"/>
        <v>增值额×税（费）率</v>
      </c>
      <c r="O54" s="2524" t="str">
        <f t="shared" si="0"/>
        <v>免征</v>
      </c>
    </row>
    <row r="55" spans="1:35" ht="24" customHeight="1">
      <c r="A55" s="3624" t="s">
        <v>1361</v>
      </c>
      <c r="B55" s="3602"/>
      <c r="C55" s="3602"/>
      <c r="D55" s="2321">
        <f ca="1">IF(H55="个人住宅",0,ROUND(D45*I55,0))</f>
        <v>3</v>
      </c>
      <c r="E55" s="2331" t="s">
        <v>1362</v>
      </c>
      <c r="F55" s="2551" t="str">
        <f>IF(H55="正常",I55,"免征")</f>
        <v>免征</v>
      </c>
      <c r="G55" s="2552"/>
      <c r="H55" s="2547"/>
      <c r="I55" s="165">
        <f>'数据-取费表'!B49</f>
        <v>5.0000000000000001E-4</v>
      </c>
      <c r="J55" s="2520">
        <f>IF(H59="非个人房产","",4)</f>
        <v>4</v>
      </c>
      <c r="K55" s="3564" t="str">
        <f>IF(H59="非个人房产","——","个人所得税")</f>
        <v>个人所得税</v>
      </c>
      <c r="L55" s="3564"/>
      <c r="M55" s="2525">
        <f ca="1">D59</f>
        <v>66</v>
      </c>
      <c r="N55" s="2037" t="str">
        <f>E59</f>
        <v>差额计税</v>
      </c>
      <c r="O55" s="2526">
        <f>F59</f>
        <v>0.01</v>
      </c>
    </row>
    <row r="56" spans="1:35" ht="24.75">
      <c r="A56" s="3624" t="s">
        <v>1363</v>
      </c>
      <c r="B56" s="3602"/>
      <c r="C56" s="3602"/>
      <c r="D56" s="2321">
        <f ca="1">IF(H56="个人住宅",D57,D58)</f>
        <v>3942</v>
      </c>
      <c r="E56" s="2331" t="s">
        <v>1364</v>
      </c>
      <c r="F56" s="2551" t="str">
        <f>IF(H56="正常",F58,"免征")</f>
        <v>免征</v>
      </c>
      <c r="G56" s="2554" t="s">
        <v>1365</v>
      </c>
      <c r="H56" s="2555"/>
      <c r="I56" s="1805"/>
      <c r="J56" s="2520" t="str">
        <f>IF(项目基本情况!K6="上海银行",IF(J55="",4,J55+1),"")</f>
        <v/>
      </c>
      <c r="K56" s="3545" t="str">
        <f>IF(项目基本情况!K6="上海银行","其他处置费用","")</f>
        <v/>
      </c>
      <c r="L56" s="3546"/>
      <c r="M56" s="2522" t="str">
        <f>IF(项目基本情况!K6="上海银行",M69,"")</f>
        <v/>
      </c>
      <c r="N56" s="3545" t="str">
        <f>IF(项目基本情况!K6="上海银行","包含处置中涉及的律师、诉讼、拍卖、评估等费用","")</f>
        <v/>
      </c>
      <c r="O56" s="3548"/>
    </row>
    <row r="57" spans="1:35" ht="12.75">
      <c r="A57" s="2332" t="s">
        <v>1341</v>
      </c>
      <c r="B57" s="3588" t="s">
        <v>1366</v>
      </c>
      <c r="C57" s="3589"/>
      <c r="D57" s="1587">
        <v>0</v>
      </c>
      <c r="E57" s="324" t="s">
        <v>1343</v>
      </c>
      <c r="F57" s="302"/>
      <c r="G57" s="2552"/>
      <c r="H57" s="2556"/>
      <c r="I57" s="1805"/>
      <c r="J57" s="3564">
        <f>IF(AND(J55="",J56=""),4,IF(项目基本情况!K6="上海银行",结果表!J56+1,结果表!J55+1))</f>
        <v>5</v>
      </c>
      <c r="K57" s="3564" t="s">
        <v>1367</v>
      </c>
      <c r="L57" s="2527" t="s">
        <v>1368</v>
      </c>
      <c r="M57" s="2528"/>
      <c r="N57" s="2529">
        <f ca="1">SUMIF(M52:M56,"&lt;9e307")</f>
        <v>4011</v>
      </c>
      <c r="O57" s="2530"/>
      <c r="P57" s="2687">
        <f ca="1">N57/M49</f>
        <v>0.57679033649698019</v>
      </c>
    </row>
    <row r="58" spans="1:35" ht="24.75">
      <c r="A58" s="2332" t="s">
        <v>1352</v>
      </c>
      <c r="B58" s="3588" t="s">
        <v>1369</v>
      </c>
      <c r="C58" s="3587"/>
      <c r="D58" s="2321">
        <f ca="1">IF(H58="转让取得",C81,C97)</f>
        <v>3942</v>
      </c>
      <c r="E58" s="2331" t="s">
        <v>1364</v>
      </c>
      <c r="F58" s="302" t="s">
        <v>28</v>
      </c>
      <c r="G58" s="2552"/>
      <c r="H58" s="2555"/>
      <c r="I58" s="1805"/>
      <c r="J58" s="3564"/>
      <c r="K58" s="3564"/>
      <c r="L58" s="2527" t="s">
        <v>1370</v>
      </c>
      <c r="M58" s="2531"/>
      <c r="N58" s="2532" t="str">
        <f ca="1">NUMBERSTRING(INT(N57*10000),2)&amp;"元整"</f>
        <v>肆仟零壹拾壹万元整</v>
      </c>
      <c r="O58" s="2533"/>
    </row>
    <row r="59" spans="1:35" ht="24.75" thickBot="1">
      <c r="A59" s="3568" t="s">
        <v>1371</v>
      </c>
      <c r="B59" s="3569"/>
      <c r="C59" s="3569"/>
      <c r="D59" s="2557">
        <f ca="1">IF(H59="非个人房产","——",IF(H59="个人住宅（满五唯一有凭证）",0,IF(H59="个人其他（无凭证）",ROUND(D45*F59,0),ROUND(C67*F59,0))))</f>
        <v>66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566">
        <f>J57+1</f>
        <v>6</v>
      </c>
      <c r="K59" s="3564" t="s">
        <v>1372</v>
      </c>
      <c r="L59" s="2520" t="s">
        <v>1368</v>
      </c>
      <c r="M59" s="2534"/>
      <c r="N59" s="2535">
        <f ca="1">M49-N57</f>
        <v>2943</v>
      </c>
      <c r="O59" s="2536"/>
    </row>
    <row r="60" spans="1:35" ht="12" customHeight="1">
      <c r="A60" s="1806"/>
      <c r="B60" s="1744"/>
      <c r="C60" s="1744"/>
      <c r="D60" s="1744"/>
      <c r="E60" s="1575"/>
      <c r="F60" s="1805"/>
      <c r="G60" s="1805"/>
      <c r="H60" s="1807"/>
      <c r="I60" s="129"/>
      <c r="J60" s="3567"/>
      <c r="K60" s="3564"/>
      <c r="L60" s="2527" t="s">
        <v>1370</v>
      </c>
      <c r="M60" s="2531"/>
      <c r="N60" s="2532" t="str">
        <f ca="1">NUMBERSTRING(INT(N59*10000),2)&amp;"元整"</f>
        <v>贰仟玖佰肆拾叁万元整</v>
      </c>
      <c r="O60" s="2533"/>
    </row>
    <row r="61" spans="1:35" ht="13.5" thickBot="1">
      <c r="A61" s="3623" t="s">
        <v>1373</v>
      </c>
      <c r="B61" s="3623"/>
      <c r="C61" s="3623"/>
      <c r="D61" s="3623"/>
      <c r="E61" s="3623"/>
      <c r="F61" s="1805"/>
      <c r="G61" s="1805"/>
      <c r="H61" s="1807"/>
      <c r="I61" s="129"/>
      <c r="J61" s="2520">
        <f>J59+1</f>
        <v>7</v>
      </c>
      <c r="K61" s="3564" t="s">
        <v>1374</v>
      </c>
      <c r="L61" s="3564"/>
      <c r="M61" s="2537"/>
      <c r="N61" s="2538">
        <f ca="1">ROUND(N59*10000/'数据-汇总表'!E3,0)</f>
        <v>1184</v>
      </c>
      <c r="O61" s="2539"/>
    </row>
    <row r="62" spans="1:35" ht="12.75">
      <c r="A62" s="3583" t="s">
        <v>1375</v>
      </c>
      <c r="B62" s="3584"/>
      <c r="C62" s="2018"/>
      <c r="D62" s="2018" t="s">
        <v>1376</v>
      </c>
      <c r="E62" s="166" t="s">
        <v>1377</v>
      </c>
      <c r="F62" s="1805"/>
      <c r="G62" s="1805"/>
      <c r="H62" s="1807"/>
      <c r="I62" s="129"/>
    </row>
    <row r="63" spans="1:35" ht="12.75">
      <c r="A63" s="173" t="s">
        <v>330</v>
      </c>
      <c r="B63" s="167" t="s">
        <v>1378</v>
      </c>
      <c r="C63" s="2561">
        <f ca="1">ROUND((C64+C65)/(1+'数据-取费表'!C42),0)</f>
        <v>6623</v>
      </c>
      <c r="D63" s="167"/>
      <c r="E63" s="168"/>
      <c r="F63" s="1805"/>
      <c r="G63" s="1805"/>
      <c r="H63" s="1807"/>
      <c r="I63" s="129"/>
      <c r="J63" s="3547" t="s">
        <v>1379</v>
      </c>
      <c r="K63" s="1329" t="s">
        <v>1380</v>
      </c>
      <c r="L63" s="1329">
        <f ca="1">IF(M49&gt;10000,M49*0.5%,IF(AND(M49&gt;1000,M49&lt;=10000),M49*1%,IF(AND(M49&gt;100,M49&lt;=1000),M49*3%,IF(AND(M49&gt;10,M49&lt;=100),M49*5%,M49*8%))))</f>
        <v>69.540000000000006</v>
      </c>
      <c r="M63" s="302">
        <f ca="1">ROUND(L63,1)</f>
        <v>69.5</v>
      </c>
      <c r="N63" s="2540"/>
      <c r="Z63" s="1749"/>
      <c r="AI63" s="1750"/>
    </row>
    <row r="64" spans="1:35" ht="14.25" customHeight="1">
      <c r="A64" s="169" t="s">
        <v>325</v>
      </c>
      <c r="B64" s="170" t="s">
        <v>1381</v>
      </c>
      <c r="C64" s="2562">
        <f ca="1">D45</f>
        <v>6954</v>
      </c>
      <c r="D64" s="170" t="s">
        <v>26</v>
      </c>
      <c r="E64" s="172"/>
      <c r="F64" s="1805"/>
      <c r="G64" s="1805"/>
      <c r="H64" s="1807"/>
      <c r="I64" s="129"/>
      <c r="J64" s="3547"/>
      <c r="K64" s="1329" t="s">
        <v>1382</v>
      </c>
      <c r="L64" s="1329">
        <f ca="1">IF(M49&gt;2000,M49*0.5%,IF(AND(M49&gt;1000,M49&lt;=2000),M49*0.6%,IF(AND(M49&gt;500,M49&lt;=1000),M49*0.7%,IF(AND(M49&gt;200,M49&lt;=500),M49*0.8%,IF(AND(M49&gt;100,M49&lt;=200),M49*0.9%,IF(AND(M49&gt;50,M49&lt;=100),M49*1%,IF(AND(M49&gt;20,M49&lt;=50),M49*1.5%,IF(AND(M49&gt;10,M49&lt;=20),M49*2%,IF(AND(M49&gt;1,M49&lt;=10),M49*2.5%)))))))))</f>
        <v>34.770000000000003</v>
      </c>
      <c r="M64" s="302">
        <f t="shared" ref="M64:M65" ca="1" si="1">ROUND(L64,1)</f>
        <v>34.799999999999997</v>
      </c>
      <c r="N64" s="2541" t="s">
        <v>1383</v>
      </c>
      <c r="Z64" s="1749"/>
      <c r="AI64" s="1750"/>
    </row>
    <row r="65" spans="1:35" ht="14.25" customHeight="1">
      <c r="A65" s="169" t="s">
        <v>326</v>
      </c>
      <c r="B65" s="170" t="s">
        <v>1384</v>
      </c>
      <c r="C65" s="2563"/>
      <c r="D65" s="170"/>
      <c r="E65" s="172"/>
      <c r="F65" s="1805"/>
      <c r="G65" s="1805"/>
      <c r="H65" s="1807"/>
      <c r="I65" s="129"/>
      <c r="J65" s="3547"/>
      <c r="K65" s="1329" t="s">
        <v>1385</v>
      </c>
      <c r="L65" s="1329">
        <f ca="1">IF(M49&gt;1000,M49*0.1%,IF(AND(M49&gt;500,M49&lt;=1000),M49*0.5%,IF(AND(M49&gt;50,M49&lt;=500),M49*1%,IF(AND(M49&gt;1,M49&lt;=50),M49*1.5%))))</f>
        <v>6.9539999999999997</v>
      </c>
      <c r="M65" s="302">
        <f t="shared" ca="1" si="1"/>
        <v>7</v>
      </c>
      <c r="N65" s="2541" t="s">
        <v>1383</v>
      </c>
      <c r="Z65" s="1749"/>
      <c r="AI65" s="1750"/>
    </row>
    <row r="66" spans="1:35" ht="14.25" customHeight="1">
      <c r="A66" s="173" t="s">
        <v>327</v>
      </c>
      <c r="B66" s="174" t="s">
        <v>1386</v>
      </c>
      <c r="C66" s="2564"/>
      <c r="D66" s="174" t="s">
        <v>26</v>
      </c>
      <c r="E66" s="1335" t="s">
        <v>671</v>
      </c>
      <c r="F66" s="1805"/>
      <c r="G66" s="1805"/>
      <c r="H66" s="1807"/>
      <c r="I66" s="129"/>
      <c r="J66" s="3547"/>
      <c r="K66" s="1329" t="s">
        <v>1387</v>
      </c>
      <c r="L66" s="1329">
        <f ca="1">M49*0.5%</f>
        <v>34.770000000000003</v>
      </c>
      <c r="M66" s="302">
        <f ca="1">IF(L66&gt;0.5,0.5,ROUND(L66,0))</f>
        <v>0.5</v>
      </c>
      <c r="N66" s="2541" t="s">
        <v>1388</v>
      </c>
      <c r="Z66" s="1749"/>
      <c r="AI66" s="1750"/>
    </row>
    <row r="67" spans="1:35" ht="14.25" customHeight="1">
      <c r="A67" s="173" t="s">
        <v>328</v>
      </c>
      <c r="B67" s="174" t="s">
        <v>1389</v>
      </c>
      <c r="C67" s="2565">
        <f ca="1">C63-C66</f>
        <v>6623</v>
      </c>
      <c r="D67" s="170" t="s">
        <v>26</v>
      </c>
      <c r="E67" s="172"/>
      <c r="F67" s="1805"/>
      <c r="G67" s="1805"/>
      <c r="H67" s="1807"/>
      <c r="I67" s="129"/>
      <c r="J67" s="3547"/>
      <c r="K67" s="1329" t="s">
        <v>1390</v>
      </c>
      <c r="L67" s="1329">
        <f ca="1">IF(M49&gt;=10000,(8.25+(M49-10000)*0.01%),IF(AND(M49&gt;=8000,M49&lt;10000),(7.85+(M49-8000)*0.02%),IF(AND(M49&gt;=5000,M49&lt;8000),(6.65+(M49-5000)*0.04%),IF(AND(M49&gt;=2000,M49&lt;5000),(4.25+(PM49-2000)*0.08%),IF(AND(M49&gt;=1000,M49&lt;2000),(2.75+(M49-1000)*0.15%),IF(AND(M49&gt;=100,M49&lt;1000),(0.5+(M49-100)*0.25%),IF(AND(M49&gt;0,M49&lt;100),M49*0.5%)))))))</f>
        <v>7.4316000000000004</v>
      </c>
      <c r="M67" s="302">
        <f ca="1">ROUND(L67*0.9,1)</f>
        <v>6.7</v>
      </c>
      <c r="N67" s="2540"/>
      <c r="Z67" s="1749"/>
      <c r="AI67" s="1750"/>
    </row>
    <row r="68" spans="1:35" ht="14.25" customHeight="1" thickBot="1">
      <c r="A68" s="176" t="s">
        <v>329</v>
      </c>
      <c r="B68" s="177" t="s">
        <v>1391</v>
      </c>
      <c r="C68" s="2566">
        <f ca="1">IF(C67&lt;=0,0,ROUND(C67*D68,0))</f>
        <v>364</v>
      </c>
      <c r="D68" s="2567">
        <f>'数据-取费表'!B41</f>
        <v>5.5000000000000007E-2</v>
      </c>
      <c r="E68" s="178"/>
      <c r="F68" s="1805"/>
      <c r="G68" s="1805"/>
      <c r="H68" s="1807"/>
      <c r="I68" s="129"/>
      <c r="J68" s="3547"/>
      <c r="K68" s="1329" t="s">
        <v>1392</v>
      </c>
      <c r="L68" s="1329">
        <f ca="1">IF(M49&gt;10000,M49*0.5%,IF(AND(M49&gt;5000,M49&lt;=10000),M49*1%,IF(AND(M49&gt;1000,M49&lt;=5000),M49*2%,IF(AND(M49&gt;200,M49&lt;=1000),M49*3%,M49*5%))))</f>
        <v>69.540000000000006</v>
      </c>
      <c r="M68" s="302">
        <f ca="1">ROUND(L68,1)</f>
        <v>69.5</v>
      </c>
      <c r="N68" s="2540"/>
      <c r="Z68" s="1749"/>
      <c r="AI68" s="1750"/>
    </row>
    <row r="69" spans="1:35" s="1769" customFormat="1" ht="16.5" customHeight="1">
      <c r="A69" s="1808"/>
      <c r="B69" s="1809"/>
      <c r="C69" s="1810"/>
      <c r="D69" s="1811"/>
      <c r="E69" s="1812"/>
      <c r="F69" s="1575"/>
      <c r="G69" s="1575"/>
      <c r="H69" s="1574"/>
      <c r="I69" s="1744"/>
      <c r="J69" s="3547"/>
      <c r="K69" s="1329" t="s">
        <v>1393</v>
      </c>
      <c r="L69" s="1329"/>
      <c r="M69" s="302">
        <f ca="1">ROUND(SUM(M63:M68),0)</f>
        <v>188</v>
      </c>
      <c r="N69" s="2542">
        <f ca="1">M69/M49</f>
        <v>2.7034800115041703E-2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591" t="s">
        <v>1394</v>
      </c>
      <c r="B70" s="3592"/>
      <c r="C70" s="3592"/>
      <c r="D70" s="3592"/>
      <c r="E70" s="3592"/>
      <c r="F70" s="3592"/>
      <c r="G70" s="3592"/>
      <c r="H70" s="3592"/>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83" t="s">
        <v>1375</v>
      </c>
      <c r="B71" s="3584"/>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6623</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33</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c r="D75" s="170" t="s">
        <v>26</v>
      </c>
      <c r="E75" s="184" t="s">
        <v>1399</v>
      </c>
      <c r="F75" s="2569"/>
      <c r="G75" s="184" t="s">
        <v>1400</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588" t="s">
        <v>1402</v>
      </c>
      <c r="F76" s="3587"/>
      <c r="G76" s="3587"/>
      <c r="H76" s="3590"/>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33</v>
      </c>
      <c r="D78" s="2574">
        <f>'数据-取费表'!B43</f>
        <v>5.000000000000001E-3</v>
      </c>
      <c r="E78" s="3580" t="s">
        <v>1406</v>
      </c>
      <c r="F78" s="3581"/>
      <c r="G78" s="3581"/>
      <c r="H78" s="358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6590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199.69696969696969</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3942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591" t="s">
        <v>1410</v>
      </c>
      <c r="B83" s="3592"/>
      <c r="C83" s="3592"/>
      <c r="D83" s="3592"/>
      <c r="E83" s="3592"/>
      <c r="F83" s="3592"/>
      <c r="G83" s="3592"/>
      <c r="H83" s="3592"/>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83" t="s">
        <v>1375</v>
      </c>
      <c r="B84" s="3584"/>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6623</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33</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549" t="s">
        <v>2128</v>
      </c>
      <c r="H90" s="3550"/>
      <c r="I90" s="1818"/>
      <c r="J90" s="2518"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580" t="s">
        <v>1419</v>
      </c>
      <c r="F91" s="3581"/>
      <c r="G91" s="3581"/>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580" t="s">
        <v>1422</v>
      </c>
      <c r="F92" s="3581"/>
      <c r="G92" s="3581"/>
      <c r="H92" s="3582"/>
      <c r="I92" s="1818"/>
      <c r="J92" s="2519"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33</v>
      </c>
      <c r="D93" s="2574">
        <f>'数据-取费表'!B43</f>
        <v>5.000000000000001E-3</v>
      </c>
      <c r="E93" s="3580" t="s">
        <v>1406</v>
      </c>
      <c r="F93" s="3581"/>
      <c r="G93" s="3581"/>
      <c r="H93" s="358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25" t="s">
        <v>1426</v>
      </c>
      <c r="F94" s="3626"/>
      <c r="G94" s="3626"/>
      <c r="H94" s="362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6590</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199.69696969696969</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3942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2" t="str">
        <f>C4</f>
        <v>比较法-办公</v>
      </c>
      <c r="D101" s="2583" t="str">
        <f>D4</f>
        <v>收益法</v>
      </c>
      <c r="E101" s="3543" t="s">
        <v>1431</v>
      </c>
      <c r="F101" s="3544"/>
      <c r="G101" s="1824" t="s">
        <v>1432</v>
      </c>
      <c r="H101" s="2592">
        <f ca="1">H118</f>
        <v>6954</v>
      </c>
      <c r="I101" s="129"/>
    </row>
    <row r="102" spans="1:35" ht="18.75" customHeight="1">
      <c r="A102" s="3575" t="s">
        <v>1433</v>
      </c>
      <c r="B102" s="2581" t="s">
        <v>1432</v>
      </c>
      <c r="C102" s="2582">
        <f ca="1">IF(D32="楼面单价",ROUND(C19,0),C19)</f>
        <v>5895</v>
      </c>
      <c r="D102" s="2583">
        <f ca="1">IF(D32="楼面单价",ROUND(D19,0),D19)</f>
        <v>8013</v>
      </c>
      <c r="E102" s="3543"/>
      <c r="F102" s="3544"/>
      <c r="G102" s="1824" t="s">
        <v>1434</v>
      </c>
      <c r="H102" s="2552">
        <f ca="1">I118</f>
        <v>2797</v>
      </c>
      <c r="I102" s="129"/>
    </row>
    <row r="103" spans="1:35" ht="42.75" customHeight="1">
      <c r="A103" s="3575"/>
      <c r="B103" s="2581" t="s">
        <v>1434</v>
      </c>
      <c r="C103" s="2584">
        <f ca="1">C20</f>
        <v>39129</v>
      </c>
      <c r="D103" s="2585">
        <f ca="1">D20</f>
        <v>53189</v>
      </c>
      <c r="E103" s="3536" t="s">
        <v>1435</v>
      </c>
      <c r="F103" s="3537"/>
      <c r="G103" s="1825" t="s">
        <v>1436</v>
      </c>
      <c r="H103" s="2592">
        <f>IF(D36="正常操作",H104+H105+H106,H105+H106)</f>
        <v>0</v>
      </c>
      <c r="I103" s="129"/>
    </row>
    <row r="104" spans="1:35" ht="18.75" customHeight="1">
      <c r="A104" s="3575" t="s">
        <v>1437</v>
      </c>
      <c r="B104" s="2586" t="s">
        <v>1432</v>
      </c>
      <c r="C104" s="2587">
        <f ca="1">H118</f>
        <v>6954</v>
      </c>
      <c r="D104" s="2588"/>
      <c r="E104" s="1671" t="s">
        <v>1438</v>
      </c>
      <c r="F104" s="1663"/>
      <c r="G104" s="1825" t="s">
        <v>1436</v>
      </c>
      <c r="H104" s="2593">
        <f>IF(D36="同一抵押权人同一抵押物续贷",C36&amp;"（续贷，未扣减，详见特别提示）",C36)</f>
        <v>0</v>
      </c>
      <c r="I104" s="129"/>
    </row>
    <row r="105" spans="1:35" ht="18.75" customHeight="1" thickBot="1">
      <c r="A105" s="3585"/>
      <c r="B105" s="2589" t="s">
        <v>1434</v>
      </c>
      <c r="C105" s="2590">
        <f ca="1">I118</f>
        <v>2797</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576" t="str">
        <f>IF(项目基本情况!E8="已注销","——","3.房地产抵押价值")</f>
        <v>3.房地产抵押价值</v>
      </c>
      <c r="F107" s="3544"/>
      <c r="G107" s="1824" t="s">
        <v>1432</v>
      </c>
      <c r="H107" s="2592">
        <f ca="1">IF(E107="——","——",H101-H103)</f>
        <v>6954</v>
      </c>
      <c r="I107" s="129"/>
    </row>
    <row r="108" spans="1:35" ht="18.75" customHeight="1">
      <c r="A108" s="129"/>
      <c r="B108" s="129"/>
      <c r="C108" s="129"/>
      <c r="D108" s="129"/>
      <c r="E108" s="3576"/>
      <c r="F108" s="3544"/>
      <c r="G108" s="1824" t="s">
        <v>1434</v>
      </c>
      <c r="H108" s="2552">
        <f ca="1">IF(H107=H101,H102,ROUND(H107*10000/'数据-汇总表'!E3,0))</f>
        <v>2797</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v>
      </c>
      <c r="F109" s="3544"/>
      <c r="G109" s="1824" t="s">
        <v>1432</v>
      </c>
      <c r="H109" s="2595" t="str">
        <f>IF(E109="——","——",H101-H105-H106)</f>
        <v>——</v>
      </c>
      <c r="I109" s="129"/>
    </row>
    <row r="110" spans="1:35" ht="18.75" customHeight="1">
      <c r="A110" s="129"/>
      <c r="B110" s="129"/>
      <c r="C110" s="129"/>
      <c r="D110" s="129"/>
      <c r="E110" s="3576"/>
      <c r="F110" s="3544"/>
      <c r="G110" s="1824" t="s">
        <v>1434</v>
      </c>
      <c r="H110" s="2552" t="str">
        <f>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v>
      </c>
      <c r="F111" s="3563"/>
      <c r="G111" s="1824" t="s">
        <v>1432</v>
      </c>
      <c r="H111" s="2592" t="str">
        <f>IF(E111="——","——",N59)</f>
        <v>——</v>
      </c>
      <c r="I111" s="129"/>
    </row>
    <row r="112" spans="1:35" ht="18.75" customHeight="1" thickBot="1">
      <c r="A112" s="129"/>
      <c r="B112" s="129"/>
      <c r="C112" s="129"/>
      <c r="D112" s="129"/>
      <c r="E112" s="3578"/>
      <c r="F112" s="3579"/>
      <c r="G112" s="1827" t="s">
        <v>1434</v>
      </c>
      <c r="H112" s="2596" t="str">
        <f>IF(E111="——","——",N61)</f>
        <v>——</v>
      </c>
      <c r="I112" s="129"/>
    </row>
    <row r="113" spans="1:27" ht="18.75" customHeight="1">
      <c r="A113" s="129"/>
      <c r="B113" s="129"/>
      <c r="C113" s="129"/>
      <c r="D113" s="129"/>
      <c r="E113" s="3586" t="s">
        <v>1440</v>
      </c>
      <c r="F113" s="3586"/>
      <c r="G113" s="3586"/>
      <c r="H113" s="3586"/>
      <c r="I113" s="129"/>
    </row>
    <row r="114" spans="1:27" ht="3.75" customHeight="1">
      <c r="A114" s="1744"/>
      <c r="B114" s="1744"/>
      <c r="C114" s="1744"/>
      <c r="D114" s="1744"/>
      <c r="E114" s="1806"/>
      <c r="F114" s="1806"/>
      <c r="G114" s="1806"/>
      <c r="H114" s="1806"/>
      <c r="I114" s="1744"/>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24865.040000000005</v>
      </c>
      <c r="C118" s="2326">
        <f>M19</f>
        <v>1899.7</v>
      </c>
      <c r="D118" s="2326" t="e">
        <f ca="1">ROUND(IF(D32="总价",C34,E118*B118/10000),0)</f>
        <v>#DIV/0!</v>
      </c>
      <c r="E118" s="2326" t="e">
        <f ca="1">ROUND(IF(C33="自定义",IF(D32="楼面单价",C34,D118*10000/B118),I118-G118),0)</f>
        <v>#DIV/0!</v>
      </c>
      <c r="F118" s="2326" t="e">
        <f ca="1">ROUND(IF(D32="总价",C35,G118*B118/10000),0)</f>
        <v>#DIV/0!</v>
      </c>
      <c r="G118" s="2326" t="e">
        <f ca="1">ROUND(IF(D32="楼面单价",C35,F118*10000/B118),0)</f>
        <v>#DIV/0!</v>
      </c>
      <c r="H118" s="2326">
        <f ca="1">ROUND(IF(D32="总价",C32,I118*B118/10000),0)</f>
        <v>6954</v>
      </c>
      <c r="I118" s="2326">
        <f ca="1">ROUND(IF(D32="楼面单价",C32,H118*10000/B118),0)</f>
        <v>2797</v>
      </c>
    </row>
    <row r="119" spans="1:27" ht="18.75" customHeight="1">
      <c r="A119" s="3551" t="s">
        <v>1452</v>
      </c>
      <c r="B119" s="3551"/>
      <c r="C119" s="3551"/>
      <c r="D119" s="3557" t="e">
        <f ca="1">NUMBERSTRING(INT(D118*10000),2)&amp;"元整"</f>
        <v>#DIV/0!</v>
      </c>
      <c r="E119" s="3558"/>
      <c r="F119" s="3557" t="e">
        <f ca="1">NUMBERSTRING(INT(F118*10000),2)&amp;"元整"</f>
        <v>#DIV/0!</v>
      </c>
      <c r="G119" s="3558"/>
      <c r="H119" s="3557" t="str">
        <f ca="1">NUMBERSTRING(INT(H118*10000),2)&amp;"元整"</f>
        <v>陆仟玖佰伍拾肆万元整</v>
      </c>
      <c r="I119" s="3558"/>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57" t="s">
        <v>1452</v>
      </c>
      <c r="B121" s="3559"/>
      <c r="C121" s="3558"/>
      <c r="D121" s="3557" t="str">
        <f>IF(D120=0,"零元整",NUMBERSTRING(INT(D120*10000),2)&amp;"元整")</f>
        <v>零元整</v>
      </c>
      <c r="E121" s="3559"/>
      <c r="F121" s="3559"/>
      <c r="G121" s="3559"/>
      <c r="H121" s="3559"/>
      <c r="I121" s="3558"/>
      <c r="AA121" s="723"/>
    </row>
    <row r="122" spans="1:27" ht="18.75" customHeight="1">
      <c r="A122" s="3563" t="str">
        <f>IF(项目基本情况!B9="房地产市场价值","",MID(E107,3,LEN(E107)-2))</f>
        <v>房地产抵押价值</v>
      </c>
      <c r="B122" s="3563"/>
      <c r="C122" s="3563"/>
      <c r="D122" s="3552">
        <f ca="1">H107</f>
        <v>6954</v>
      </c>
      <c r="E122" s="3553"/>
      <c r="F122" s="3553"/>
      <c r="G122" s="3553"/>
      <c r="H122" s="3553"/>
      <c r="I122" s="3554"/>
      <c r="AA122" s="723"/>
    </row>
    <row r="123" spans="1:27" ht="18.75" customHeight="1">
      <c r="A123" s="3551" t="s">
        <v>1452</v>
      </c>
      <c r="B123" s="3551"/>
      <c r="C123" s="3551"/>
      <c r="D123" s="3557" t="str">
        <f ca="1">NUMBERSTRING(INT(D122*10000),2)&amp;"元整"</f>
        <v>陆仟玖佰伍拾肆万元整</v>
      </c>
      <c r="E123" s="3559"/>
      <c r="F123" s="3559"/>
      <c r="G123" s="3559"/>
      <c r="H123" s="3559"/>
      <c r="I123" s="3558"/>
      <c r="AA123" s="723"/>
    </row>
    <row r="124" spans="1:27" ht="18.75" customHeight="1">
      <c r="A124" s="3563" t="str">
        <f>IF(项目基本情况!B9="房地产市场价值","",MID(E109,3,LEN(E109)-2))</f>
        <v/>
      </c>
      <c r="B124" s="3563"/>
      <c r="C124" s="3563"/>
      <c r="D124" s="3552" t="str">
        <f>H109</f>
        <v>——</v>
      </c>
      <c r="E124" s="3553"/>
      <c r="F124" s="3553"/>
      <c r="G124" s="3553"/>
      <c r="H124" s="3553"/>
      <c r="I124" s="3554"/>
      <c r="AA124" s="723"/>
    </row>
    <row r="125" spans="1:27" ht="18.75" customHeight="1">
      <c r="A125" s="3551" t="s">
        <v>1452</v>
      </c>
      <c r="B125" s="3551"/>
      <c r="C125" s="3551"/>
      <c r="D125" s="3557" t="e">
        <f>NUMBERSTRING(INT(D124*10000),2)&amp;"元整"</f>
        <v>#VALUE!</v>
      </c>
      <c r="E125" s="3559"/>
      <c r="F125" s="3559"/>
      <c r="G125" s="3559"/>
      <c r="H125" s="3559"/>
      <c r="I125" s="3558"/>
      <c r="AA125" s="723"/>
    </row>
    <row r="126" spans="1:27" ht="18.75" customHeight="1">
      <c r="A126" s="3563" t="str">
        <f>IF(项目基本情况!B9="房地产市场价值","",MID(E111,3,LEN(E111)-2))</f>
        <v/>
      </c>
      <c r="B126" s="3563"/>
      <c r="C126" s="3563"/>
      <c r="D126" s="3552" t="str">
        <f>H111</f>
        <v>——</v>
      </c>
      <c r="E126" s="3553"/>
      <c r="F126" s="3553"/>
      <c r="G126" s="3553"/>
      <c r="H126" s="3553"/>
      <c r="I126" s="3554"/>
      <c r="AA126" s="723"/>
    </row>
    <row r="127" spans="1:27" ht="18.75" customHeight="1">
      <c r="A127" s="3551" t="s">
        <v>1452</v>
      </c>
      <c r="B127" s="3551"/>
      <c r="C127" s="3551"/>
      <c r="D127" s="3557" t="e">
        <f>NUMBERSTRING(INT(D126*10000),2)&amp;"元整"</f>
        <v>#VALUE!</v>
      </c>
      <c r="E127" s="3559"/>
      <c r="F127" s="3559"/>
      <c r="G127" s="3559"/>
      <c r="H127" s="3559"/>
      <c r="I127" s="3558"/>
      <c r="AA127" s="723"/>
    </row>
    <row r="128" spans="1:27" ht="21.75" customHeight="1">
      <c r="A128" s="3560" t="s">
        <v>1453</v>
      </c>
      <c r="B128" s="3560"/>
      <c r="C128" s="3560"/>
      <c r="D128" s="3560"/>
      <c r="E128" s="3560"/>
      <c r="F128" s="3560"/>
      <c r="G128" s="3560"/>
      <c r="H128" s="3560"/>
      <c r="I128" s="3560"/>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A48" sqref="A48:XFD8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t="e">
        <f ca="1">IF(D2="——",C52,C52-E2)</f>
        <v>#DIV/0!</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6" t="s">
        <v>1472</v>
      </c>
      <c r="B6" s="215" t="s">
        <v>1473</v>
      </c>
      <c r="C6" s="216" t="e">
        <f>基准地价修正!B2</f>
        <v>#DIV/0!</v>
      </c>
      <c r="D6" s="217"/>
      <c r="E6" s="218"/>
      <c r="F6" s="218"/>
      <c r="G6" s="219"/>
    </row>
    <row r="7" spans="1:9" s="214" customFormat="1" ht="13.5" customHeight="1">
      <c r="A7" s="776" t="s">
        <v>1474</v>
      </c>
      <c r="B7" s="215" t="s">
        <v>1475</v>
      </c>
      <c r="C7" s="220" t="e">
        <f>ROUND(C6*F7,0)</f>
        <v>#DIV/0!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3" t="s">
        <v>3397</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4" t="s">
        <v>3398</v>
      </c>
      <c r="H9" s="1134"/>
      <c r="I9" s="1855" t="s">
        <v>1479</v>
      </c>
    </row>
    <row r="10" spans="1:9" s="214" customFormat="1" ht="13.5" customHeight="1">
      <c r="A10" s="777" t="s">
        <v>356</v>
      </c>
      <c r="B10" s="224" t="s">
        <v>1480</v>
      </c>
      <c r="C10" s="225">
        <f ca="1">ROUND(D10*E10/10000,0)</f>
        <v>497</v>
      </c>
      <c r="D10" s="843">
        <f ca="1">IF(B1="",'数据-汇总表'!E6,IF(INDIRECT("'数据-取费表'!c"&amp;$G$1)="住宅",INDIRECT("'数据-取费表'!s"&amp;$G$1),INDIRECT("'数据-取费表'!k"&amp;$G$1)+INDIRECT("'数据-取费表'!s"&amp;$G$1)))</f>
        <v>24865.040000000005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24865.040000000005</v>
      </c>
      <c r="E19" s="211">
        <f>'数据-取费表'!B31</f>
        <v>200</v>
      </c>
      <c r="F19" s="231"/>
      <c r="G19" s="1853" t="s">
        <v>3399</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t="e">
        <f ca="1">ROUND(SUM(C23:C25),0)</f>
        <v>#DIV/0!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t="e">
        <f ca="1">ROUND(IF('数据-取费表'!B22&lt;=1,C5*F22*'数据-取费表'!B23,C5*(POWER((1+F22),'数据-取费表'!B23)-1)),0)</f>
        <v>#DIV/0!</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t="e">
        <f ca="1">ROUND(IF('数据-取费表'!B22&lt;=1,C20*F22*'数据-取费表'!B23/2,C20*(POWER((1+F22),'数据-取费表'!B23/2)-1)),0)</f>
        <v>#DIV/0!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t="e">
        <f ca="1">ROUND((C5+C19+C20)*F27*'数据-取费表'!B21/'数据-取费表'!B20,0)</f>
        <v>#DIV/0!</v>
      </c>
      <c r="D28" s="235"/>
      <c r="E28" s="236"/>
      <c r="F28" s="246"/>
      <c r="G28" s="247"/>
    </row>
    <row r="29" spans="1:7" s="214" customFormat="1" ht="13.5" customHeight="1">
      <c r="A29" s="778"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1205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678</v>
      </c>
      <c r="D34" s="217"/>
      <c r="E34" s="220"/>
      <c r="F34" s="257">
        <f ca="1">IF('数据-取费表'!B24=0,1,IF(B1="",'数据-取费表'!N16,INDIRECT("'数据-取费表'!n"&amp;$G$1)))</f>
        <v>1</v>
      </c>
      <c r="G34" s="219" t="s">
        <v>1526</v>
      </c>
    </row>
    <row r="35" spans="1:7" ht="13.5" customHeight="1">
      <c r="A35" s="778" t="s">
        <v>351</v>
      </c>
      <c r="B35" s="215" t="s">
        <v>1527</v>
      </c>
      <c r="C35" s="220">
        <f ca="1">ROUND(C34*F35,0)</f>
        <v>20</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497</v>
      </c>
      <c r="D37" s="217">
        <f ca="1">D19</f>
        <v>24865.040000000005</v>
      </c>
      <c r="E37" s="249">
        <f>'数据-取费表'!B35</f>
        <v>200</v>
      </c>
      <c r="F37" s="259"/>
      <c r="G37" s="261" t="s">
        <v>1532</v>
      </c>
    </row>
    <row r="38" spans="1:7" ht="13.5" customHeight="1">
      <c r="A38" s="778"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24</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43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42</v>
      </c>
      <c r="D42" s="238"/>
      <c r="E42" s="238"/>
      <c r="F42" s="239"/>
      <c r="G42" s="3630" t="s">
        <v>1544</v>
      </c>
    </row>
    <row r="43" spans="1:7" ht="13.5" customHeight="1">
      <c r="A43" s="778" t="s">
        <v>347</v>
      </c>
      <c r="B43" s="215" t="s">
        <v>1545</v>
      </c>
      <c r="C43" s="238">
        <f ca="1">ROUND(IF('数据-取费表'!B22&lt;=1,C39*F22*'数据-取费表'!B21/2,C39*(POWER((1+F22),'数据-取费表'!B21/2)-1)),0)</f>
        <v>1</v>
      </c>
      <c r="D43" s="238"/>
      <c r="E43" s="238"/>
      <c r="F43" s="239"/>
      <c r="G43" s="3631"/>
    </row>
    <row r="44" spans="1:7" ht="13.5" customHeight="1">
      <c r="A44" s="778" t="s">
        <v>348</v>
      </c>
      <c r="B44" s="215" t="s">
        <v>1546</v>
      </c>
      <c r="C44" s="238">
        <f ca="1">ROUND(IF('数据-取费表'!B22&lt;=1,C40*F22*'数据-取费表'!B21/2,C40*(POWER((1+F22),'数据-取费表'!B21/2)-1)),4)</f>
        <v>6.9999999999999999E-4</v>
      </c>
      <c r="D44" s="238"/>
      <c r="E44" s="238"/>
      <c r="F44" s="239"/>
      <c r="G44" s="3632"/>
    </row>
    <row r="45" spans="1:7" s="214" customFormat="1" ht="13.5" customHeight="1">
      <c r="A45" s="255" t="s">
        <v>1547</v>
      </c>
      <c r="B45" s="244" t="s">
        <v>1513</v>
      </c>
      <c r="C45" s="245">
        <f ca="1">C46</f>
        <v>221</v>
      </c>
      <c r="D45" s="235">
        <f ca="1">C47</f>
        <v>3.5999999999999999E-3</v>
      </c>
      <c r="E45" s="236" t="s">
        <v>1539</v>
      </c>
      <c r="F45" s="246">
        <f ca="1">F27</f>
        <v>0.18</v>
      </c>
      <c r="G45" s="247" t="s">
        <v>1548</v>
      </c>
    </row>
    <row r="46" spans="1:7" s="214" customFormat="1" ht="13.5" customHeight="1">
      <c r="A46" s="778" t="s">
        <v>346</v>
      </c>
      <c r="B46" s="248" t="s">
        <v>1549</v>
      </c>
      <c r="C46" s="249">
        <f ca="1">ROUND((C33+C39)*F27,0)</f>
        <v>221</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1617</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1245</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47" t="str">
        <f>项目基本情况!B1</f>
        <v>北京市房地产抵押价值预评估</v>
      </c>
      <c r="C37" s="3447"/>
      <c r="D37" s="3447"/>
      <c r="E37" s="3447"/>
      <c r="F37" s="3447"/>
      <c r="G37" s="3447"/>
      <c r="H37" s="3447"/>
      <c r="I37" s="3447"/>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21">
        <f ca="1">ROUND(IF(D2="——",C52/10000,C52/10000-E2),4)</f>
        <v>2618.5628000000002</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1053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4973008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4973008</v>
      </c>
      <c r="D8" s="222"/>
      <c r="E8" s="220"/>
      <c r="F8" s="221"/>
      <c r="G8" s="1853"/>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4973008</v>
      </c>
      <c r="D10" s="843">
        <f ca="1">IF(B1="",'数据-汇总表'!E6,IF(INDIRECT("'数据-取费表'!c"&amp;$G$1)="住宅",INDIRECT("'数据-取费表'!s"&amp;$G$1),INDIRECT("'数据-取费表'!k"&amp;$G$1)+INDIRECT("'数据-取费表'!s"&amp;$G$1)))</f>
        <v>24865.040000000005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4973008</v>
      </c>
      <c r="D19" s="847">
        <f ca="1">D9+D10</f>
        <v>24865.040000000005</v>
      </c>
      <c r="E19" s="211">
        <f>'数据-取费表'!B31</f>
        <v>200</v>
      </c>
      <c r="F19" s="231"/>
      <c r="G19" s="1853"/>
    </row>
    <row r="20" spans="1:7" s="214" customFormat="1" ht="13.5" customHeight="1">
      <c r="A20" s="255" t="s">
        <v>1574</v>
      </c>
      <c r="B20" s="210" t="s">
        <v>1575</v>
      </c>
      <c r="C20" s="232">
        <f ca="1">ROUND((C5+C19)*F20,0)</f>
        <v>198920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704977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349057</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349057</v>
      </c>
      <c r="D24" s="238"/>
      <c r="E24" s="238"/>
      <c r="F24" s="239"/>
      <c r="G24" s="240" t="s">
        <v>1586</v>
      </c>
    </row>
    <row r="25" spans="1:7" s="214" customFormat="1" ht="24">
      <c r="A25" s="778" t="s">
        <v>1476</v>
      </c>
      <c r="B25" s="215" t="s">
        <v>1587</v>
      </c>
      <c r="C25" s="1125">
        <f ca="1">ROUND(IF('数据-取费表'!B22&lt;=1,C20*F22*'数据-取费表'!B22/2,C20*(POWER((1+F22),'数据-取费表'!B22/2)-1)),0)</f>
        <v>6863</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1826088</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ROUND((C5+C19+C20)*F27,0)</f>
        <v>1826088</v>
      </c>
      <c r="D28" s="235"/>
      <c r="E28" s="236"/>
      <c r="F28" s="246"/>
      <c r="G28" s="247"/>
    </row>
    <row r="29" spans="1:7" s="214" customFormat="1" ht="13.5" customHeight="1">
      <c r="A29" s="778"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13729017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12057418</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6779340</v>
      </c>
      <c r="D34" s="217"/>
      <c r="E34" s="220"/>
      <c r="F34" s="257"/>
      <c r="G34" s="219"/>
    </row>
    <row r="35" spans="1:7" ht="13.5" customHeight="1">
      <c r="A35" s="778" t="s">
        <v>351</v>
      </c>
      <c r="B35" s="215" t="s">
        <v>1527</v>
      </c>
      <c r="C35" s="220">
        <f ca="1">ROUND(C34*F35,0)</f>
        <v>203380</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4973008</v>
      </c>
      <c r="D37" s="217">
        <f ca="1">D19</f>
        <v>24865.040000000005</v>
      </c>
      <c r="E37" s="249">
        <f>'数据-取费表'!B35</f>
        <v>200</v>
      </c>
      <c r="F37" s="259"/>
      <c r="G37" s="261"/>
    </row>
    <row r="38" spans="1:7" ht="13.5" customHeight="1">
      <c r="A38" s="778" t="s">
        <v>354</v>
      </c>
      <c r="B38" s="215" t="s">
        <v>1533</v>
      </c>
      <c r="C38" s="220">
        <f ca="1">ROUND(C34*F38,0)</f>
        <v>101690</v>
      </c>
      <c r="D38" s="220"/>
      <c r="E38" s="220"/>
      <c r="F38" s="259">
        <f>'数据-取费表'!B36</f>
        <v>1.4999999999999999E-2</v>
      </c>
      <c r="G38" s="219" t="s">
        <v>1528</v>
      </c>
    </row>
    <row r="39" spans="1:7" s="214" customFormat="1" ht="13.5" customHeight="1">
      <c r="A39" s="255" t="s">
        <v>1534</v>
      </c>
      <c r="B39" s="210" t="s">
        <v>1535</v>
      </c>
      <c r="C39" s="232">
        <f ca="1">ROUND(C33*F20,0)</f>
        <v>241148</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424301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415981</v>
      </c>
      <c r="D42" s="238"/>
      <c r="E42" s="238"/>
      <c r="F42" s="239"/>
      <c r="G42" s="3630" t="s">
        <v>1591</v>
      </c>
    </row>
    <row r="43" spans="1:7" ht="13.5" customHeight="1">
      <c r="A43" s="778" t="s">
        <v>347</v>
      </c>
      <c r="B43" s="215" t="s">
        <v>1545</v>
      </c>
      <c r="C43" s="238">
        <f ca="1">ROUND(IF('数据-取费表'!B22&lt;=1,C39*F22*'数据-取费表'!B20/2,C39*(POWER((1+F22),'数据-取费表'!B20/2)-1)),0)</f>
        <v>8320</v>
      </c>
      <c r="D43" s="238"/>
      <c r="E43" s="238"/>
      <c r="F43" s="239"/>
      <c r="G43" s="3631"/>
    </row>
    <row r="44" spans="1:7" ht="13.5" customHeight="1">
      <c r="A44" s="778" t="s">
        <v>348</v>
      </c>
      <c r="B44" s="215" t="s">
        <v>1546</v>
      </c>
      <c r="C44" s="238">
        <f ca="1">ROUND(IF('数据-取费表'!B22&lt;=1,C40*F22*'数据-取费表'!B20/2,C40*(POWER((1+F22),'数据-取费表'!B20/2)-1)),4)</f>
        <v>6.9999999999999999E-4</v>
      </c>
      <c r="D44" s="238"/>
      <c r="E44" s="238"/>
      <c r="F44" s="239"/>
      <c r="G44" s="3632"/>
    </row>
    <row r="45" spans="1:7" s="214" customFormat="1" ht="13.5" customHeight="1">
      <c r="A45" s="255" t="s">
        <v>1547</v>
      </c>
      <c r="B45" s="244" t="s">
        <v>1513</v>
      </c>
      <c r="C45" s="245">
        <f ca="1">C46</f>
        <v>2213742</v>
      </c>
      <c r="D45" s="235">
        <f ca="1">C47</f>
        <v>3.5999999999999999E-3</v>
      </c>
      <c r="E45" s="236" t="s">
        <v>1539</v>
      </c>
      <c r="F45" s="246">
        <f ca="1">F27</f>
        <v>0.18</v>
      </c>
      <c r="G45" s="247" t="s">
        <v>1548</v>
      </c>
    </row>
    <row r="46" spans="1:7" s="214" customFormat="1" ht="13.5" customHeight="1">
      <c r="A46" s="778" t="s">
        <v>346</v>
      </c>
      <c r="B46" s="248" t="s">
        <v>1549</v>
      </c>
      <c r="C46" s="249">
        <f ca="1">ROUND((C33+C39)*F27,0)</f>
        <v>2213742</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16177417</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12456611</v>
      </c>
      <c r="D51" s="232"/>
      <c r="E51" s="232"/>
      <c r="F51" s="264"/>
      <c r="G51" s="234" t="s">
        <v>1560</v>
      </c>
    </row>
    <row r="52" spans="1:7" s="208" customFormat="1" ht="16.5" thickBot="1">
      <c r="A52" s="265" t="s">
        <v>1561</v>
      </c>
      <c r="B52" s="266"/>
      <c r="C52" s="267">
        <f ca="1">C31+C51</f>
        <v>26185628</v>
      </c>
      <c r="D52" s="266"/>
      <c r="E52" s="266"/>
      <c r="F52" s="266"/>
      <c r="G52" s="268"/>
    </row>
    <row r="55" spans="1:7" ht="15">
      <c r="B55" s="270" t="s">
        <v>1562</v>
      </c>
      <c r="C55" s="271"/>
    </row>
    <row r="56" spans="1:7">
      <c r="B56" s="273" t="s">
        <v>802</v>
      </c>
      <c r="C56" s="275">
        <f ca="1">1-C57</f>
        <v>0.52400000000000002</v>
      </c>
    </row>
    <row r="57" spans="1:7">
      <c r="B57" s="273" t="s">
        <v>803</v>
      </c>
      <c r="C57" s="274">
        <f ca="1">ROUND(C51/C52,3)</f>
        <v>0.47599999999999998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45" sqref="K45"/>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3"/>
      <c r="F1" s="2803"/>
      <c r="G1" s="2668"/>
      <c r="H1" s="2803"/>
      <c r="I1" s="2803"/>
      <c r="J1" s="2803"/>
      <c r="K1" s="2804">
        <f>MATCH(C1,'数据-取费表'!A6:A16,0)+5</f>
        <v>8</v>
      </c>
    </row>
    <row r="2" spans="1:33" ht="18" customHeight="1">
      <c r="A2" s="201" t="s">
        <v>1462</v>
      </c>
      <c r="B2" s="204">
        <f ca="1">C32</f>
        <v>6798</v>
      </c>
      <c r="C2" s="276" t="s">
        <v>1595</v>
      </c>
      <c r="D2" s="276"/>
      <c r="E2" s="2803"/>
      <c r="F2" s="2803"/>
      <c r="G2" s="2803"/>
      <c r="H2" s="2803"/>
      <c r="I2" s="2803"/>
      <c r="J2" s="2803"/>
      <c r="K2" s="2803"/>
    </row>
    <row r="3" spans="1:33" ht="18" customHeight="1" thickBot="1">
      <c r="A3" s="203" t="s">
        <v>1464</v>
      </c>
      <c r="B3" s="204">
        <f ca="1">ROUND(B2*10000/IF(C1="",'数据-汇总表'!E3,INDIRECT("'数据-取费表'!K"&amp;$K$1)),0)</f>
        <v>2734</v>
      </c>
      <c r="C3" s="276" t="s">
        <v>1596</v>
      </c>
      <c r="D3" s="276"/>
      <c r="E3" s="2803"/>
      <c r="F3" s="2803"/>
      <c r="G3" s="2803"/>
      <c r="H3" s="2803"/>
      <c r="I3" s="2803"/>
      <c r="J3" s="2803"/>
      <c r="K3" s="2803"/>
    </row>
    <row r="4" spans="1:33" s="783" customFormat="1" ht="16.5" customHeight="1">
      <c r="A4" s="780" t="s">
        <v>1597</v>
      </c>
      <c r="B4" s="781"/>
      <c r="C4" s="822">
        <f ca="1">SUM(C8:K8)</f>
        <v>8013</v>
      </c>
      <c r="D4" s="781"/>
      <c r="E4" s="781"/>
      <c r="F4" s="781"/>
      <c r="G4" s="781"/>
      <c r="H4" s="781"/>
      <c r="I4" s="781"/>
      <c r="J4" s="781"/>
      <c r="K4" s="782"/>
    </row>
    <row r="5" spans="1:33" s="787" customFormat="1" ht="15">
      <c r="A5" s="784" t="s">
        <v>1598</v>
      </c>
      <c r="B5" s="785" t="s">
        <v>1599</v>
      </c>
      <c r="C5" s="1857" t="s">
        <v>3</v>
      </c>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4" t="s">
        <v>1604</v>
      </c>
      <c r="C8" s="823">
        <f ca="1">收益法!B2</f>
        <v>8013</v>
      </c>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24865.040000000005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24865.040000000005</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497</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497</v>
      </c>
      <c r="D20" s="844">
        <f ca="1">IF(C1="",'数据-汇总表'!E6,IF(INDIRECT("'数据-取费表'!c"&amp;$K$1)="住宅",INDIRECT("'数据-取费表'!s"&amp;$K$1),INDIRECT("'数据-取费表'!k"&amp;$K$1)+INDIRECT("'数据-取费表'!s"&amp;$K$1)))</f>
        <v>24865.040000000005</v>
      </c>
      <c r="E20" s="21">
        <f>'数据-取费表'!B28</f>
        <v>200</v>
      </c>
      <c r="F20" s="802"/>
      <c r="G20" s="12"/>
      <c r="H20" s="807"/>
      <c r="I20" s="807"/>
      <c r="J20" s="807"/>
      <c r="K20" s="808"/>
    </row>
    <row r="21" spans="1:33" s="801" customFormat="1" ht="13.5" customHeight="1">
      <c r="A21" s="788" t="s">
        <v>357</v>
      </c>
      <c r="B21" s="811" t="s">
        <v>1628</v>
      </c>
      <c r="C21" s="812">
        <f ca="1">C16+C17+C18</f>
        <v>497</v>
      </c>
      <c r="D21" s="813"/>
      <c r="E21" s="281"/>
      <c r="F21" s="281"/>
      <c r="G21" s="131" t="s">
        <v>1629</v>
      </c>
      <c r="H21" s="805"/>
      <c r="I21" s="805"/>
      <c r="J21" s="805"/>
      <c r="K21" s="806"/>
    </row>
    <row r="22" spans="1:33" s="801" customFormat="1" ht="13.5" customHeight="1">
      <c r="A22" s="788" t="s">
        <v>1601</v>
      </c>
      <c r="B22" s="811" t="s">
        <v>1630</v>
      </c>
      <c r="C22" s="812">
        <f ca="1">ROUND(C21*F22,0)</f>
        <v>10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1641</v>
      </c>
      <c r="B28" s="1862" t="s">
        <v>1642</v>
      </c>
      <c r="C28" s="287">
        <f ca="1">C30</f>
        <v>91</v>
      </c>
      <c r="D28" s="280">
        <f ca="1">C29</f>
        <v>0</v>
      </c>
      <c r="E28" s="282" t="s">
        <v>12</v>
      </c>
      <c r="F28" s="288">
        <f ca="1">IF(C1="",'数据-取费表'!Q16,INDIRECT("'数据-取费表'!q"&amp;$K$1))</f>
        <v>0.18</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91</v>
      </c>
      <c r="D30" s="284"/>
      <c r="E30" s="285"/>
      <c r="F30" s="290"/>
      <c r="G30" s="131"/>
      <c r="H30" s="805"/>
      <c r="I30" s="805"/>
      <c r="J30" s="805"/>
      <c r="K30" s="806"/>
    </row>
    <row r="31" spans="1:33" s="801" customFormat="1" ht="13.5" customHeight="1" thickBot="1">
      <c r="A31" s="1863" t="s">
        <v>1646</v>
      </c>
      <c r="B31" s="831" t="s">
        <v>1647</v>
      </c>
      <c r="C31" s="832">
        <f ca="1">ROUND(C4*F31/(1+'数据-取费表'!C42),0)</f>
        <v>420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6798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70" zoomScaleSheetLayoutView="100" workbookViewId="0">
      <selection activeCell="J16" sqref="J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30" t="s">
        <v>3468</v>
      </c>
      <c r="F1" s="1876" t="s">
        <v>3431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5895</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39129</v>
      </c>
      <c r="C3" s="354" t="s">
        <v>1768</v>
      </c>
      <c r="D3" s="353">
        <f>IF(D1="",'数据-汇总表'!E3,SUMIF('数据-汇总表'!$C19:$C33,D1,'数据-汇总表'!$E19:$E33))</f>
        <v>1506.52</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711" t="s">
        <v>1775</v>
      </c>
      <c r="Q4" s="3712"/>
      <c r="R4" s="3706" t="s">
        <v>1771</v>
      </c>
      <c r="S4" s="3707"/>
      <c r="T4" s="3706" t="s">
        <v>1772</v>
      </c>
      <c r="U4" s="3707"/>
      <c r="V4" s="3715" t="s">
        <v>1773</v>
      </c>
      <c r="W4" s="3715"/>
      <c r="X4" s="1955"/>
      <c r="Y4" s="3706" t="s">
        <v>1775</v>
      </c>
      <c r="Z4" s="3707"/>
      <c r="AA4" s="3705" t="s">
        <v>1771</v>
      </c>
      <c r="AB4" s="3705" t="s">
        <v>1772</v>
      </c>
      <c r="AC4" s="3708" t="s">
        <v>1773</v>
      </c>
    </row>
    <row r="5" spans="1:29" ht="15">
      <c r="A5" s="358"/>
      <c r="B5" s="359"/>
      <c r="C5" s="3670" t="s">
        <v>1673</v>
      </c>
      <c r="D5" s="3671"/>
      <c r="E5" s="3799" t="s">
        <v>3466</v>
      </c>
      <c r="F5" s="3669"/>
      <c r="G5" s="3798" t="s">
        <v>3467</v>
      </c>
      <c r="H5" s="3671"/>
      <c r="I5" s="3798" t="s">
        <v>3469</v>
      </c>
      <c r="J5" s="3671"/>
      <c r="K5" s="559"/>
      <c r="L5" s="2712"/>
      <c r="M5" s="2713"/>
      <c r="N5" s="2713"/>
      <c r="O5" s="2713"/>
      <c r="P5" s="3713"/>
      <c r="Q5" s="3684"/>
      <c r="R5" s="3666"/>
      <c r="S5" s="3667"/>
      <c r="T5" s="3666"/>
      <c r="U5" s="3667"/>
      <c r="V5" s="3689"/>
      <c r="W5" s="3689"/>
      <c r="X5" s="1352"/>
      <c r="Y5" s="3666"/>
      <c r="Z5" s="3667"/>
      <c r="AA5" s="3660"/>
      <c r="AB5" s="3660"/>
      <c r="AC5" s="3709"/>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714"/>
      <c r="Q6" s="3686"/>
      <c r="R6" s="3666"/>
      <c r="S6" s="3667"/>
      <c r="T6" s="3687"/>
      <c r="U6" s="3688"/>
      <c r="V6" s="3689"/>
      <c r="W6" s="3689"/>
      <c r="X6" s="1352"/>
      <c r="Y6" s="3687"/>
      <c r="Z6" s="3688"/>
      <c r="AA6" s="3661"/>
      <c r="AB6" s="3661"/>
      <c r="AC6" s="3710"/>
    </row>
    <row r="7" spans="1:29" s="108" customFormat="1" ht="15.75" thickBot="1">
      <c r="A7" s="362" t="s">
        <v>1679</v>
      </c>
      <c r="B7" s="363"/>
      <c r="C7" s="364">
        <f>'数据-取费表'!B2</f>
        <v>45161</v>
      </c>
      <c r="D7" s="365">
        <v>100</v>
      </c>
      <c r="E7" s="366">
        <v>45139</v>
      </c>
      <c r="F7" s="367">
        <f>SUMIF(59:59,YEAR(E7)&amp;"-"&amp;MONTH(E7),60:60)</f>
        <v>100</v>
      </c>
      <c r="G7" s="366">
        <v>45139</v>
      </c>
      <c r="H7" s="365">
        <f>SUMIF(59:59,YEAR(G7)&amp;"-"&amp;MONTH(G7),60:60)</f>
        <v>100</v>
      </c>
      <c r="I7" s="366">
        <v>45139</v>
      </c>
      <c r="J7" s="365">
        <f>SUMIF(59:59,YEAR(I7)&amp;"-"&amp;MONTH(I7),60:60)</f>
        <v>100</v>
      </c>
      <c r="K7" s="560"/>
      <c r="L7" s="2714"/>
      <c r="M7" s="2715"/>
      <c r="N7" s="2715"/>
      <c r="O7" s="2715"/>
      <c r="P7" s="3716" t="s">
        <v>1680</v>
      </c>
      <c r="Q7" s="3690"/>
      <c r="R7" s="699" t="s">
        <v>14</v>
      </c>
      <c r="S7" s="700">
        <f t="shared" ref="S7:S15" si="0">F7</f>
        <v>100</v>
      </c>
      <c r="T7" s="699" t="s">
        <v>14</v>
      </c>
      <c r="U7" s="700">
        <f t="shared" ref="U7:U15" si="1">H7</f>
        <v>100</v>
      </c>
      <c r="V7" s="699" t="s">
        <v>14</v>
      </c>
      <c r="W7" s="700">
        <f t="shared" ref="W7:W15" si="2">J7</f>
        <v>100</v>
      </c>
      <c r="X7" s="701"/>
      <c r="Y7" s="3662" t="s">
        <v>1680</v>
      </c>
      <c r="Z7" s="3663"/>
      <c r="AA7" s="702">
        <f>D7/F7</f>
        <v>1</v>
      </c>
      <c r="AB7" s="702">
        <f>D7/H7</f>
        <v>1</v>
      </c>
      <c r="AC7" s="1956">
        <f>D7/J7</f>
        <v>1</v>
      </c>
    </row>
    <row r="8" spans="1:29" s="108" customFormat="1" ht="15.75" thickBot="1">
      <c r="A8" s="362" t="s">
        <v>1681</v>
      </c>
      <c r="B8" s="363"/>
      <c r="C8" s="368" t="s">
        <v>3432</v>
      </c>
      <c r="D8" s="365">
        <v>100</v>
      </c>
      <c r="E8" s="368" t="s">
        <v>3464</v>
      </c>
      <c r="F8" s="367">
        <f>SUMIF(62:62,E8,63:63)-SUMIF(62:62,C8,63:63)+100</f>
        <v>105</v>
      </c>
      <c r="G8" s="368" t="s">
        <v>3464</v>
      </c>
      <c r="H8" s="365">
        <f>SUMIF(62:62,G8,63:63)-SUMIF(62:62,C8,63:63)+100</f>
        <v>105</v>
      </c>
      <c r="I8" s="368" t="s">
        <v>3464</v>
      </c>
      <c r="J8" s="365">
        <f>SUMIF(62:62,I8,63:63)-SUMIF(62:62,C8,63:63)+100</f>
        <v>105</v>
      </c>
      <c r="K8" s="560"/>
      <c r="L8" s="2714"/>
      <c r="M8" s="2715"/>
      <c r="N8" s="2715"/>
      <c r="O8" s="2715"/>
      <c r="P8" s="3716" t="s">
        <v>1683</v>
      </c>
      <c r="Q8" s="3663"/>
      <c r="R8" s="699" t="s">
        <v>14</v>
      </c>
      <c r="S8" s="700">
        <f t="shared" si="0"/>
        <v>105</v>
      </c>
      <c r="T8" s="699" t="s">
        <v>14</v>
      </c>
      <c r="U8" s="700">
        <f t="shared" si="1"/>
        <v>105</v>
      </c>
      <c r="V8" s="699" t="s">
        <v>14</v>
      </c>
      <c r="W8" s="700">
        <f t="shared" si="2"/>
        <v>105</v>
      </c>
      <c r="X8" s="701"/>
      <c r="Y8" s="3662" t="s">
        <v>1683</v>
      </c>
      <c r="Z8" s="3663"/>
      <c r="AA8" s="702">
        <f t="shared" ref="AA8:AA47" si="3">D8/F8</f>
        <v>0.95238095238095233</v>
      </c>
      <c r="AB8" s="702">
        <f t="shared" ref="AB8:AB47" si="4">D8/H8</f>
        <v>0.95238095238095233</v>
      </c>
      <c r="AC8" s="1956">
        <f t="shared" ref="AC8:AC47" si="5">D8/J8</f>
        <v>0.95238095238095233</v>
      </c>
    </row>
    <row r="9" spans="1:29" s="108" customFormat="1" ht="15" thickBot="1">
      <c r="A9" s="369" t="s">
        <v>1684</v>
      </c>
      <c r="B9" s="63" t="s">
        <v>1685</v>
      </c>
      <c r="C9" s="3792" t="s">
        <v>3433</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6" t="s">
        <v>1686</v>
      </c>
      <c r="Q9" s="1340"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1956">
        <f t="shared" si="5"/>
        <v>1</v>
      </c>
    </row>
    <row r="10" spans="1:29" s="378" customFormat="1" ht="27" hidden="1">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1956">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1956">
        <f t="shared" si="5"/>
        <v>1</v>
      </c>
    </row>
    <row r="15" spans="1:29" ht="15">
      <c r="A15" s="391" t="s">
        <v>1690</v>
      </c>
      <c r="B15" s="577" t="s">
        <v>1811</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03" t="s">
        <v>1691</v>
      </c>
      <c r="Q15" s="1349" t="str">
        <f t="shared" si="6"/>
        <v>办公集聚程度</v>
      </c>
      <c r="R15" s="703" t="s">
        <v>14</v>
      </c>
      <c r="S15" s="704">
        <f t="shared" si="0"/>
        <v>100</v>
      </c>
      <c r="T15" s="703" t="s">
        <v>14</v>
      </c>
      <c r="U15" s="704">
        <f t="shared" si="1"/>
        <v>100</v>
      </c>
      <c r="V15" s="703" t="s">
        <v>14</v>
      </c>
      <c r="W15" s="704">
        <f t="shared" si="2"/>
        <v>100</v>
      </c>
      <c r="X15" s="1352"/>
      <c r="Y15" s="3696" t="s">
        <v>1691</v>
      </c>
      <c r="Z15" s="1353" t="str">
        <f t="shared" si="7"/>
        <v>办公集聚程度</v>
      </c>
      <c r="AA15" s="1350">
        <f t="shared" si="3"/>
        <v>1</v>
      </c>
      <c r="AB15" s="1350">
        <f t="shared" si="4"/>
        <v>1</v>
      </c>
      <c r="AC15" s="1959">
        <f t="shared" si="5"/>
        <v>1</v>
      </c>
    </row>
    <row r="16" spans="1:29" ht="15">
      <c r="A16" s="379"/>
      <c r="B16" s="578"/>
      <c r="C16" s="1901" t="s">
        <v>3396</v>
      </c>
      <c r="D16" s="399"/>
      <c r="E16" s="1901" t="s">
        <v>3396</v>
      </c>
      <c r="F16" s="399"/>
      <c r="G16" s="1901" t="s">
        <v>3396</v>
      </c>
      <c r="H16" s="401"/>
      <c r="I16" s="1901" t="s">
        <v>3396</v>
      </c>
      <c r="J16" s="399"/>
      <c r="K16" s="564"/>
      <c r="L16" s="2719"/>
      <c r="M16" s="2713"/>
      <c r="N16" s="2713"/>
      <c r="O16" s="2713"/>
      <c r="P16" s="3704"/>
      <c r="Q16" s="1349"/>
      <c r="R16" s="703"/>
      <c r="S16" s="704"/>
      <c r="T16" s="703"/>
      <c r="U16" s="704"/>
      <c r="V16" s="703"/>
      <c r="W16" s="704"/>
      <c r="X16" s="1352"/>
      <c r="Y16" s="3697"/>
      <c r="Z16" s="1353"/>
      <c r="AA16" s="1350">
        <v>1</v>
      </c>
      <c r="AB16" s="1350">
        <v>1</v>
      </c>
      <c r="AC16" s="1959">
        <v>1</v>
      </c>
    </row>
    <row r="17" spans="1:29" ht="15">
      <c r="A17" s="379"/>
      <c r="B17" s="579" t="s">
        <v>1259</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4"/>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959">
        <f t="shared" si="5"/>
        <v>1</v>
      </c>
    </row>
    <row r="18" spans="1:29" ht="15">
      <c r="A18" s="379"/>
      <c r="B18" s="580"/>
      <c r="C18" s="1901" t="s">
        <v>3396</v>
      </c>
      <c r="D18" s="401"/>
      <c r="E18" s="1901" t="s">
        <v>3396</v>
      </c>
      <c r="F18" s="401"/>
      <c r="G18" s="1901" t="s">
        <v>3396</v>
      </c>
      <c r="H18" s="399"/>
      <c r="I18" s="1901" t="s">
        <v>3396</v>
      </c>
      <c r="J18" s="399"/>
      <c r="K18" s="564"/>
      <c r="L18" s="2719"/>
      <c r="M18" s="2713"/>
      <c r="N18" s="2713"/>
      <c r="O18" s="2713"/>
      <c r="P18" s="3704"/>
      <c r="Q18" s="1349"/>
      <c r="R18" s="703"/>
      <c r="S18" s="704"/>
      <c r="T18" s="703"/>
      <c r="U18" s="704"/>
      <c r="V18" s="703"/>
      <c r="W18" s="704"/>
      <c r="X18" s="1352"/>
      <c r="Y18" s="3697"/>
      <c r="Z18" s="1353"/>
      <c r="AA18" s="1350">
        <v>1</v>
      </c>
      <c r="AB18" s="1350">
        <v>1</v>
      </c>
      <c r="AC18" s="1959">
        <v>1</v>
      </c>
    </row>
    <row r="19" spans="1:29" ht="15">
      <c r="A19" s="379"/>
      <c r="B19" s="579" t="s">
        <v>1812</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4"/>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959">
        <f t="shared" si="5"/>
        <v>1</v>
      </c>
    </row>
    <row r="20" spans="1:29" ht="15">
      <c r="A20" s="379"/>
      <c r="B20" s="580"/>
      <c r="C20" s="1901" t="s">
        <v>3396</v>
      </c>
      <c r="D20" s="399"/>
      <c r="E20" s="1901" t="s">
        <v>3396</v>
      </c>
      <c r="F20" s="399"/>
      <c r="G20" s="1901" t="s">
        <v>3396</v>
      </c>
      <c r="H20" s="399"/>
      <c r="I20" s="1901" t="s">
        <v>3396</v>
      </c>
      <c r="J20" s="399"/>
      <c r="K20" s="564"/>
      <c r="L20" s="2719"/>
      <c r="M20" s="2713"/>
      <c r="N20" s="2713"/>
      <c r="O20" s="2713"/>
      <c r="P20" s="3704"/>
      <c r="Q20" s="1349"/>
      <c r="R20" s="703"/>
      <c r="S20" s="704"/>
      <c r="T20" s="703"/>
      <c r="U20" s="704"/>
      <c r="V20" s="703"/>
      <c r="W20" s="704"/>
      <c r="X20" s="1352"/>
      <c r="Y20" s="3697"/>
      <c r="Z20" s="1353"/>
      <c r="AA20" s="1350">
        <v>1</v>
      </c>
      <c r="AB20" s="1350">
        <v>1</v>
      </c>
      <c r="AC20" s="1959">
        <v>1</v>
      </c>
    </row>
    <row r="21" spans="1:29" ht="15">
      <c r="A21" s="379"/>
      <c r="B21" s="581" t="s">
        <v>1813</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959">
        <f t="shared" ref="AC21" si="10">D21/J21</f>
        <v>1</v>
      </c>
    </row>
    <row r="22" spans="1:29" ht="15">
      <c r="A22" s="379"/>
      <c r="B22" s="581"/>
      <c r="C22" s="1961" t="s">
        <v>3434</v>
      </c>
      <c r="D22" s="399"/>
      <c r="E22" s="1961" t="s">
        <v>3434</v>
      </c>
      <c r="F22" s="399"/>
      <c r="G22" s="1961" t="s">
        <v>3434</v>
      </c>
      <c r="H22" s="399"/>
      <c r="I22" s="1961" t="s">
        <v>3434</v>
      </c>
      <c r="J22" s="399"/>
      <c r="K22" s="1127"/>
      <c r="L22" s="2719"/>
      <c r="M22" s="2713"/>
      <c r="N22" s="2713"/>
      <c r="O22" s="2713"/>
      <c r="P22" s="3704"/>
      <c r="Q22" s="1349"/>
      <c r="R22" s="703"/>
      <c r="S22" s="704"/>
      <c r="T22" s="703"/>
      <c r="U22" s="704"/>
      <c r="V22" s="703"/>
      <c r="W22" s="704"/>
      <c r="X22" s="1352"/>
      <c r="Y22" s="3697"/>
      <c r="Z22" s="1353"/>
      <c r="AA22" s="1350">
        <v>1</v>
      </c>
      <c r="AB22" s="1350">
        <v>1</v>
      </c>
      <c r="AC22" s="1959">
        <v>1</v>
      </c>
    </row>
    <row r="23" spans="1:29" ht="15">
      <c r="A23" s="379"/>
      <c r="B23" s="579" t="s">
        <v>1814</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04"/>
      <c r="Q23" s="1349" t="str">
        <f>B23</f>
        <v>环境质量</v>
      </c>
      <c r="R23" s="703" t="s">
        <v>14</v>
      </c>
      <c r="S23" s="704">
        <f>F23</f>
        <v>100</v>
      </c>
      <c r="T23" s="703" t="s">
        <v>14</v>
      </c>
      <c r="U23" s="704">
        <f>H23</f>
        <v>100</v>
      </c>
      <c r="V23" s="703" t="s">
        <v>14</v>
      </c>
      <c r="W23" s="704">
        <f>J23</f>
        <v>100</v>
      </c>
      <c r="X23" s="1352"/>
      <c r="Y23" s="3697"/>
      <c r="Z23" s="1353" t="str">
        <f>Q23</f>
        <v>环境质量</v>
      </c>
      <c r="AA23" s="1350">
        <f t="shared" si="3"/>
        <v>1</v>
      </c>
      <c r="AB23" s="1350">
        <f t="shared" si="4"/>
        <v>1</v>
      </c>
      <c r="AC23" s="1959">
        <f t="shared" si="5"/>
        <v>1</v>
      </c>
    </row>
    <row r="24" spans="1:29" ht="15">
      <c r="A24" s="379"/>
      <c r="B24" s="581"/>
      <c r="C24" s="1901" t="s">
        <v>3396</v>
      </c>
      <c r="D24" s="399"/>
      <c r="E24" s="1901" t="s">
        <v>3396</v>
      </c>
      <c r="F24" s="399"/>
      <c r="G24" s="1901" t="s">
        <v>3396</v>
      </c>
      <c r="H24" s="399"/>
      <c r="I24" s="1901" t="s">
        <v>3396</v>
      </c>
      <c r="J24" s="399"/>
      <c r="K24" s="564"/>
      <c r="L24" s="2719"/>
      <c r="M24" s="2713"/>
      <c r="N24" s="2713"/>
      <c r="O24" s="2713"/>
      <c r="P24" s="3704"/>
      <c r="Q24" s="1349"/>
      <c r="R24" s="703"/>
      <c r="S24" s="704"/>
      <c r="T24" s="703"/>
      <c r="U24" s="704"/>
      <c r="V24" s="703"/>
      <c r="W24" s="704"/>
      <c r="X24" s="1352"/>
      <c r="Y24" s="3697"/>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704"/>
      <c r="Q25" s="1349" t="str">
        <f>B25</f>
        <v>毗邻道路的类型与等级</v>
      </c>
      <c r="R25" s="703" t="s">
        <v>14</v>
      </c>
      <c r="S25" s="704">
        <f>F25</f>
        <v>100</v>
      </c>
      <c r="T25" s="703" t="s">
        <v>14</v>
      </c>
      <c r="U25" s="704">
        <f>H25</f>
        <v>100</v>
      </c>
      <c r="V25" s="703" t="s">
        <v>14</v>
      </c>
      <c r="W25" s="704">
        <f>J25</f>
        <v>100</v>
      </c>
      <c r="X25" s="1352"/>
      <c r="Y25" s="3697"/>
      <c r="Z25" s="1353" t="str">
        <f>Q25</f>
        <v>毗邻道路的类型与等级</v>
      </c>
      <c r="AA25" s="1350">
        <f t="shared" si="3"/>
        <v>1</v>
      </c>
      <c r="AB25" s="1350">
        <f t="shared" si="4"/>
        <v>1</v>
      </c>
      <c r="AC25" s="1959">
        <f t="shared" si="5"/>
        <v>1</v>
      </c>
    </row>
    <row r="26" spans="1:29" ht="15">
      <c r="A26" s="358"/>
      <c r="B26" s="580"/>
      <c r="C26" s="582" t="s">
        <v>3455</v>
      </c>
      <c r="D26" s="386"/>
      <c r="E26" s="582" t="s">
        <v>3455</v>
      </c>
      <c r="F26" s="386"/>
      <c r="G26" s="582" t="s">
        <v>3455</v>
      </c>
      <c r="H26" s="386"/>
      <c r="I26" s="582" t="s">
        <v>3455</v>
      </c>
      <c r="J26" s="386"/>
      <c r="K26" s="564"/>
      <c r="L26" s="2719"/>
      <c r="M26" s="2713"/>
      <c r="N26" s="2713"/>
      <c r="O26" s="2713"/>
      <c r="P26" s="3704"/>
      <c r="Q26" s="1349"/>
      <c r="R26" s="703"/>
      <c r="S26" s="704"/>
      <c r="T26" s="703"/>
      <c r="U26" s="704"/>
      <c r="V26" s="703"/>
      <c r="W26" s="704"/>
      <c r="X26" s="1352"/>
      <c r="Y26" s="3697"/>
      <c r="Z26" s="1353"/>
      <c r="AA26" s="1350">
        <v>1</v>
      </c>
      <c r="AB26" s="1350">
        <v>1</v>
      </c>
      <c r="AC26" s="1959">
        <v>1</v>
      </c>
    </row>
    <row r="27" spans="1:29" ht="15">
      <c r="A27" s="379"/>
      <c r="B27" s="580" t="s">
        <v>1783</v>
      </c>
      <c r="C27" s="582" t="s">
        <v>3456</v>
      </c>
      <c r="D27" s="386">
        <v>100</v>
      </c>
      <c r="E27" s="582" t="s">
        <v>3462</v>
      </c>
      <c r="F27" s="386">
        <f>SUMIF(89:89,E27,90:90)-SUMIF(89:89,C27,90:90)+100</f>
        <v>104</v>
      </c>
      <c r="G27" s="582" t="s">
        <v>3462</v>
      </c>
      <c r="H27" s="386">
        <f>SUMIF(89:89,G27,90:90)-SUMIF(89:89,C27,90:90)+100</f>
        <v>104</v>
      </c>
      <c r="I27" s="582" t="s">
        <v>3461</v>
      </c>
      <c r="J27" s="386">
        <f>SUMIF(89:89,I27,90:90)-SUMIF(89:89,C27,90:90)+100</f>
        <v>102</v>
      </c>
      <c r="K27" s="561">
        <v>2</v>
      </c>
      <c r="L27" s="2719"/>
      <c r="M27" s="2713"/>
      <c r="N27" s="2713"/>
      <c r="O27" s="2713"/>
      <c r="P27" s="3704"/>
      <c r="Q27" s="1349" t="str">
        <f t="shared" ref="Q27:Q47" si="11">B27</f>
        <v>楼层</v>
      </c>
      <c r="R27" s="703" t="s">
        <v>14</v>
      </c>
      <c r="S27" s="704">
        <f>F27</f>
        <v>104</v>
      </c>
      <c r="T27" s="703" t="s">
        <v>14</v>
      </c>
      <c r="U27" s="704">
        <f>H27</f>
        <v>104</v>
      </c>
      <c r="V27" s="703" t="s">
        <v>14</v>
      </c>
      <c r="W27" s="704">
        <f>J27</f>
        <v>102</v>
      </c>
      <c r="X27" s="1352"/>
      <c r="Y27" s="3697"/>
      <c r="Z27" s="1353" t="str">
        <f>Q27</f>
        <v>楼层</v>
      </c>
      <c r="AA27" s="1350">
        <f t="shared" si="3"/>
        <v>0.96153846153846156</v>
      </c>
      <c r="AB27" s="1350">
        <f t="shared" si="4"/>
        <v>0.96153846153846156</v>
      </c>
      <c r="AC27" s="1959">
        <f t="shared" si="5"/>
        <v>0.98039215686274506</v>
      </c>
    </row>
    <row r="28" spans="1:29" s="108" customFormat="1" ht="15.75" thickBot="1">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04"/>
      <c r="Q28" s="1340" t="str">
        <f t="shared" si="11"/>
        <v>朝向</v>
      </c>
      <c r="R28" s="699" t="s">
        <v>14</v>
      </c>
      <c r="S28" s="700">
        <f>F28</f>
        <v>100</v>
      </c>
      <c r="T28" s="699" t="s">
        <v>14</v>
      </c>
      <c r="U28" s="700">
        <f>H28</f>
        <v>100</v>
      </c>
      <c r="V28" s="699" t="s">
        <v>14</v>
      </c>
      <c r="W28" s="700">
        <f>J28</f>
        <v>100</v>
      </c>
      <c r="X28" s="701"/>
      <c r="Y28" s="3697"/>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04"/>
      <c r="Q29" s="1349">
        <f t="shared" si="11"/>
        <v>111</v>
      </c>
      <c r="R29" s="703" t="s">
        <v>14</v>
      </c>
      <c r="S29" s="704">
        <f t="shared" ref="S29:S47" si="12">F29</f>
        <v>100</v>
      </c>
      <c r="T29" s="703" t="s">
        <v>14</v>
      </c>
      <c r="U29" s="704">
        <f t="shared" ref="U29:U47" si="13">H29</f>
        <v>100</v>
      </c>
      <c r="V29" s="703" t="s">
        <v>14</v>
      </c>
      <c r="W29" s="704">
        <f t="shared" ref="W29:W47" si="14">J29</f>
        <v>100</v>
      </c>
      <c r="X29" s="1352"/>
      <c r="Y29" s="3697"/>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04"/>
      <c r="Q30" s="1349">
        <f t="shared" si="11"/>
        <v>111</v>
      </c>
      <c r="R30" s="703" t="s">
        <v>14</v>
      </c>
      <c r="S30" s="704">
        <f t="shared" si="12"/>
        <v>100</v>
      </c>
      <c r="T30" s="703" t="s">
        <v>14</v>
      </c>
      <c r="U30" s="704">
        <f t="shared" si="13"/>
        <v>100</v>
      </c>
      <c r="V30" s="703" t="s">
        <v>14</v>
      </c>
      <c r="W30" s="704">
        <f t="shared" si="14"/>
        <v>100</v>
      </c>
      <c r="X30" s="1352"/>
      <c r="Y30" s="3697"/>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04"/>
      <c r="Q31" s="1349">
        <f t="shared" si="11"/>
        <v>111</v>
      </c>
      <c r="R31" s="703" t="s">
        <v>14</v>
      </c>
      <c r="S31" s="704">
        <f t="shared" si="12"/>
        <v>100</v>
      </c>
      <c r="T31" s="703" t="s">
        <v>14</v>
      </c>
      <c r="U31" s="704">
        <f t="shared" si="13"/>
        <v>100</v>
      </c>
      <c r="V31" s="703" t="s">
        <v>14</v>
      </c>
      <c r="W31" s="704">
        <f t="shared" si="14"/>
        <v>100</v>
      </c>
      <c r="X31" s="1352"/>
      <c r="Y31" s="3697"/>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04"/>
      <c r="Q32" s="1349">
        <f t="shared" si="11"/>
        <v>111</v>
      </c>
      <c r="R32" s="703" t="s">
        <v>14</v>
      </c>
      <c r="S32" s="704">
        <f t="shared" si="12"/>
        <v>100</v>
      </c>
      <c r="T32" s="703" t="s">
        <v>14</v>
      </c>
      <c r="U32" s="704">
        <f t="shared" si="13"/>
        <v>100</v>
      </c>
      <c r="V32" s="703" t="s">
        <v>14</v>
      </c>
      <c r="W32" s="704">
        <f t="shared" si="14"/>
        <v>100</v>
      </c>
      <c r="X32" s="1352"/>
      <c r="Y32" s="3697"/>
      <c r="Z32" s="1353">
        <f t="shared" si="15"/>
        <v>111</v>
      </c>
      <c r="AA32" s="1350">
        <f t="shared" si="3"/>
        <v>1</v>
      </c>
      <c r="AB32" s="1350">
        <f t="shared" si="4"/>
        <v>1</v>
      </c>
      <c r="AC32" s="1959">
        <f t="shared" si="5"/>
        <v>1</v>
      </c>
    </row>
    <row r="33" spans="1:29" ht="15">
      <c r="A33" s="391" t="s">
        <v>1694</v>
      </c>
      <c r="B33" s="63" t="s">
        <v>1817</v>
      </c>
      <c r="C33" s="1964" t="s">
        <v>3457</v>
      </c>
      <c r="D33" s="418">
        <v>100</v>
      </c>
      <c r="E33" s="1964" t="s">
        <v>3457</v>
      </c>
      <c r="F33" s="412">
        <f>SUMIF(101:101,E33,102:102)-SUMIF(101:101,C33,102:102)+100</f>
        <v>100</v>
      </c>
      <c r="G33" s="1964" t="s">
        <v>3457</v>
      </c>
      <c r="H33" s="386">
        <f>SUMIF(101:101,G33,102:102)-SUMIF(101:101,C33,102:102)+100</f>
        <v>100</v>
      </c>
      <c r="I33" s="1964" t="s">
        <v>3457</v>
      </c>
      <c r="J33" s="418">
        <f>SUMIF(101:101,I33,102:102)-SUMIF(101:101,C33,102:102)+100</f>
        <v>100</v>
      </c>
      <c r="K33" s="561"/>
      <c r="L33" s="2719"/>
      <c r="M33" s="2713"/>
      <c r="N33" s="2713"/>
      <c r="O33" s="2713"/>
      <c r="P33" s="3698" t="s">
        <v>1696</v>
      </c>
      <c r="Q33" s="1349" t="str">
        <f t="shared" si="11"/>
        <v>建筑类型</v>
      </c>
      <c r="R33" s="703" t="s">
        <v>14</v>
      </c>
      <c r="S33" s="704">
        <f t="shared" si="12"/>
        <v>100</v>
      </c>
      <c r="T33" s="703" t="s">
        <v>14</v>
      </c>
      <c r="U33" s="704">
        <f t="shared" si="13"/>
        <v>100</v>
      </c>
      <c r="V33" s="703" t="s">
        <v>14</v>
      </c>
      <c r="W33" s="704">
        <f t="shared" si="14"/>
        <v>100</v>
      </c>
      <c r="X33" s="1352"/>
      <c r="Y33" s="3701" t="s">
        <v>1696</v>
      </c>
      <c r="Z33" s="1353" t="str">
        <f t="shared" si="15"/>
        <v>建筑类型</v>
      </c>
      <c r="AA33" s="1350">
        <f t="shared" si="3"/>
        <v>1</v>
      </c>
      <c r="AB33" s="1350">
        <f t="shared" si="4"/>
        <v>1</v>
      </c>
      <c r="AC33" s="1959">
        <f t="shared" si="5"/>
        <v>1</v>
      </c>
    </row>
    <row r="34" spans="1:29" s="422" customFormat="1" ht="15">
      <c r="A34" s="419"/>
      <c r="B34" s="375" t="s">
        <v>1697</v>
      </c>
      <c r="C34" s="420">
        <f>典型户型修正!B24</f>
        <v>1506.52</v>
      </c>
      <c r="D34" s="127">
        <v>100</v>
      </c>
      <c r="E34" s="420">
        <v>350</v>
      </c>
      <c r="F34" s="376">
        <f>LOOKUP(E34,104:104,105:105)-LOOKUP(C34,104:104,105:105)+100</f>
        <v>103</v>
      </c>
      <c r="G34" s="420">
        <v>140</v>
      </c>
      <c r="H34" s="127">
        <f>LOOKUP(G34,104:104,105:105)-LOOKUP(C34,104:104,105:105)+100</f>
        <v>102</v>
      </c>
      <c r="I34" s="420">
        <v>1300</v>
      </c>
      <c r="J34" s="127">
        <f>LOOKUP(I34,104:104,105:105)-LOOKUP(C34,104:104,105:105)+100</f>
        <v>101</v>
      </c>
      <c r="K34" s="562"/>
      <c r="L34" s="2718"/>
      <c r="M34" s="2720"/>
      <c r="N34" s="2720"/>
      <c r="O34" s="2720"/>
      <c r="P34" s="3699"/>
      <c r="Q34" s="705" t="str">
        <f t="shared" si="11"/>
        <v>项目建筑规模</v>
      </c>
      <c r="R34" s="706" t="s">
        <v>14</v>
      </c>
      <c r="S34" s="707">
        <f t="shared" si="12"/>
        <v>103</v>
      </c>
      <c r="T34" s="706" t="s">
        <v>14</v>
      </c>
      <c r="U34" s="707">
        <f t="shared" si="13"/>
        <v>102</v>
      </c>
      <c r="V34" s="706" t="s">
        <v>14</v>
      </c>
      <c r="W34" s="707">
        <f t="shared" si="14"/>
        <v>101</v>
      </c>
      <c r="X34" s="708"/>
      <c r="Y34" s="3701"/>
      <c r="Z34" s="709" t="str">
        <f t="shared" si="15"/>
        <v>项目建筑规模</v>
      </c>
      <c r="AA34" s="1350">
        <f t="shared" si="3"/>
        <v>0.970873786407767</v>
      </c>
      <c r="AB34" s="1350">
        <f t="shared" si="4"/>
        <v>0.98039215686274506</v>
      </c>
      <c r="AC34" s="1959">
        <f t="shared" si="5"/>
        <v>0.99009900990099009</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19"/>
      <c r="M35" s="2713"/>
      <c r="N35" s="2713"/>
      <c r="O35" s="2713"/>
      <c r="P35" s="3699"/>
      <c r="Q35" s="1349" t="str">
        <f t="shared" si="11"/>
        <v>建筑结构</v>
      </c>
      <c r="R35" s="703" t="s">
        <v>14</v>
      </c>
      <c r="S35" s="704">
        <f t="shared" si="12"/>
        <v>100</v>
      </c>
      <c r="T35" s="703" t="s">
        <v>14</v>
      </c>
      <c r="U35" s="704">
        <f t="shared" si="13"/>
        <v>100</v>
      </c>
      <c r="V35" s="703" t="s">
        <v>14</v>
      </c>
      <c r="W35" s="704">
        <f t="shared" si="14"/>
        <v>100</v>
      </c>
      <c r="X35" s="1352"/>
      <c r="Y35" s="3701"/>
      <c r="Z35" s="1353" t="str">
        <f t="shared" si="15"/>
        <v>建筑结构</v>
      </c>
      <c r="AA35" s="1350">
        <f t="shared" si="3"/>
        <v>1</v>
      </c>
      <c r="AB35" s="1350">
        <f t="shared" si="4"/>
        <v>1</v>
      </c>
      <c r="AC35" s="1959">
        <f t="shared" si="5"/>
        <v>1</v>
      </c>
    </row>
    <row r="36" spans="1:29" ht="15">
      <c r="A36" s="423"/>
      <c r="B36" s="375" t="s">
        <v>1785</v>
      </c>
      <c r="C36" s="411" t="s">
        <v>3458</v>
      </c>
      <c r="D36" s="386">
        <v>100</v>
      </c>
      <c r="E36" s="411" t="s">
        <v>3458</v>
      </c>
      <c r="F36" s="412">
        <f>SUMIF(108:108,E36,109:109)-SUMIF(108:108,C36,109:109)+100</f>
        <v>100</v>
      </c>
      <c r="G36" s="411" t="s">
        <v>3458</v>
      </c>
      <c r="H36" s="386">
        <f>SUMIF(108:108,G36,109:109)-SUMIF(108:108,C36,109:109)+100</f>
        <v>100</v>
      </c>
      <c r="I36" s="411" t="s">
        <v>3458</v>
      </c>
      <c r="J36" s="386">
        <f>SUMIF(108:108,I36,109:109)-SUMIF(108:108,C36,109:109)+100</f>
        <v>100</v>
      </c>
      <c r="K36" s="561">
        <v>1</v>
      </c>
      <c r="L36" s="2719"/>
      <c r="M36" s="2713"/>
      <c r="N36" s="2713"/>
      <c r="O36" s="2713"/>
      <c r="P36" s="3699"/>
      <c r="Q36" s="1349" t="str">
        <f t="shared" si="11"/>
        <v>公共部分装修</v>
      </c>
      <c r="R36" s="703" t="s">
        <v>14</v>
      </c>
      <c r="S36" s="704">
        <f t="shared" si="12"/>
        <v>100</v>
      </c>
      <c r="T36" s="703" t="s">
        <v>14</v>
      </c>
      <c r="U36" s="704">
        <f t="shared" si="13"/>
        <v>100</v>
      </c>
      <c r="V36" s="703" t="s">
        <v>14</v>
      </c>
      <c r="W36" s="704">
        <f t="shared" si="14"/>
        <v>100</v>
      </c>
      <c r="X36" s="1352"/>
      <c r="Y36" s="3701"/>
      <c r="Z36" s="1353" t="str">
        <f t="shared" si="15"/>
        <v>公共部分装修</v>
      </c>
      <c r="AA36" s="1350">
        <f t="shared" si="3"/>
        <v>1</v>
      </c>
      <c r="AB36" s="1350">
        <f t="shared" si="4"/>
        <v>1</v>
      </c>
      <c r="AC36" s="1959">
        <f t="shared" si="5"/>
        <v>1</v>
      </c>
    </row>
    <row r="37" spans="1:29" ht="15">
      <c r="A37" s="423"/>
      <c r="B37" s="375" t="s">
        <v>1786</v>
      </c>
      <c r="C37" s="425">
        <f>'[3]数据-取费表'!N6</f>
        <v>0.77</v>
      </c>
      <c r="D37" s="386">
        <v>100</v>
      </c>
      <c r="E37" s="425">
        <v>0.77</v>
      </c>
      <c r="F37" s="412">
        <f>LOOKUP(E37,111:111,112:112)-LOOKUP(C37,111:111,112:112)+100</f>
        <v>100</v>
      </c>
      <c r="G37" s="425">
        <v>0.77</v>
      </c>
      <c r="H37" s="412">
        <f>LOOKUP(G37,111:111,112:112)-LOOKUP(C37,111:111,112:112)+100</f>
        <v>100</v>
      </c>
      <c r="I37" s="425">
        <v>0.77</v>
      </c>
      <c r="J37" s="386">
        <f>LOOKUP(I37,111:111,112:112)-LOOKUP(C37,111:111,112:112)+100</f>
        <v>100</v>
      </c>
      <c r="K37" s="561">
        <v>3</v>
      </c>
      <c r="L37" s="2719"/>
      <c r="M37" s="2713"/>
      <c r="N37" s="2713"/>
      <c r="O37" s="2713"/>
      <c r="P37" s="3699"/>
      <c r="Q37" s="1349" t="str">
        <f t="shared" si="11"/>
        <v>成新度</v>
      </c>
      <c r="R37" s="703" t="s">
        <v>14</v>
      </c>
      <c r="S37" s="704">
        <f t="shared" si="12"/>
        <v>100</v>
      </c>
      <c r="T37" s="703" t="s">
        <v>14</v>
      </c>
      <c r="U37" s="704">
        <f t="shared" si="13"/>
        <v>100</v>
      </c>
      <c r="V37" s="703" t="s">
        <v>14</v>
      </c>
      <c r="W37" s="704">
        <f t="shared" si="14"/>
        <v>100</v>
      </c>
      <c r="X37" s="1352"/>
      <c r="Y37" s="3701"/>
      <c r="Z37" s="1353" t="str">
        <f t="shared" si="15"/>
        <v>成新度</v>
      </c>
      <c r="AA37" s="1350">
        <f t="shared" si="3"/>
        <v>1</v>
      </c>
      <c r="AB37" s="1350">
        <f t="shared" si="4"/>
        <v>1</v>
      </c>
      <c r="AC37" s="1959">
        <f t="shared" si="5"/>
        <v>1</v>
      </c>
    </row>
    <row r="38" spans="1:29" s="108" customFormat="1" ht="15">
      <c r="A38" s="424"/>
      <c r="B38" s="375" t="s">
        <v>1818</v>
      </c>
      <c r="C38" s="411" t="s">
        <v>3459</v>
      </c>
      <c r="D38" s="127">
        <v>100</v>
      </c>
      <c r="E38" s="411" t="s">
        <v>3459</v>
      </c>
      <c r="F38" s="412">
        <f>SUMIF(113:113,E38,114:114)-SUMIF(113:113,C38,114:114)+100</f>
        <v>100</v>
      </c>
      <c r="G38" s="411" t="s">
        <v>3459</v>
      </c>
      <c r="H38" s="386">
        <f>SUMIF(113:113,G38,114:114)-SUMIF(113:113,C38,114:114)+100</f>
        <v>100</v>
      </c>
      <c r="I38" s="411" t="s">
        <v>3459</v>
      </c>
      <c r="J38" s="386">
        <f>SUMIF(113:113,I38,114:114)-SUMIF(113:113,C38,114:114)+100</f>
        <v>100</v>
      </c>
      <c r="K38" s="561">
        <v>2</v>
      </c>
      <c r="L38" s="2714"/>
      <c r="M38" s="2715"/>
      <c r="N38" s="2715"/>
      <c r="O38" s="2715"/>
      <c r="P38" s="3699"/>
      <c r="Q38" s="1340" t="str">
        <f t="shared" si="11"/>
        <v>写字楼等级</v>
      </c>
      <c r="R38" s="699" t="s">
        <v>14</v>
      </c>
      <c r="S38" s="700">
        <f t="shared" si="12"/>
        <v>100</v>
      </c>
      <c r="T38" s="699" t="s">
        <v>14</v>
      </c>
      <c r="U38" s="700">
        <f t="shared" si="13"/>
        <v>100</v>
      </c>
      <c r="V38" s="699" t="s">
        <v>14</v>
      </c>
      <c r="W38" s="700">
        <f t="shared" si="14"/>
        <v>100</v>
      </c>
      <c r="X38" s="701"/>
      <c r="Y38" s="3701"/>
      <c r="Z38" s="52" t="str">
        <f t="shared" si="15"/>
        <v>写字楼等级</v>
      </c>
      <c r="AA38" s="702">
        <f t="shared" si="3"/>
        <v>1</v>
      </c>
      <c r="AB38" s="702">
        <f t="shared" si="4"/>
        <v>1</v>
      </c>
      <c r="AC38" s="1956">
        <f t="shared" si="5"/>
        <v>1</v>
      </c>
    </row>
    <row r="39" spans="1:29" ht="15">
      <c r="A39" s="423"/>
      <c r="B39" s="375" t="s">
        <v>1819</v>
      </c>
      <c r="C39" s="411" t="s">
        <v>3460</v>
      </c>
      <c r="D39" s="386">
        <v>100</v>
      </c>
      <c r="E39" s="411" t="s">
        <v>3460</v>
      </c>
      <c r="F39" s="412">
        <f>SUMIF(115:115,E39,116:116)-SUMIF(115:115,C39,116:116)+100</f>
        <v>100</v>
      </c>
      <c r="G39" s="411" t="s">
        <v>3460</v>
      </c>
      <c r="H39" s="386">
        <f>SUMIF(115:115,G39,116:116)-SUMIF(115:115,C39,116:116)+100</f>
        <v>100</v>
      </c>
      <c r="I39" s="411" t="s">
        <v>3460</v>
      </c>
      <c r="J39" s="386">
        <f>SUMIF(115:115,I39,116:116)-SUMIF(115:115,C39,116:116)+100</f>
        <v>100</v>
      </c>
      <c r="K39" s="561">
        <v>1</v>
      </c>
      <c r="L39" s="2719"/>
      <c r="M39" s="2713"/>
      <c r="N39" s="2713"/>
      <c r="O39" s="2713"/>
      <c r="P39" s="3699" t="s">
        <v>1696</v>
      </c>
      <c r="Q39" s="1349" t="str">
        <f t="shared" si="11"/>
        <v>物业管理</v>
      </c>
      <c r="R39" s="703" t="s">
        <v>14</v>
      </c>
      <c r="S39" s="704">
        <f t="shared" si="12"/>
        <v>100</v>
      </c>
      <c r="T39" s="703" t="s">
        <v>14</v>
      </c>
      <c r="U39" s="704">
        <f t="shared" si="13"/>
        <v>100</v>
      </c>
      <c r="V39" s="703" t="s">
        <v>14</v>
      </c>
      <c r="W39" s="704">
        <f t="shared" si="14"/>
        <v>100</v>
      </c>
      <c r="X39" s="1352"/>
      <c r="Y39" s="3701" t="s">
        <v>1696</v>
      </c>
      <c r="Z39" s="1353" t="str">
        <f t="shared" si="15"/>
        <v>物业管理</v>
      </c>
      <c r="AA39" s="1350">
        <f t="shared" si="3"/>
        <v>1</v>
      </c>
      <c r="AB39" s="1350">
        <f t="shared" si="4"/>
        <v>1</v>
      </c>
      <c r="AC39" s="1959">
        <f t="shared" si="5"/>
        <v>1</v>
      </c>
    </row>
    <row r="40" spans="1:29" ht="15">
      <c r="A40" s="423"/>
      <c r="B40" s="375" t="s">
        <v>1787</v>
      </c>
      <c r="C40" s="411" t="s">
        <v>3449</v>
      </c>
      <c r="D40" s="386">
        <v>100</v>
      </c>
      <c r="E40" s="411" t="s">
        <v>3449</v>
      </c>
      <c r="F40" s="412">
        <f>SUMIF(117:117,E40,118:118)-SUMIF(117:117,C40,118:118)+100</f>
        <v>100</v>
      </c>
      <c r="G40" s="411" t="s">
        <v>3449</v>
      </c>
      <c r="H40" s="386">
        <f>SUMIF(117:117,G40,118:118)-SUMIF(117:117,C40,118:118)+100</f>
        <v>100</v>
      </c>
      <c r="I40" s="411" t="s">
        <v>3449</v>
      </c>
      <c r="J40" s="386">
        <f>SUMIF(117:117,I40,118:118)-SUMIF(117:117,C40,118:118)+100</f>
        <v>100</v>
      </c>
      <c r="K40" s="561">
        <v>2</v>
      </c>
      <c r="L40" s="2719"/>
      <c r="M40" s="2713"/>
      <c r="N40" s="2713"/>
      <c r="O40" s="2713"/>
      <c r="P40" s="3699"/>
      <c r="Q40" s="1349" t="str">
        <f t="shared" si="11"/>
        <v>市政基础设施</v>
      </c>
      <c r="R40" s="703" t="s">
        <v>14</v>
      </c>
      <c r="S40" s="704">
        <f t="shared" si="12"/>
        <v>100</v>
      </c>
      <c r="T40" s="703" t="s">
        <v>14</v>
      </c>
      <c r="U40" s="704">
        <f t="shared" si="13"/>
        <v>100</v>
      </c>
      <c r="V40" s="703" t="s">
        <v>14</v>
      </c>
      <c r="W40" s="704">
        <f t="shared" si="14"/>
        <v>100</v>
      </c>
      <c r="X40" s="1352"/>
      <c r="Y40" s="3701"/>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99"/>
      <c r="Q41" s="1349" t="str">
        <f t="shared" si="11"/>
        <v>层高</v>
      </c>
      <c r="R41" s="703" t="s">
        <v>14</v>
      </c>
      <c r="S41" s="704">
        <f t="shared" si="12"/>
        <v>100</v>
      </c>
      <c r="T41" s="703" t="s">
        <v>14</v>
      </c>
      <c r="U41" s="704">
        <f t="shared" si="13"/>
        <v>100</v>
      </c>
      <c r="V41" s="703" t="s">
        <v>14</v>
      </c>
      <c r="W41" s="704">
        <f t="shared" si="14"/>
        <v>100</v>
      </c>
      <c r="X41" s="1352"/>
      <c r="Y41" s="3701"/>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99"/>
      <c r="Q42" s="705" t="str">
        <f t="shared" si="11"/>
        <v>单套建筑面积</v>
      </c>
      <c r="R42" s="706" t="s">
        <v>14</v>
      </c>
      <c r="S42" s="707">
        <f t="shared" si="12"/>
        <v>100</v>
      </c>
      <c r="T42" s="706" t="s">
        <v>14</v>
      </c>
      <c r="U42" s="707">
        <f t="shared" si="13"/>
        <v>100</v>
      </c>
      <c r="V42" s="706" t="s">
        <v>14</v>
      </c>
      <c r="W42" s="707">
        <f t="shared" si="14"/>
        <v>100</v>
      </c>
      <c r="X42" s="708"/>
      <c r="Y42" s="3701"/>
      <c r="Z42" s="709" t="str">
        <f t="shared" si="15"/>
        <v>单套建筑面积</v>
      </c>
      <c r="AA42" s="1350">
        <f t="shared" si="3"/>
        <v>1</v>
      </c>
      <c r="AB42" s="1350">
        <f t="shared" si="4"/>
        <v>1</v>
      </c>
      <c r="AC42" s="1959">
        <f t="shared" si="5"/>
        <v>1</v>
      </c>
    </row>
    <row r="43" spans="1:29" ht="15">
      <c r="A43" s="423"/>
      <c r="B43" s="375" t="s">
        <v>1792</v>
      </c>
      <c r="C43" s="411" t="s">
        <v>3458</v>
      </c>
      <c r="D43" s="386">
        <v>100</v>
      </c>
      <c r="E43" s="411" t="s">
        <v>3458</v>
      </c>
      <c r="F43" s="412">
        <f>SUMIF(123:123,E43,124:124)-SUMIF(123:123,C43,124:124)+100</f>
        <v>100</v>
      </c>
      <c r="G43" s="411" t="s">
        <v>3458</v>
      </c>
      <c r="H43" s="386">
        <f>SUMIF(123:123,G43,124:124)-SUMIF(123:123,C43,124:124)+100</f>
        <v>100</v>
      </c>
      <c r="I43" s="411" t="s">
        <v>3458</v>
      </c>
      <c r="J43" s="386">
        <f>SUMIF(123:123,I43,124:124)-SUMIF(123:123,C43,124:124)+100</f>
        <v>100</v>
      </c>
      <c r="K43" s="561">
        <v>3</v>
      </c>
      <c r="L43" s="2719"/>
      <c r="M43" s="2713"/>
      <c r="N43" s="2713"/>
      <c r="O43" s="2713"/>
      <c r="P43" s="3699"/>
      <c r="Q43" s="1349" t="str">
        <f t="shared" si="11"/>
        <v>内部装修</v>
      </c>
      <c r="R43" s="703" t="s">
        <v>14</v>
      </c>
      <c r="S43" s="704">
        <f t="shared" si="12"/>
        <v>100</v>
      </c>
      <c r="T43" s="703" t="s">
        <v>14</v>
      </c>
      <c r="U43" s="704">
        <f t="shared" si="13"/>
        <v>100</v>
      </c>
      <c r="V43" s="703" t="s">
        <v>14</v>
      </c>
      <c r="W43" s="704">
        <f t="shared" si="14"/>
        <v>100</v>
      </c>
      <c r="X43" s="1352"/>
      <c r="Y43" s="3701"/>
      <c r="Z43" s="1353" t="str">
        <f t="shared" si="15"/>
        <v>内部装修</v>
      </c>
      <c r="AA43" s="1350">
        <f t="shared" si="3"/>
        <v>1</v>
      </c>
      <c r="AB43" s="1350">
        <f t="shared" si="4"/>
        <v>1</v>
      </c>
      <c r="AC43" s="1959">
        <f t="shared" si="5"/>
        <v>1</v>
      </c>
    </row>
    <row r="44" spans="1:29" ht="15.75" thickBot="1">
      <c r="A44" s="423"/>
      <c r="B44" s="375" t="s">
        <v>1707</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9"/>
      <c r="M44" s="2713"/>
      <c r="N44" s="2713"/>
      <c r="O44" s="2713"/>
      <c r="P44" s="3699"/>
      <c r="Q44" s="1349" t="str">
        <f t="shared" si="11"/>
        <v>内部装修维护情况</v>
      </c>
      <c r="R44" s="703" t="s">
        <v>14</v>
      </c>
      <c r="S44" s="704">
        <f t="shared" si="12"/>
        <v>100</v>
      </c>
      <c r="T44" s="703" t="s">
        <v>14</v>
      </c>
      <c r="U44" s="704">
        <f t="shared" si="13"/>
        <v>100</v>
      </c>
      <c r="V44" s="703" t="s">
        <v>14</v>
      </c>
      <c r="W44" s="704">
        <f t="shared" si="14"/>
        <v>100</v>
      </c>
      <c r="X44" s="1352"/>
      <c r="Y44" s="3701"/>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99"/>
      <c r="Q45" s="1340">
        <f t="shared" si="11"/>
        <v>111</v>
      </c>
      <c r="R45" s="699" t="s">
        <v>14</v>
      </c>
      <c r="S45" s="700">
        <f t="shared" si="12"/>
        <v>100</v>
      </c>
      <c r="T45" s="699" t="s">
        <v>14</v>
      </c>
      <c r="U45" s="700">
        <f t="shared" si="13"/>
        <v>100</v>
      </c>
      <c r="V45" s="699" t="s">
        <v>14</v>
      </c>
      <c r="W45" s="700">
        <f t="shared" si="14"/>
        <v>100</v>
      </c>
      <c r="X45" s="701"/>
      <c r="Y45" s="3701"/>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99"/>
      <c r="Q46" s="1349">
        <f t="shared" si="11"/>
        <v>111</v>
      </c>
      <c r="R46" s="703" t="s">
        <v>14</v>
      </c>
      <c r="S46" s="704">
        <f t="shared" si="12"/>
        <v>100</v>
      </c>
      <c r="T46" s="703" t="s">
        <v>14</v>
      </c>
      <c r="U46" s="704">
        <f t="shared" si="13"/>
        <v>100</v>
      </c>
      <c r="V46" s="703" t="s">
        <v>14</v>
      </c>
      <c r="W46" s="704">
        <f t="shared" si="14"/>
        <v>100</v>
      </c>
      <c r="X46" s="1352"/>
      <c r="Y46" s="3701"/>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0"/>
      <c r="Q47" s="1349">
        <f t="shared" si="11"/>
        <v>111</v>
      </c>
      <c r="R47" s="703" t="s">
        <v>14</v>
      </c>
      <c r="S47" s="704">
        <f t="shared" si="12"/>
        <v>100</v>
      </c>
      <c r="T47" s="703" t="s">
        <v>14</v>
      </c>
      <c r="U47" s="704">
        <f t="shared" si="13"/>
        <v>100</v>
      </c>
      <c r="V47" s="703" t="s">
        <v>14</v>
      </c>
      <c r="W47" s="704">
        <f t="shared" si="14"/>
        <v>100</v>
      </c>
      <c r="X47" s="1352"/>
      <c r="Y47" s="3702"/>
      <c r="Z47" s="1353">
        <f t="shared" si="15"/>
        <v>111</v>
      </c>
      <c r="AA47" s="1350">
        <f t="shared" si="3"/>
        <v>1</v>
      </c>
      <c r="AB47" s="1350">
        <f t="shared" si="4"/>
        <v>1</v>
      </c>
      <c r="AC47" s="1959">
        <f t="shared" si="5"/>
        <v>1</v>
      </c>
    </row>
    <row r="48" spans="1:29" ht="15">
      <c r="A48" s="430" t="s">
        <v>1708</v>
      </c>
      <c r="B48" s="431"/>
      <c r="C48" s="1151" t="s">
        <v>0</v>
      </c>
      <c r="D48" s="1152"/>
      <c r="E48" s="1153">
        <v>45000</v>
      </c>
      <c r="F48" s="1154"/>
      <c r="G48" s="1155">
        <v>45000</v>
      </c>
      <c r="H48" s="1156"/>
      <c r="I48" s="1153">
        <v>40000</v>
      </c>
      <c r="J48" s="436"/>
      <c r="K48" s="712"/>
      <c r="L48" s="2721"/>
      <c r="M48" s="2713"/>
      <c r="N48" s="2713"/>
      <c r="O48" s="2713"/>
      <c r="P48" s="3676" t="str">
        <f>A48</f>
        <v>成交单价（元/平方米）</v>
      </c>
      <c r="Q48" s="3694"/>
      <c r="R48" s="3695">
        <f>E48</f>
        <v>45000</v>
      </c>
      <c r="S48" s="3695"/>
      <c r="T48" s="3695">
        <f>G48</f>
        <v>45000</v>
      </c>
      <c r="U48" s="3695"/>
      <c r="V48" s="3695">
        <f>I48</f>
        <v>40000</v>
      </c>
      <c r="W48" s="3695"/>
      <c r="X48" s="397"/>
      <c r="Y48" s="710"/>
      <c r="Z48" s="397"/>
      <c r="AA48" s="397"/>
      <c r="AB48" s="397"/>
      <c r="AC48" s="578"/>
    </row>
    <row r="49" spans="1:29" ht="15.75" thickBot="1">
      <c r="A49" s="437" t="s">
        <v>1793</v>
      </c>
      <c r="B49" s="438"/>
      <c r="C49" s="1157">
        <f>R50</f>
        <v>39129</v>
      </c>
      <c r="D49" s="2314" t="s">
        <v>2137</v>
      </c>
      <c r="E49" s="1158">
        <f>R49</f>
        <v>40009</v>
      </c>
      <c r="F49" s="2315"/>
      <c r="G49" s="1157">
        <f>T49</f>
        <v>40401</v>
      </c>
      <c r="H49" s="2315"/>
      <c r="I49" s="1158">
        <f>V49</f>
        <v>36978</v>
      </c>
      <c r="J49" s="2315"/>
      <c r="K49" s="2317">
        <f>F49+H49+J49</f>
        <v>0</v>
      </c>
      <c r="L49" s="2721"/>
      <c r="M49" s="2713"/>
      <c r="N49" s="2713"/>
      <c r="O49" s="2713"/>
      <c r="P49" s="3676" t="str">
        <f>A49</f>
        <v>比较价值（元/平方米）</v>
      </c>
      <c r="Q49" s="3694"/>
      <c r="R49" s="3695">
        <f>IF(F1="售价",ROUND(PRODUCT(R48,AA7:AA47),0),ROUND(PRODUCT(R48,AA7:AA47),1))</f>
        <v>40009</v>
      </c>
      <c r="S49" s="3695"/>
      <c r="T49" s="3695">
        <f>IF(F1="售价",ROUND(PRODUCT(T48,AB7:AB47),0),ROUND(PRODUCT(T48,AB7:AB47),1))</f>
        <v>40401</v>
      </c>
      <c r="U49" s="3695"/>
      <c r="V49" s="3695">
        <f>IF(F1="售价",ROUND(PRODUCT(V48,AC7:AC47),0),ROUND(PRODUCT(V48,AC7:AC47),1))</f>
        <v>36978</v>
      </c>
      <c r="W49" s="3695"/>
      <c r="X49" s="397"/>
      <c r="Y49" s="397"/>
      <c r="Z49" s="397"/>
      <c r="AA49" s="397"/>
      <c r="AB49" s="397"/>
      <c r="AC49" s="578"/>
    </row>
    <row r="50" spans="1:29" ht="15.75" thickBot="1">
      <c r="A50" s="441" t="s">
        <v>1794</v>
      </c>
      <c r="B50" s="442"/>
      <c r="C50" s="1160">
        <f>R50</f>
        <v>39129</v>
      </c>
      <c r="D50" s="1160"/>
      <c r="E50" s="1160"/>
      <c r="F50" s="1160"/>
      <c r="G50" s="1160"/>
      <c r="H50" s="1160"/>
      <c r="I50" s="1160"/>
      <c r="J50" s="443"/>
      <c r="K50" s="713"/>
      <c r="L50" s="2721"/>
      <c r="M50" s="2713"/>
      <c r="N50" s="2713"/>
      <c r="O50" s="2713"/>
      <c r="P50" s="3717" t="str">
        <f>A50</f>
        <v>估价对象XX用房的比较价值（楼面单价，元/平方米）</v>
      </c>
      <c r="Q50" s="3718"/>
      <c r="R50" s="3719">
        <f>IF(F1="售价",ROUND(IF(D49="简单平均",AVERAGE(R49:V49),R49*F49+T49*H49+V49*J49),0),ROUND(IF(D49="简单平均",AVERAGE(R49:V49),R49*F49+T49*H49+V49*J49),1))</f>
        <v>39129</v>
      </c>
      <c r="S50" s="3719"/>
      <c r="T50" s="3719"/>
      <c r="U50" s="3719"/>
      <c r="V50" s="3719"/>
      <c r="W50" s="371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0.12474693194031339</v>
      </c>
      <c r="F53" s="449" t="str">
        <f>IF(OR(E53&gt;=0.3,E53&lt;=-0.3),"超过30%","")</f>
        <v/>
      </c>
      <c r="G53" s="448">
        <f>IF(G48&lt;G49,G49/G48-1,G48/G49-1)</f>
        <v>0.1138338159946537</v>
      </c>
      <c r="H53" s="449" t="str">
        <f>IF(OR(G53&gt;=0.3,G53&lt;=-0.3),"超过30%","")</f>
        <v/>
      </c>
      <c r="I53" s="448">
        <f>IF(I48&lt;I49,I49/I48-1,I48/I49-1)</f>
        <v>8.1724268483963414E-2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9.7977954960133395E-3</v>
      </c>
      <c r="F54" s="449" t="str">
        <f>IF(OR(E54&gt;=0.2,E54&lt;=-0.2),"超过20%","")</f>
        <v/>
      </c>
      <c r="G54" s="448">
        <f>IF(G49&lt;I49,I49/G49-1,G49/I49-1)</f>
        <v>9.2568554275515247E-2</v>
      </c>
      <c r="H54" s="449" t="str">
        <f>IF(OR(G54&gt;=0.2,G54&lt;=-0.2),"超过20%","")</f>
        <v/>
      </c>
      <c r="I54" s="448">
        <f>IF(I49&lt;E49,E49/I49-1,I49/E49-1)</f>
        <v>8.1967656444372317E-2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0.125</v>
      </c>
      <c r="H55" s="449" t="str">
        <f>IF(OR(G55&gt;=0.3,G55&lt;=-0.3),"超过30%","")</f>
        <v/>
      </c>
      <c r="I55" s="448">
        <f>IF(I48&lt;E48,E48/I48-1,I48/E48-1)</f>
        <v>0.125</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797" t="s">
        <v>3465</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105</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793" t="s">
        <v>3438</v>
      </c>
      <c r="D87" s="3793" t="s">
        <v>3439</v>
      </c>
      <c r="E87" s="3793" t="s">
        <v>3440</v>
      </c>
      <c r="F87" s="3793" t="s">
        <v>3441</v>
      </c>
      <c r="G87" s="3793" t="s">
        <v>3442</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793" t="s">
        <v>3435</v>
      </c>
      <c r="D89" s="3793" t="s">
        <v>3436</v>
      </c>
      <c r="E89" s="3793" t="s">
        <v>3437</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794" t="s">
        <v>3443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6.5" thickTop="1" thickBot="1">
      <c r="A103" s="483"/>
      <c r="B103" s="487" t="s">
        <v>1737</v>
      </c>
      <c r="C103" s="527" t="str">
        <f>C104&amp;"(含)"&amp;"-"&amp;D104</f>
        <v>0(含)-300</v>
      </c>
      <c r="D103" s="527" t="str">
        <f t="shared" ref="D103:L103" si="23">D104&amp;"(含)"&amp;"-"&amp;E104</f>
        <v>300(含)-500</v>
      </c>
      <c r="E103" s="527" t="str">
        <f t="shared" si="23"/>
        <v>500(含)-1000</v>
      </c>
      <c r="F103" s="527" t="str">
        <f t="shared" si="23"/>
        <v>1000(含)-1500</v>
      </c>
      <c r="G103" s="527" t="str">
        <f t="shared" si="23"/>
        <v>1500(含)-2000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ht="15" thickTop="1">
      <c r="A104" s="542"/>
      <c r="B104" s="543"/>
      <c r="C104" s="503">
        <v>0</v>
      </c>
      <c r="D104" s="503">
        <v>300</v>
      </c>
      <c r="E104" s="503">
        <v>500</v>
      </c>
      <c r="F104" s="532">
        <v>1000</v>
      </c>
      <c r="G104" s="504">
        <v>1500</v>
      </c>
      <c r="H104" s="504">
        <v>2000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509">
        <v>100</v>
      </c>
      <c r="E105" s="509">
        <v>99</v>
      </c>
      <c r="F105" s="509">
        <v>98</v>
      </c>
      <c r="G105" s="509">
        <v>97</v>
      </c>
      <c r="H105" s="509">
        <v>96</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793" t="s">
        <v>3444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793" t="s">
        <v>3445</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103</v>
      </c>
      <c r="E112" s="493">
        <f t="shared" ref="E112:M112" si="26">D112+$K37</f>
        <v>106</v>
      </c>
      <c r="F112" s="493">
        <f t="shared" si="26"/>
        <v>109</v>
      </c>
      <c r="G112" s="493">
        <f t="shared" si="26"/>
        <v>112</v>
      </c>
      <c r="H112" s="493">
        <f t="shared" si="26"/>
        <v>115</v>
      </c>
      <c r="I112" s="493">
        <f t="shared" si="26"/>
        <v>118</v>
      </c>
      <c r="J112" s="493">
        <f t="shared" si="26"/>
        <v>121</v>
      </c>
      <c r="K112" s="493">
        <f t="shared" si="26"/>
        <v>124</v>
      </c>
      <c r="L112" s="493">
        <f t="shared" si="26"/>
        <v>127</v>
      </c>
      <c r="M112" s="493">
        <f t="shared" si="26"/>
        <v>130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793" t="s">
        <v>3446</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793" t="s">
        <v>3447</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3434</v>
      </c>
      <c r="D117" s="503" t="s">
        <v>3448</v>
      </c>
      <c r="E117" s="503" t="s">
        <v>3449</v>
      </c>
      <c r="F117" s="503" t="s">
        <v>3450</v>
      </c>
      <c r="G117" s="503" t="s">
        <v>3451</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793" t="s">
        <v>3452</v>
      </c>
      <c r="D123" s="3793" t="s">
        <v>3453</v>
      </c>
      <c r="E123" s="3793" t="s">
        <v>3454</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21</v>
      </c>
      <c r="D1" s="1359"/>
      <c r="E1" s="1360" t="s">
        <v>678</v>
      </c>
      <c r="F1" s="1059">
        <f ca="1">J53</f>
        <v>27.73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8013</v>
      </c>
      <c r="C2" s="1384" t="s">
        <v>805</v>
      </c>
      <c r="D2" s="1384"/>
      <c r="E2" s="1385"/>
      <c r="F2" s="1386"/>
      <c r="G2" s="2703"/>
      <c r="H2" s="2692"/>
      <c r="I2" s="2692"/>
      <c r="J2" s="2692"/>
      <c r="K2" s="2693"/>
      <c r="L2" s="2692"/>
      <c r="M2" s="2692"/>
    </row>
    <row r="3" spans="1:37" ht="18" customHeight="1" thickBot="1">
      <c r="A3" s="1387" t="s">
        <v>806</v>
      </c>
      <c r="B3" s="1388">
        <f ca="1">IF(ISERROR(B2*10000/F43),0,ROUND(B2*10000/F43,0))</f>
        <v>53189</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545</v>
      </c>
      <c r="D5" s="1361" t="s">
        <v>693</v>
      </c>
      <c r="E5" s="1068"/>
      <c r="F5" s="1069"/>
      <c r="G5" s="1381"/>
      <c r="H5" s="299">
        <v>1</v>
      </c>
      <c r="I5" s="300" t="s">
        <v>692</v>
      </c>
      <c r="J5" s="1067">
        <f ca="1">J6+J10+J12</f>
        <v>0</v>
      </c>
      <c r="K5" s="1361" t="s">
        <v>693</v>
      </c>
      <c r="L5" s="1068"/>
      <c r="M5" s="1069"/>
    </row>
    <row r="6" spans="1:37" ht="18" customHeight="1">
      <c r="A6" s="1066" t="s">
        <v>398</v>
      </c>
      <c r="B6" s="3635" t="s">
        <v>694</v>
      </c>
      <c r="C6" s="1071">
        <f ca="1">ROUND(F6*F8*F7*(1-F9)/10000,0)</f>
        <v>544</v>
      </c>
      <c r="D6" s="155" t="s">
        <v>2108</v>
      </c>
      <c r="E6" s="302" t="s">
        <v>696</v>
      </c>
      <c r="F6" s="303">
        <f ca="1">INDIRECT("'数据-取费表'!u"&amp;$G$1)</f>
        <v>11</v>
      </c>
      <c r="G6" s="1381"/>
      <c r="H6" s="1066" t="s">
        <v>398</v>
      </c>
      <c r="I6" s="3635" t="s">
        <v>694</v>
      </c>
      <c r="J6" s="301">
        <f ca="1">ROUND(M6*M8*M7*(1-M9)/10000,0)</f>
        <v>0</v>
      </c>
      <c r="K6" s="155" t="s">
        <v>2107</v>
      </c>
      <c r="L6" s="302" t="s">
        <v>696</v>
      </c>
      <c r="M6" s="303">
        <f ca="1">INDIRECT("'数据-取费表'!z"&amp;$G$1)</f>
        <v>0</v>
      </c>
    </row>
    <row r="7" spans="1:37" ht="18" customHeight="1">
      <c r="A7" s="1070"/>
      <c r="B7" s="3636"/>
      <c r="C7" s="1072"/>
      <c r="D7" s="307"/>
      <c r="E7" s="1073" t="s">
        <v>697</v>
      </c>
      <c r="F7" s="303">
        <f ca="1">IF(INDIRECT("'数据-取费表'!ah"&amp;$G$1)="",INDIRECT("'数据-取费表'!k"&amp;$G$1),INDIRECT("'数据-取费表'!ah"&amp;$G$1))</f>
        <v>1506.52</v>
      </c>
      <c r="G7" s="1381"/>
      <c r="H7" s="304"/>
      <c r="I7" s="3636"/>
      <c r="J7" s="306"/>
      <c r="K7" s="307"/>
      <c r="L7" s="302" t="s">
        <v>697</v>
      </c>
      <c r="M7" s="303">
        <f ca="1">F7</f>
        <v>1506.52</v>
      </c>
    </row>
    <row r="8" spans="1:37" ht="18" customHeight="1">
      <c r="A8" s="304"/>
      <c r="B8" s="3636"/>
      <c r="C8" s="306"/>
      <c r="D8" s="307"/>
      <c r="E8" s="302" t="s">
        <v>698</v>
      </c>
      <c r="F8" s="303">
        <f ca="1">INDIRECT("'数据-取费表'!ai"&amp;$G$1)</f>
        <v>365</v>
      </c>
      <c r="G8" s="1381"/>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v>
      </c>
      <c r="G9" s="1381"/>
      <c r="H9" s="304"/>
      <c r="I9" s="3637"/>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2116</v>
      </c>
      <c r="E10" s="313" t="s">
        <v>701</v>
      </c>
      <c r="F10" s="1113" t="s">
        <v>3389</v>
      </c>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99</v>
      </c>
      <c r="D13" s="1078" t="s">
        <v>705</v>
      </c>
      <c r="E13" s="1078" t="s">
        <v>706</v>
      </c>
      <c r="F13" s="1079">
        <f ca="1">INDIRECT("'数据-取费表'!y"&amp;$G$1)</f>
        <v>0.1</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678</v>
      </c>
      <c r="D14" s="1342" t="s">
        <v>708</v>
      </c>
      <c r="E14" s="1339"/>
      <c r="F14" s="319"/>
      <c r="G14" s="1381"/>
      <c r="H14" s="980" t="s">
        <v>398</v>
      </c>
      <c r="I14" s="302" t="s">
        <v>709</v>
      </c>
      <c r="J14" s="21">
        <f ca="1">C29</f>
        <v>991</v>
      </c>
      <c r="K14" s="12"/>
      <c r="L14" s="805"/>
      <c r="M14" s="806"/>
    </row>
    <row r="15" spans="1:37" s="1394" customFormat="1" ht="18" customHeight="1" thickBot="1">
      <c r="A15" s="980" t="s">
        <v>399</v>
      </c>
      <c r="B15" s="302" t="s">
        <v>710</v>
      </c>
      <c r="C15" s="21">
        <f ca="1">ROUND(C14*F15,0)</f>
        <v>20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15</v>
      </c>
      <c r="K16" s="1084" t="s">
        <v>715</v>
      </c>
      <c r="L16" s="1085"/>
      <c r="M16" s="1069"/>
    </row>
    <row r="17" spans="1:37" s="1394" customFormat="1" ht="18" customHeight="1">
      <c r="A17" s="980" t="s">
        <v>681</v>
      </c>
      <c r="B17" s="302" t="s">
        <v>716</v>
      </c>
      <c r="C17" s="21">
        <f ca="1">ROUND(F17*(F43+INDIRECT("'数据-取费表'!S"&amp;$G$1))/10000,0)</f>
        <v>30</v>
      </c>
      <c r="D17" s="302" t="s">
        <v>717</v>
      </c>
      <c r="E17" s="302" t="s">
        <v>718</v>
      </c>
      <c r="F17" s="23">
        <f>'数据-取费表'!B35</f>
        <v>200</v>
      </c>
      <c r="G17" s="1393"/>
      <c r="H17" s="980" t="s">
        <v>398</v>
      </c>
      <c r="I17" s="302" t="s">
        <v>719</v>
      </c>
      <c r="J17" s="2313">
        <f ca="1">ROUND(IF(AND(项目基本情况!B11="自然人",项目基本情况!B10="北京市"),J6*M17/(1+'数据-取费表'!C42),J18+J19+J20),2)</f>
        <v>0.28000000000000003</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10</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738</v>
      </c>
      <c r="D19" s="131" t="s">
        <v>726</v>
      </c>
      <c r="E19" s="1357"/>
      <c r="F19" s="23"/>
      <c r="G19" s="1381"/>
      <c r="H19" s="980"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80" t="s">
        <v>402</v>
      </c>
      <c r="B20" s="302" t="s">
        <v>728</v>
      </c>
      <c r="C20" s="21">
        <f ca="1">ROUND(C19*F20,0)</f>
        <v>15</v>
      </c>
      <c r="D20" s="323" t="s">
        <v>729</v>
      </c>
      <c r="E20" s="302" t="s">
        <v>712</v>
      </c>
      <c r="F20" s="322">
        <f>'数据-取费表'!B37</f>
        <v>0.02</v>
      </c>
      <c r="G20" s="1393"/>
      <c r="H20" s="980" t="s">
        <v>680</v>
      </c>
      <c r="I20" s="155" t="s">
        <v>730</v>
      </c>
      <c r="J20" s="22">
        <f ca="1">ROUND(M20*M21/10000,2)</f>
        <v>0.28000000000000003</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115.1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14.87</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26</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-15</v>
      </c>
      <c r="K25" s="1092" t="s">
        <v>753</v>
      </c>
      <c r="L25" s="1093"/>
      <c r="M25" s="1094"/>
    </row>
    <row r="26" spans="1:37">
      <c r="A26" s="980" t="s">
        <v>397</v>
      </c>
      <c r="B26" s="302" t="s">
        <v>754</v>
      </c>
      <c r="C26" s="21">
        <f ca="1">ROUND((C19+C20)*F26,0)</f>
        <v>136</v>
      </c>
      <c r="D26" s="323" t="s">
        <v>755</v>
      </c>
      <c r="E26" s="313" t="s">
        <v>756</v>
      </c>
      <c r="F26" s="312">
        <f ca="1">INDIRECT("'数据-取费表'!q"&amp;$G$1)</f>
        <v>0.18</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3.5999999999999999E-3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991</v>
      </c>
      <c r="D29" s="1089"/>
      <c r="E29" s="1087"/>
      <c r="F29" s="1090"/>
      <c r="G29" s="1393"/>
      <c r="H29" s="334" t="s">
        <v>396</v>
      </c>
      <c r="I29" s="335" t="s">
        <v>768</v>
      </c>
      <c r="J29" s="336">
        <f ca="1">ROUND(J26/(1+F40)^F41,0)</f>
        <v>0</v>
      </c>
      <c r="K29" s="337" t="s">
        <v>769</v>
      </c>
      <c r="L29" s="338"/>
      <c r="M29" s="339">
        <f ca="1">INDIRECT("'数据-取费表'!k"&amp;$G$1)</f>
        <v>1506.52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111</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90.95</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0" t="s">
        <v>397</v>
      </c>
      <c r="B32" s="302" t="s">
        <v>723</v>
      </c>
      <c r="C32" s="21">
        <f ca="1">IF(项目基本情况!B11="自然人","——",ROUND(C6*F32/(1+'数据-取费表'!C42),2))</f>
        <v>28.5</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62.17</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0.28000000000000003</v>
      </c>
      <c r="D34" s="324" t="s">
        <v>731</v>
      </c>
      <c r="E34" s="302" t="s">
        <v>732</v>
      </c>
      <c r="F34" s="325">
        <f>'数据-取费表'!B52</f>
        <v>24</v>
      </c>
      <c r="G34" s="1381"/>
      <c r="H34" s="2694"/>
      <c r="I34" s="1395"/>
      <c r="J34" s="1396"/>
      <c r="K34" s="2699"/>
      <c r="L34" s="2700"/>
      <c r="M34" s="2700"/>
    </row>
    <row r="35" spans="1:18" ht="18" customHeight="1">
      <c r="A35" s="1100"/>
      <c r="B35" s="1098"/>
      <c r="C35" s="26"/>
      <c r="D35" s="327"/>
      <c r="E35" s="302" t="s">
        <v>736</v>
      </c>
      <c r="F35" s="303">
        <f ca="1">INDIRECT("'数据-取费表'!r"&amp;$G$1)</f>
        <v>115.1</v>
      </c>
      <c r="G35" s="1381"/>
      <c r="H35" s="2694"/>
      <c r="I35" s="1395"/>
      <c r="J35" s="1396"/>
      <c r="K35" s="2698"/>
      <c r="L35" s="2697"/>
      <c r="M35" s="2697"/>
    </row>
    <row r="36" spans="1:18" ht="18" customHeight="1">
      <c r="A36" s="1099" t="s">
        <v>402</v>
      </c>
      <c r="B36" s="302" t="s">
        <v>738</v>
      </c>
      <c r="C36" s="21">
        <f ca="1">ROUND(C29*F36,2)</f>
        <v>14.87</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ROUND(C13*F37,2)</f>
        <v>0.15</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ROUND(C5*F38,2)</f>
        <v>5.45</v>
      </c>
      <c r="D38" s="1089" t="s">
        <v>748</v>
      </c>
      <c r="E38" s="1087" t="s">
        <v>744</v>
      </c>
      <c r="F38" s="1083">
        <f ca="1">INDIRECT("'数据-取费表'!Am"&amp;$G$1)</f>
        <v>0.01</v>
      </c>
      <c r="G38" s="1381"/>
      <c r="H38" s="2697"/>
      <c r="I38" s="1395"/>
      <c r="J38" s="1396"/>
      <c r="K38" s="2701"/>
      <c r="L38" s="2697"/>
      <c r="M38" s="2697"/>
    </row>
    <row r="39" spans="1:18" ht="24.6" customHeight="1" thickTop="1">
      <c r="A39" s="1076" t="s">
        <v>394</v>
      </c>
      <c r="B39" s="1091" t="s">
        <v>772</v>
      </c>
      <c r="C39" s="310">
        <f ca="1">C5-C30</f>
        <v>434</v>
      </c>
      <c r="D39" s="1092" t="s">
        <v>773</v>
      </c>
      <c r="E39" s="1093"/>
      <c r="F39" s="1094"/>
      <c r="G39" s="1381"/>
      <c r="H39" s="2697"/>
      <c r="I39" s="1395"/>
      <c r="J39" s="1396"/>
      <c r="K39" s="2701"/>
      <c r="L39" s="2697"/>
      <c r="M39" s="2697"/>
    </row>
    <row r="40" spans="1:18" ht="18" customHeight="1">
      <c r="A40" s="299" t="s">
        <v>395</v>
      </c>
      <c r="B40" s="300" t="s">
        <v>774</v>
      </c>
      <c r="C40" s="301">
        <f ca="1">ROUND(C39*(1-((1+F42)/(1+F40))^F41)/(F40-F42),0)</f>
        <v>7966</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27.73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52877</v>
      </c>
      <c r="D43" s="337" t="s">
        <v>777</v>
      </c>
      <c r="E43" s="338" t="s">
        <v>778</v>
      </c>
      <c r="F43" s="339">
        <f ca="1">INDIRECT("'数据-取费表'!k"&amp;$G$1)</f>
        <v>1506.52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-8177</v>
      </c>
      <c r="D46" s="1403" t="str">
        <f>C2</f>
        <v>万元</v>
      </c>
      <c r="E46" s="1397"/>
      <c r="F46" s="1397"/>
      <c r="I46" s="1404" t="s">
        <v>810</v>
      </c>
      <c r="J46" s="1405"/>
      <c r="K46" s="1406"/>
      <c r="L46" s="1407">
        <f ca="1">IF(M47="住宅",0,IF(L48&gt;J51,L60,J60))</f>
        <v>47</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3390</v>
      </c>
      <c r="K47" s="1413" t="s">
        <v>816</v>
      </c>
      <c r="L47" s="1414">
        <f ca="1">INDIRECT("'数据-取费表'!d"&amp;$G$1)</f>
        <v>50</v>
      </c>
      <c r="M47" s="1377" t="str">
        <f>IF(ISNUMBER(FIND("住宅",C1)),"住宅","非住宅")</f>
        <v>非住宅</v>
      </c>
      <c r="O47" s="1415" t="s">
        <v>403</v>
      </c>
      <c r="P47" s="1416" t="s">
        <v>817</v>
      </c>
      <c r="Q47" s="1417">
        <f ca="1">C40+J29</f>
        <v>7966</v>
      </c>
      <c r="R47" s="1417" t="s">
        <v>818</v>
      </c>
    </row>
    <row r="48" spans="1:18" s="1381" customFormat="1" ht="28.5" thickBot="1">
      <c r="A48" s="1107" t="s">
        <v>438</v>
      </c>
      <c r="B48" s="300" t="s">
        <v>692</v>
      </c>
      <c r="C48" s="1356">
        <f ca="1">C49+C53+C55</f>
        <v>0</v>
      </c>
      <c r="D48" s="1109"/>
      <c r="E48" s="1110"/>
      <c r="F48" s="960"/>
      <c r="G48" s="720"/>
      <c r="H48" s="721"/>
      <c r="I48" s="1418" t="s">
        <v>819</v>
      </c>
      <c r="J48" s="1419" t="s">
        <v>3430</v>
      </c>
      <c r="K48" s="1420" t="s">
        <v>820</v>
      </c>
      <c r="L48" s="1421">
        <f ca="1">INDIRECT("'数据-取费表'!f"&amp;$G$1)</f>
        <v>27.73</v>
      </c>
      <c r="O48" s="1415" t="s">
        <v>404</v>
      </c>
      <c r="P48" s="1416" t="s">
        <v>821</v>
      </c>
      <c r="Q48" s="1417">
        <f ca="1">J60</f>
        <v>47</v>
      </c>
      <c r="R48" s="1417" t="s">
        <v>822</v>
      </c>
    </row>
    <row r="49" spans="1:18" s="1381" customFormat="1" ht="13.5" thickBot="1">
      <c r="A49" s="973" t="s">
        <v>439</v>
      </c>
      <c r="B49" s="1368" t="s">
        <v>779</v>
      </c>
      <c r="C49" s="1111">
        <f ca="1">ROUND(F49*F51*F50*(1-F52)/10000,0)</f>
        <v>0</v>
      </c>
      <c r="D49" s="1052" t="s">
        <v>2109</v>
      </c>
      <c r="E49" s="1369" t="s">
        <v>780</v>
      </c>
      <c r="F49" s="1057"/>
      <c r="G49" s="1422"/>
      <c r="H49" s="721"/>
      <c r="I49" s="1418" t="s">
        <v>823</v>
      </c>
      <c r="J49" s="1423">
        <v>2008</v>
      </c>
      <c r="K49" s="1420" t="s">
        <v>824</v>
      </c>
      <c r="L49" s="1424"/>
      <c r="O49" s="1425" t="s">
        <v>405</v>
      </c>
      <c r="P49" s="1416" t="s">
        <v>825</v>
      </c>
      <c r="Q49" s="1417">
        <f ca="1">C29</f>
        <v>991</v>
      </c>
      <c r="R49" s="1417" t="s">
        <v>818</v>
      </c>
    </row>
    <row r="50" spans="1:18" s="1381" customFormat="1" ht="13.5" thickBot="1">
      <c r="A50" s="974"/>
      <c r="B50" s="977"/>
      <c r="C50" s="1115"/>
      <c r="D50" s="951"/>
      <c r="E50" s="1053" t="s">
        <v>697</v>
      </c>
      <c r="F50" s="1054">
        <f ca="1">F7</f>
        <v>1506.52</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45</v>
      </c>
      <c r="K51" s="1431" t="s">
        <v>830</v>
      </c>
      <c r="L51" s="1432">
        <f ca="1">ROUND(-PV(INDIRECT("'数据-取费表'!h"&amp;$G$1),J51,(C39-C13*C76),0),0)</f>
        <v>7582</v>
      </c>
      <c r="M51" s="1433"/>
      <c r="O51" s="1425" t="s">
        <v>407</v>
      </c>
      <c r="P51" s="1416" t="s">
        <v>831</v>
      </c>
      <c r="Q51" s="1428">
        <f>J52</f>
        <v>0.08</v>
      </c>
      <c r="R51" s="1417"/>
    </row>
    <row r="52" spans="1:18" s="1381" customFormat="1" ht="13.5" thickBot="1">
      <c r="A52" s="975"/>
      <c r="B52" s="977"/>
      <c r="C52" s="978"/>
      <c r="D52" s="951"/>
      <c r="E52" s="979" t="s">
        <v>699</v>
      </c>
      <c r="F52" s="1051"/>
      <c r="I52" s="1434" t="s">
        <v>832</v>
      </c>
      <c r="J52" s="1435">
        <v>0.08</v>
      </c>
      <c r="K52" s="1434" t="s">
        <v>833</v>
      </c>
      <c r="L52" s="1435"/>
      <c r="O52" s="1425" t="s">
        <v>408</v>
      </c>
      <c r="P52" s="1416" t="s">
        <v>834</v>
      </c>
      <c r="Q52" s="1417">
        <f ca="1">J53</f>
        <v>27.73</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27.73</v>
      </c>
      <c r="K53" s="3633" t="s">
        <v>837</v>
      </c>
      <c r="L53" s="3634"/>
      <c r="O53" s="1415" t="s">
        <v>409</v>
      </c>
      <c r="P53" s="1416" t="s">
        <v>838</v>
      </c>
      <c r="Q53" s="1417">
        <f ca="1">Q47+Q48</f>
        <v>8013</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0.28799999999999998</v>
      </c>
      <c r="K55" s="1442" t="s">
        <v>841</v>
      </c>
      <c r="L55" s="1443"/>
      <c r="O55" s="1408" t="s">
        <v>811</v>
      </c>
      <c r="P55" s="1409" t="s">
        <v>812</v>
      </c>
      <c r="Q55" s="1410" t="s">
        <v>813</v>
      </c>
      <c r="R55" s="1410" t="s">
        <v>814</v>
      </c>
    </row>
    <row r="56" spans="1:18" s="1381" customFormat="1" ht="25.5" thickTop="1" thickBot="1">
      <c r="A56" s="955">
        <v>2</v>
      </c>
      <c r="B56" s="956" t="s">
        <v>704</v>
      </c>
      <c r="C56" s="232">
        <f ca="1">C13</f>
        <v>99</v>
      </c>
      <c r="D56" s="1444"/>
      <c r="E56" s="1445"/>
      <c r="F56" s="1437"/>
      <c r="I56" s="1446" t="s">
        <v>842</v>
      </c>
      <c r="J56" s="1447" t="s">
        <v>3381</v>
      </c>
      <c r="K56" s="1418" t="s">
        <v>843</v>
      </c>
      <c r="L56" s="1421" t="str">
        <f ca="1">IF(L48&lt;J51,"——",L48-J53)</f>
        <v>——</v>
      </c>
      <c r="O56" s="1415" t="s">
        <v>403</v>
      </c>
      <c r="P56" s="1416" t="s">
        <v>817</v>
      </c>
      <c r="Q56" s="1417">
        <f ca="1">C40+J29</f>
        <v>7966</v>
      </c>
      <c r="R56" s="1417" t="s">
        <v>818</v>
      </c>
    </row>
    <row r="57" spans="1:18" s="1381" customFormat="1" ht="24.75" thickBot="1">
      <c r="A57" s="1448"/>
      <c r="B57" s="948" t="s">
        <v>767</v>
      </c>
      <c r="C57" s="238">
        <f ca="1">C29</f>
        <v>991</v>
      </c>
      <c r="D57" s="1449"/>
      <c r="E57" s="1450"/>
      <c r="F57" s="1451"/>
      <c r="I57" s="1452" t="s">
        <v>844</v>
      </c>
      <c r="J57" s="1453">
        <f ca="1">IF(OR(M47="住宅",J51&lt;L48,J56="是"),"——",J51-L48)</f>
        <v>17.27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15</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396</v>
      </c>
      <c r="K59" s="141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5" t="s">
        <v>853</v>
      </c>
      <c r="J60" s="1456">
        <f ca="1">IF(OR(M47="住宅",J51&lt;L48,J56="是"),"0",ROUND(J59/(1+J52)^J53,0))</f>
        <v>47</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2">
        <f t="shared" si="0"/>
        <v>0.12</v>
      </c>
      <c r="I61" s="1458"/>
      <c r="J61" s="1458"/>
      <c r="K61" s="1458"/>
      <c r="L61" s="1458"/>
      <c r="O61" s="1425" t="s">
        <v>408</v>
      </c>
      <c r="P61" s="1416" t="str">
        <f>K59</f>
        <v>建设期及建筑物耐用年限下的土地年期修正系数Kn</v>
      </c>
      <c r="Q61" s="1417" t="e">
        <f ca="1">L59</f>
        <v>#DIV/0!</v>
      </c>
      <c r="R61" s="1417" t="s">
        <v>857</v>
      </c>
    </row>
    <row r="62" spans="1:18" s="1381" customFormat="1" ht="13.5" thickBot="1">
      <c r="A62" s="980" t="s">
        <v>784</v>
      </c>
      <c r="B62" s="947" t="s">
        <v>785</v>
      </c>
      <c r="C62" s="22">
        <f ca="1">IF(项目基本情况!B11="自然人","——",ROUND(F62*F63/10000,2))</f>
        <v>0.28000000000000003</v>
      </c>
      <c r="D62" s="963" t="s">
        <v>786</v>
      </c>
      <c r="E62" s="948" t="s">
        <v>787</v>
      </c>
      <c r="F62" s="325">
        <f t="shared" si="0"/>
        <v>24</v>
      </c>
      <c r="I62" s="1459" t="s">
        <v>858</v>
      </c>
      <c r="J62" s="1460" t="s">
        <v>859</v>
      </c>
      <c r="K62" s="1460" t="s">
        <v>860</v>
      </c>
      <c r="L62" s="1460" t="s">
        <v>861</v>
      </c>
      <c r="M62" s="1461" t="s">
        <v>862</v>
      </c>
      <c r="O62" s="1415" t="s">
        <v>409</v>
      </c>
      <c r="P62" s="1416" t="s">
        <v>863</v>
      </c>
      <c r="Q62" s="1417">
        <f ca="1">Q56+Q57</f>
        <v>7966</v>
      </c>
      <c r="R62" s="1417" t="s">
        <v>410</v>
      </c>
    </row>
    <row r="63" spans="1:18" s="1381" customFormat="1" ht="13.5" thickBot="1">
      <c r="A63" s="326"/>
      <c r="B63" s="954"/>
      <c r="C63" s="26"/>
      <c r="D63" s="964"/>
      <c r="E63" s="948" t="s">
        <v>788</v>
      </c>
      <c r="F63" s="303">
        <f t="shared" ca="1" si="0"/>
        <v>115.1</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14.87</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0.15</v>
      </c>
      <c r="D65" s="962" t="s">
        <v>743</v>
      </c>
      <c r="E65" s="948" t="s">
        <v>744</v>
      </c>
      <c r="F65" s="330">
        <f t="shared" ca="1" si="0"/>
        <v>1.5E-3</v>
      </c>
      <c r="I65" s="1459" t="s">
        <v>867</v>
      </c>
      <c r="J65" s="1460">
        <v>40</v>
      </c>
      <c r="K65" s="1460">
        <v>30</v>
      </c>
      <c r="L65" s="1460">
        <v>50</v>
      </c>
      <c r="M65" s="1462">
        <v>0.02</v>
      </c>
      <c r="O65" s="1415" t="s">
        <v>403</v>
      </c>
      <c r="P65" s="1416" t="s">
        <v>868</v>
      </c>
      <c r="Q65" s="1417">
        <f ca="1">C40+J29</f>
        <v>7966</v>
      </c>
      <c r="R65" s="1417" t="s">
        <v>818</v>
      </c>
    </row>
    <row r="66" spans="1:18" s="1381" customFormat="1" ht="16.5" thickBot="1">
      <c r="A66" s="980" t="s">
        <v>793</v>
      </c>
      <c r="B66" s="948" t="s">
        <v>728</v>
      </c>
      <c r="C66" s="21">
        <f ca="1">ROUND(C48*F66,2)</f>
        <v>0</v>
      </c>
      <c r="D66" s="962" t="s">
        <v>794</v>
      </c>
      <c r="E66" s="948" t="s">
        <v>712</v>
      </c>
      <c r="F66" s="312">
        <f t="shared" ca="1" si="0"/>
        <v>0.01</v>
      </c>
      <c r="O66" s="1415" t="s">
        <v>404</v>
      </c>
      <c r="P66" s="1416" t="s">
        <v>846</v>
      </c>
      <c r="Q66" s="1417">
        <f ca="1">L60</f>
        <v>0</v>
      </c>
      <c r="R66" s="1417" t="s">
        <v>869</v>
      </c>
    </row>
    <row r="67" spans="1:18" s="1381" customFormat="1" ht="16.5" thickBot="1">
      <c r="A67" s="955" t="s">
        <v>394</v>
      </c>
      <c r="B67" s="965" t="s">
        <v>752</v>
      </c>
      <c r="C67" s="316">
        <f ca="1">C48-C58</f>
        <v>-15</v>
      </c>
      <c r="D67" s="961" t="s">
        <v>753</v>
      </c>
      <c r="E67" s="966"/>
      <c r="F67" s="967"/>
      <c r="O67" s="1425" t="s">
        <v>405</v>
      </c>
      <c r="P67" s="1416" t="s">
        <v>850</v>
      </c>
      <c r="Q67" s="1463">
        <f ca="1">L51</f>
        <v>7582</v>
      </c>
      <c r="R67" s="1417" t="s">
        <v>870</v>
      </c>
    </row>
    <row r="68" spans="1:18" s="1381" customFormat="1" ht="16.5" thickBot="1">
      <c r="A68" s="945" t="s">
        <v>395</v>
      </c>
      <c r="B68" s="946" t="s">
        <v>774</v>
      </c>
      <c r="C68" s="301">
        <f ca="1">ROUND(C67*(1-((1+F70)/(1+F68))^F69)/(F68-F70),0)</f>
        <v>-211</v>
      </c>
      <c r="D68" s="963" t="s">
        <v>758</v>
      </c>
      <c r="E68" s="948" t="s">
        <v>759</v>
      </c>
      <c r="F68" s="312">
        <f ca="1">F40</f>
        <v>5.5E-2</v>
      </c>
      <c r="O68" s="1425" t="s">
        <v>406</v>
      </c>
      <c r="P68" s="1464" t="s">
        <v>871</v>
      </c>
      <c r="Q68" s="1417">
        <f ca="1">ROUND(Q69-Q70*Q71,0)</f>
        <v>427</v>
      </c>
      <c r="R68" s="1417" t="s">
        <v>414</v>
      </c>
    </row>
    <row r="69" spans="1:18" s="1381" customFormat="1" ht="13.5" thickBot="1">
      <c r="A69" s="949"/>
      <c r="B69" s="950"/>
      <c r="C69" s="306"/>
      <c r="D69" s="968" t="s">
        <v>762</v>
      </c>
      <c r="E69" s="948" t="s">
        <v>763</v>
      </c>
      <c r="F69" s="333">
        <f ca="1">F41</f>
        <v>27.73</v>
      </c>
      <c r="O69" s="1425" t="s">
        <v>411</v>
      </c>
      <c r="P69" s="1464" t="s">
        <v>872</v>
      </c>
      <c r="Q69" s="1417">
        <f ca="1">C39</f>
        <v>434</v>
      </c>
      <c r="R69" s="1417" t="s">
        <v>818</v>
      </c>
    </row>
    <row r="70" spans="1:18" s="1381" customFormat="1" ht="13.5" thickBot="1">
      <c r="A70" s="952"/>
      <c r="B70" s="953"/>
      <c r="C70" s="310"/>
      <c r="D70" s="964"/>
      <c r="E70" s="948" t="s">
        <v>766</v>
      </c>
      <c r="F70" s="1051"/>
      <c r="O70" s="1425" t="s">
        <v>412</v>
      </c>
      <c r="P70" s="1464" t="s">
        <v>873</v>
      </c>
      <c r="Q70" s="1417">
        <f ca="1">C13</f>
        <v>99</v>
      </c>
      <c r="R70" s="1417" t="s">
        <v>818</v>
      </c>
    </row>
    <row r="71" spans="1:18" s="1381" customFormat="1" ht="13.5" thickBot="1">
      <c r="A71" s="969" t="s">
        <v>396</v>
      </c>
      <c r="B71" s="970" t="s">
        <v>776</v>
      </c>
      <c r="C71" s="336">
        <f ca="1">ROUND(C68*10000/F71,0)</f>
        <v>-1401</v>
      </c>
      <c r="D71" s="971" t="s">
        <v>777</v>
      </c>
      <c r="E71" s="972" t="s">
        <v>778</v>
      </c>
      <c r="F71" s="339">
        <f ca="1">F43</f>
        <v>1506.52</v>
      </c>
      <c r="O71" s="1425" t="s">
        <v>413</v>
      </c>
      <c r="P71" s="1464" t="s">
        <v>874</v>
      </c>
      <c r="Q71" s="1428">
        <f ca="1">C76</f>
        <v>7.4999999999999997E-2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建设期及建筑物耐用年限下的土地年期修正系数Kn</v>
      </c>
      <c r="Q74" s="1417" t="e">
        <f ca="1">L59</f>
        <v>#DIV/0!</v>
      </c>
      <c r="R74" s="1417" t="s">
        <v>857</v>
      </c>
    </row>
    <row r="75" spans="1:18" ht="13.5" thickBot="1">
      <c r="A75" s="1381"/>
      <c r="B75" s="340" t="s">
        <v>795</v>
      </c>
      <c r="C75" s="341">
        <f ca="1">ROUND(C13*C76,0)</f>
        <v>7</v>
      </c>
      <c r="D75" s="1381"/>
      <c r="E75" s="1381"/>
      <c r="F75" s="1381"/>
      <c r="K75" s="1399"/>
      <c r="L75" s="1381"/>
      <c r="O75" s="1415" t="s">
        <v>409</v>
      </c>
      <c r="P75" s="1416" t="s">
        <v>838</v>
      </c>
      <c r="Q75" s="1417">
        <f ca="1">Q65+Q66</f>
        <v>7966</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0.98399999999999999</v>
      </c>
    </row>
    <row r="80" spans="1:18">
      <c r="B80" s="340" t="s">
        <v>800</v>
      </c>
      <c r="C80" s="274">
        <f ca="1">ROUND(C75/C39,3)</f>
        <v>1.6E-2</v>
      </c>
    </row>
    <row r="81" spans="2:3">
      <c r="B81" s="270" t="s">
        <v>801</v>
      </c>
      <c r="C81" s="238"/>
    </row>
    <row r="82" spans="2:3">
      <c r="B82" s="273" t="s">
        <v>802</v>
      </c>
      <c r="C82" s="275">
        <f ca="1">1-C83</f>
        <v>0.98799999999999999</v>
      </c>
    </row>
    <row r="83" spans="2:3">
      <c r="B83" s="273" t="s">
        <v>803</v>
      </c>
      <c r="C83" s="274">
        <f ca="1">ROUND(C13/C40,3)</f>
        <v>1.2E-2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59">
        <f ca="1">J53</f>
        <v>0</v>
      </c>
      <c r="G1" s="1375">
        <f>MATCH(C1,'数据-取费表'!A6:A16,0)+5</f>
        <v>8</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35" t="s">
        <v>694</v>
      </c>
      <c r="C6" s="1071">
        <f ca="1">ROUND(F6*F8*F7*(1-F9),0)</f>
        <v>0</v>
      </c>
      <c r="D6" s="155" t="s">
        <v>2105</v>
      </c>
      <c r="E6" s="302" t="s">
        <v>696</v>
      </c>
      <c r="F6" s="303">
        <f ca="1">INDIRECT("'数据-取费表'!u"&amp;$G$1)</f>
        <v>0</v>
      </c>
      <c r="G6" s="1381"/>
      <c r="H6" s="1066" t="s">
        <v>398</v>
      </c>
      <c r="I6" s="3635" t="s">
        <v>694</v>
      </c>
      <c r="J6" s="301">
        <f ca="1">ROUND(M6*M8*M7*(1-M9),0)</f>
        <v>0</v>
      </c>
      <c r="K6" s="1373" t="s">
        <v>2106</v>
      </c>
      <c r="L6" s="302" t="s">
        <v>696</v>
      </c>
      <c r="M6" s="303">
        <f ca="1">INDIRECT("'数据-取费表'!z"&amp;$G$1)</f>
        <v>0</v>
      </c>
    </row>
    <row r="7" spans="1:37" ht="18" customHeight="1">
      <c r="A7" s="1070"/>
      <c r="B7" s="3636"/>
      <c r="C7" s="1072"/>
      <c r="D7" s="307"/>
      <c r="E7" s="1073" t="s">
        <v>697</v>
      </c>
      <c r="F7" s="303">
        <f ca="1">IF(INDIRECT("'数据-取费表'!ah"&amp;$G$1)="",INDIRECT("'数据-取费表'!k"&amp;$G$1),INDIRECT("'数据-取费表'!ah"&amp;$G$1))</f>
        <v>0</v>
      </c>
      <c r="G7" s="1381"/>
      <c r="H7" s="304"/>
      <c r="I7" s="3636"/>
      <c r="J7" s="306"/>
      <c r="K7" s="307"/>
      <c r="L7" s="302" t="s">
        <v>697</v>
      </c>
      <c r="M7" s="303">
        <f ca="1">F7</f>
        <v>0</v>
      </c>
    </row>
    <row r="8" spans="1:37" ht="18" customHeight="1">
      <c r="A8" s="304"/>
      <c r="B8" s="3636"/>
      <c r="C8" s="306"/>
      <c r="D8" s="307"/>
      <c r="E8" s="302" t="s">
        <v>698</v>
      </c>
      <c r="F8" s="303">
        <f ca="1">INDIRECT("'数据-取费表'!ai"&amp;$G$1)</f>
        <v>0</v>
      </c>
      <c r="G8" s="1381"/>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1"/>
      <c r="H9" s="304"/>
      <c r="I9" s="3637"/>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80" t="s">
        <v>681</v>
      </c>
      <c r="B17" s="302" t="s">
        <v>716</v>
      </c>
      <c r="C17" s="21">
        <f ca="1">ROUND(F17*(F43+INDIRECT("'数据-取费表'!S"&amp;$G$1)),0)</f>
        <v>0</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ROUND(M20*M21,0)</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0" t="s">
        <v>397</v>
      </c>
      <c r="B32" s="302" t="s">
        <v>723</v>
      </c>
      <c r="C32" s="21">
        <f ca="1">IF(项目基本情况!B11="自然人","——",ROUND(C6*F32/(1+'数据-取费表'!C42),0))</f>
        <v>0</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24</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0</v>
      </c>
      <c r="D36" s="1341" t="s">
        <v>771</v>
      </c>
      <c r="E36" s="302" t="s">
        <v>712</v>
      </c>
      <c r="F36" s="328">
        <f ca="1">INDIRECT("'数据-取费表'!Ak"&amp;$G$1)</f>
        <v>0</v>
      </c>
      <c r="G36" s="1381"/>
      <c r="H36" s="2697"/>
      <c r="I36" s="1395"/>
      <c r="J36" s="1396"/>
      <c r="K36" s="2541"/>
      <c r="L36" s="2697"/>
      <c r="M36" s="2697"/>
    </row>
    <row r="37" spans="1:18" ht="18" customHeight="1">
      <c r="A37" s="980" t="s">
        <v>437</v>
      </c>
      <c r="B37" s="302" t="s">
        <v>742</v>
      </c>
      <c r="C37" s="21">
        <f ca="1">ROUND(C13*F37,0)</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0</v>
      </c>
      <c r="K53" s="3633" t="s">
        <v>837</v>
      </c>
      <c r="L53" s="3634"/>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1"/>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2" t="s">
        <v>2314</v>
      </c>
      <c r="B2" s="2840" t="e">
        <f>IF(D2="——",C40,C40+E2)</f>
        <v>#DIV/0!</v>
      </c>
      <c r="C2" s="2841" t="s">
        <v>2315</v>
      </c>
      <c r="D2" s="3440" t="s">
        <v>3360</v>
      </c>
      <c r="E2" s="3441"/>
      <c r="F2" s="2843"/>
      <c r="G2" s="2844"/>
      <c r="H2" s="2845"/>
      <c r="I2" s="2846"/>
      <c r="J2" s="3638" t="s">
        <v>2316</v>
      </c>
      <c r="K2" s="3639"/>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640" t="s">
        <v>2326</v>
      </c>
      <c r="K3" s="3641"/>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640" t="s">
        <v>2328</v>
      </c>
      <c r="K4" s="3641"/>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642" t="s">
        <v>2332</v>
      </c>
      <c r="B6" s="3643"/>
      <c r="C6" s="3644"/>
      <c r="D6" s="2867"/>
      <c r="E6" s="2868"/>
      <c r="F6" s="2869"/>
      <c r="G6" s="2870"/>
      <c r="H6" s="2845"/>
      <c r="I6" s="2846"/>
      <c r="J6" s="3645">
        <v>1</v>
      </c>
      <c r="K6" s="3646"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645"/>
      <c r="K7" s="3647"/>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649" t="s">
        <v>2346</v>
      </c>
      <c r="C8" s="3650"/>
      <c r="D8" s="2886" t="s">
        <v>2347</v>
      </c>
      <c r="E8" s="2887" t="s">
        <v>2348</v>
      </c>
      <c r="F8" s="2888" t="s">
        <v>2349</v>
      </c>
      <c r="G8" s="2889"/>
      <c r="H8" s="2845"/>
      <c r="I8" s="2846"/>
      <c r="J8" s="3645"/>
      <c r="K8" s="3647"/>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649" t="s">
        <v>2352</v>
      </c>
      <c r="C9" s="3650"/>
      <c r="D9" s="2886">
        <f>ROUND(D6*E9,0)</f>
        <v>0</v>
      </c>
      <c r="E9" s="2890"/>
      <c r="F9" s="2891" t="s">
        <v>2353</v>
      </c>
      <c r="G9" s="2870"/>
      <c r="H9" s="2845"/>
      <c r="I9" s="2846"/>
      <c r="J9" s="3645"/>
      <c r="K9" s="3647"/>
      <c r="L9" s="2880" t="s">
        <v>2354</v>
      </c>
      <c r="M9" s="2881"/>
      <c r="N9" s="2857"/>
      <c r="O9" s="2882"/>
      <c r="P9" s="2882"/>
      <c r="Q9" s="2883">
        <v>365</v>
      </c>
      <c r="R9" s="2884">
        <f t="shared" si="0"/>
        <v>0</v>
      </c>
      <c r="S9" s="2838"/>
      <c r="T9" s="2838"/>
      <c r="U9" s="2838"/>
      <c r="V9" s="2846"/>
    </row>
    <row r="10" spans="1:22" s="2850" customFormat="1" ht="13.15" customHeight="1">
      <c r="A10" s="2885">
        <v>2</v>
      </c>
      <c r="B10" s="3649" t="s">
        <v>2355</v>
      </c>
      <c r="C10" s="3650"/>
      <c r="D10" s="2886">
        <f>ROUND(D6*E10,0)</f>
        <v>0</v>
      </c>
      <c r="E10" s="2890"/>
      <c r="F10" s="2891" t="s">
        <v>2356</v>
      </c>
      <c r="G10" s="2870"/>
      <c r="H10" s="2845"/>
      <c r="I10" s="2846"/>
      <c r="J10" s="3645"/>
      <c r="K10" s="3647"/>
      <c r="L10" s="2880" t="s">
        <v>2357</v>
      </c>
      <c r="M10" s="2881"/>
      <c r="N10" s="2857"/>
      <c r="O10" s="2882"/>
      <c r="P10" s="2882"/>
      <c r="Q10" s="2883">
        <v>365</v>
      </c>
      <c r="R10" s="2884">
        <f t="shared" si="0"/>
        <v>0</v>
      </c>
      <c r="S10" s="2838"/>
      <c r="T10" s="2838"/>
      <c r="U10" s="2838"/>
      <c r="V10" s="2846"/>
    </row>
    <row r="11" spans="1:22" s="2850" customFormat="1" ht="13.15" customHeight="1">
      <c r="A11" s="2885">
        <v>3</v>
      </c>
      <c r="B11" s="3649" t="s">
        <v>2358</v>
      </c>
      <c r="C11" s="3650"/>
      <c r="D11" s="2886">
        <f>D12+D14+D15+D16</f>
        <v>0</v>
      </c>
      <c r="E11" s="2892" t="e">
        <f>D11/D6</f>
        <v>#DIV/0!</v>
      </c>
      <c r="F11" s="2888"/>
      <c r="G11" s="2889"/>
      <c r="H11" s="2845"/>
      <c r="I11" s="2846"/>
      <c r="J11" s="3645"/>
      <c r="K11" s="3647"/>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651" t="s">
        <v>2361</v>
      </c>
      <c r="C12" s="3652"/>
      <c r="D12" s="2894">
        <f>ROUND(D13*1.2%*(1-30%),0)</f>
        <v>0</v>
      </c>
      <c r="E12" s="2895">
        <v>1.2E-2</v>
      </c>
      <c r="F12" s="2888" t="s">
        <v>2362</v>
      </c>
      <c r="G12" s="2889"/>
      <c r="H12" s="2845"/>
      <c r="I12" s="2846"/>
      <c r="J12" s="3645"/>
      <c r="K12" s="3647"/>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645"/>
      <c r="K13" s="3647"/>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651" t="s">
        <v>2367</v>
      </c>
      <c r="C14" s="3652"/>
      <c r="D14" s="2894">
        <f>ROUND(E14*B5/10000,0)</f>
        <v>0</v>
      </c>
      <c r="E14" s="2883"/>
      <c r="F14" s="2888" t="s">
        <v>2368</v>
      </c>
      <c r="G14" s="2889"/>
      <c r="H14" s="2845"/>
      <c r="I14" s="2846"/>
      <c r="J14" s="3645"/>
      <c r="K14" s="3648"/>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651" t="s">
        <v>2371</v>
      </c>
      <c r="C15" s="3652"/>
      <c r="D15" s="2894">
        <f>ROUND(D6*E15,0)</f>
        <v>0</v>
      </c>
      <c r="E15" s="2895">
        <v>5.5E-2</v>
      </c>
      <c r="F15" s="2888" t="s">
        <v>2372</v>
      </c>
      <c r="G15" s="2870"/>
      <c r="H15" s="2845"/>
      <c r="I15" s="2846"/>
      <c r="J15" s="3645">
        <v>2</v>
      </c>
      <c r="K15" s="3646"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651" t="s">
        <v>2380</v>
      </c>
      <c r="C16" s="3652"/>
      <c r="D16" s="2905">
        <f>D6*E16</f>
        <v>0</v>
      </c>
      <c r="E16" s="2906"/>
      <c r="F16" s="2891" t="s">
        <v>2381</v>
      </c>
      <c r="G16" s="2870"/>
      <c r="H16" s="2845"/>
      <c r="I16" s="2846"/>
      <c r="J16" s="3645"/>
      <c r="K16" s="3647"/>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653" t="s">
        <v>2383</v>
      </c>
      <c r="C17" s="3654"/>
      <c r="D17" s="2908">
        <f>ROUND(D6*E17,0)</f>
        <v>0</v>
      </c>
      <c r="E17" s="2909"/>
      <c r="F17" s="2910" t="s">
        <v>2384</v>
      </c>
      <c r="G17" s="2870"/>
      <c r="H17" s="2845"/>
      <c r="I17" s="2846"/>
      <c r="J17" s="3645"/>
      <c r="K17" s="3647"/>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645"/>
      <c r="K18" s="3647"/>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645"/>
      <c r="K19" s="3648"/>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5">
        <v>3</v>
      </c>
      <c r="K20" s="3646"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645"/>
      <c r="K21" s="3647"/>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645"/>
      <c r="K22" s="3647"/>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645"/>
      <c r="K23" s="3647"/>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645"/>
      <c r="K24" s="3648"/>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655">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65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638" t="s">
        <v>2316</v>
      </c>
      <c r="K32" s="3639"/>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640" t="s">
        <v>2326</v>
      </c>
      <c r="K33" s="3641"/>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640" t="s">
        <v>2328</v>
      </c>
      <c r="K34" s="364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645">
        <v>1</v>
      </c>
      <c r="K36" s="3646"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645"/>
      <c r="K37" s="3647"/>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5"/>
      <c r="K38" s="3647"/>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645"/>
      <c r="K39" s="3647"/>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645"/>
      <c r="K40" s="3648"/>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5">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65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 sqref="H3"/>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8013</v>
      </c>
      <c r="C2" s="1869" t="s">
        <v>1651</v>
      </c>
      <c r="D2" s="1870" t="s">
        <v>1652</v>
      </c>
      <c r="E2" s="2604">
        <f>SUM(E6:E13)</f>
        <v>1506.52</v>
      </c>
      <c r="F2" s="2704"/>
      <c r="G2" s="1486"/>
      <c r="H2" s="1486"/>
      <c r="I2" s="1486"/>
      <c r="J2" s="1486"/>
      <c r="K2" s="1486"/>
      <c r="L2" s="1486"/>
      <c r="M2" s="1486"/>
      <c r="N2" s="1486"/>
      <c r="O2" s="1486"/>
      <c r="P2" s="1486"/>
      <c r="Q2" s="1486"/>
      <c r="R2" s="1486"/>
      <c r="S2" s="1486"/>
    </row>
    <row r="3" spans="1:22" ht="15.75">
      <c r="A3" s="1867" t="s">
        <v>686</v>
      </c>
      <c r="B3" s="2598">
        <f ca="1">ROUND(B2*10000/E2,0)</f>
        <v>53189</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657" t="s">
        <v>1654</v>
      </c>
      <c r="C5" s="3658"/>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8013</v>
      </c>
      <c r="C6" s="1869" t="s">
        <v>1651</v>
      </c>
      <c r="D6" s="2706"/>
      <c r="E6" s="2603">
        <f>IF(OR(A6=0,F6="否"),0,'数据-取费表'!K6+'数据-取费表'!S6)</f>
        <v>1506.52</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24865.040000000005</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1666</v>
      </c>
      <c r="B4" s="356"/>
      <c r="C4" s="3677" t="s">
        <v>1667</v>
      </c>
      <c r="D4" s="3678"/>
      <c r="E4" s="3679" t="s">
        <v>1668</v>
      </c>
      <c r="F4" s="3680"/>
      <c r="G4" s="3677" t="s">
        <v>1669</v>
      </c>
      <c r="H4" s="3678"/>
      <c r="I4" s="3677" t="s">
        <v>1670</v>
      </c>
      <c r="J4" s="3678"/>
      <c r="K4" s="1886" t="s">
        <v>1671</v>
      </c>
      <c r="L4" s="2712"/>
      <c r="M4" s="2713"/>
      <c r="N4" s="2713"/>
      <c r="O4" s="2713"/>
      <c r="P4" s="3681" t="s">
        <v>1672</v>
      </c>
      <c r="Q4" s="3682"/>
      <c r="R4" s="3664" t="s">
        <v>1668</v>
      </c>
      <c r="S4" s="3665"/>
      <c r="T4" s="3664" t="s">
        <v>1669</v>
      </c>
      <c r="U4" s="3665"/>
      <c r="V4" s="3689" t="s">
        <v>1670</v>
      </c>
      <c r="W4" s="3689"/>
      <c r="X4" s="1352"/>
      <c r="Y4" s="3664" t="s">
        <v>1672</v>
      </c>
      <c r="Z4" s="3665"/>
      <c r="AA4" s="3659" t="s">
        <v>1668</v>
      </c>
      <c r="AB4" s="3659" t="s">
        <v>1669</v>
      </c>
      <c r="AC4" s="3659" t="s">
        <v>1670</v>
      </c>
    </row>
    <row r="5" spans="1:29" ht="15">
      <c r="A5" s="358"/>
      <c r="B5" s="359"/>
      <c r="C5" s="3670" t="s">
        <v>1673</v>
      </c>
      <c r="D5" s="3671"/>
      <c r="E5" s="3668" t="s">
        <v>1674</v>
      </c>
      <c r="F5" s="3669"/>
      <c r="G5" s="3670" t="s">
        <v>1675</v>
      </c>
      <c r="H5" s="3671"/>
      <c r="I5" s="3670" t="s">
        <v>1676</v>
      </c>
      <c r="J5" s="3671"/>
      <c r="K5" s="1887"/>
      <c r="L5" s="2712"/>
      <c r="M5" s="2713"/>
      <c r="N5" s="2713"/>
      <c r="O5" s="2713"/>
      <c r="P5" s="3683"/>
      <c r="Q5" s="3684"/>
      <c r="R5" s="3666"/>
      <c r="S5" s="3667"/>
      <c r="T5" s="3666"/>
      <c r="U5" s="3667"/>
      <c r="V5" s="3689"/>
      <c r="W5" s="3689"/>
      <c r="X5" s="1352"/>
      <c r="Y5" s="3666"/>
      <c r="Z5" s="3667"/>
      <c r="AA5" s="3660"/>
      <c r="AB5" s="3660"/>
      <c r="AC5" s="3660"/>
    </row>
    <row r="6" spans="1:29" ht="15.75" thickBot="1">
      <c r="A6" s="360"/>
      <c r="B6" s="361"/>
      <c r="C6" s="3672" t="s">
        <v>1677</v>
      </c>
      <c r="D6" s="3673"/>
      <c r="E6" s="3674" t="s">
        <v>1677</v>
      </c>
      <c r="F6" s="3675"/>
      <c r="G6" s="3672" t="s">
        <v>1677</v>
      </c>
      <c r="H6" s="3673"/>
      <c r="I6" s="3672" t="s">
        <v>1677</v>
      </c>
      <c r="J6" s="3673"/>
      <c r="K6" s="1887" t="s">
        <v>1678</v>
      </c>
      <c r="L6" s="2712"/>
      <c r="M6" s="2713"/>
      <c r="N6" s="2713"/>
      <c r="O6" s="2713"/>
      <c r="P6" s="3685"/>
      <c r="Q6" s="3686"/>
      <c r="R6" s="3666"/>
      <c r="S6" s="3667"/>
      <c r="T6" s="3687"/>
      <c r="U6" s="3688"/>
      <c r="V6" s="3689"/>
      <c r="W6" s="3689"/>
      <c r="X6" s="1352"/>
      <c r="Y6" s="3687"/>
      <c r="Z6" s="3688"/>
      <c r="AA6" s="3661"/>
      <c r="AB6" s="3661"/>
      <c r="AC6" s="3661"/>
    </row>
    <row r="7" spans="1:29" s="108" customFormat="1" ht="15.75" thickBot="1">
      <c r="A7" s="362" t="s">
        <v>1679</v>
      </c>
      <c r="B7" s="363"/>
      <c r="C7" s="364">
        <f>'数据-取费表'!B2</f>
        <v>45161</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62" t="s">
        <v>1680</v>
      </c>
      <c r="Q7" s="3690"/>
      <c r="R7" s="699" t="s">
        <v>20</v>
      </c>
      <c r="S7" s="700">
        <f t="shared" ref="S7:S15" si="0">F7</f>
        <v>0</v>
      </c>
      <c r="T7" s="699" t="s">
        <v>20</v>
      </c>
      <c r="U7" s="700">
        <f t="shared" ref="U7:U15" si="1">H7</f>
        <v>0</v>
      </c>
      <c r="V7" s="699" t="s">
        <v>20</v>
      </c>
      <c r="W7" s="700">
        <f t="shared" ref="W7:W15"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62" t="s">
        <v>1683</v>
      </c>
      <c r="Q8" s="3663"/>
      <c r="R8" s="699" t="s">
        <v>20</v>
      </c>
      <c r="S8" s="700">
        <f t="shared" si="0"/>
        <v>100</v>
      </c>
      <c r="T8" s="699" t="s">
        <v>20</v>
      </c>
      <c r="U8" s="700">
        <f t="shared" si="1"/>
        <v>100</v>
      </c>
      <c r="V8" s="699" t="s">
        <v>20</v>
      </c>
      <c r="W8" s="700">
        <f t="shared" si="2"/>
        <v>100</v>
      </c>
      <c r="X8" s="701"/>
      <c r="Y8" s="3662" t="s">
        <v>1683</v>
      </c>
      <c r="Z8" s="366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6" t="s">
        <v>1686</v>
      </c>
      <c r="Q9" s="1340"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0" t="str">
        <f t="shared" si="6"/>
        <v>容积率</v>
      </c>
      <c r="R11" s="699" t="s">
        <v>18</v>
      </c>
      <c r="S11" s="700" t="e">
        <f t="shared" si="0"/>
        <v>#N/A</v>
      </c>
      <c r="T11" s="699" t="s">
        <v>18</v>
      </c>
      <c r="U11" s="700" t="e">
        <f t="shared" si="1"/>
        <v>#N/A</v>
      </c>
      <c r="V11" s="699" t="s">
        <v>18</v>
      </c>
      <c r="W11" s="700" t="e">
        <f t="shared" si="2"/>
        <v>#N/A</v>
      </c>
      <c r="X11" s="701"/>
      <c r="Y11" s="3606"/>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6"/>
      <c r="Q12" s="1340">
        <f t="shared" si="6"/>
        <v>111</v>
      </c>
      <c r="R12" s="699" t="s">
        <v>18</v>
      </c>
      <c r="S12" s="700">
        <f t="shared" si="0"/>
        <v>100</v>
      </c>
      <c r="T12" s="699" t="s">
        <v>18</v>
      </c>
      <c r="U12" s="700">
        <f t="shared" si="1"/>
        <v>100</v>
      </c>
      <c r="V12" s="699" t="s">
        <v>18</v>
      </c>
      <c r="W12" s="700">
        <f t="shared" si="2"/>
        <v>100</v>
      </c>
      <c r="X12" s="701"/>
      <c r="Y12" s="3606"/>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6"/>
      <c r="Q13" s="1340">
        <f t="shared" si="6"/>
        <v>111</v>
      </c>
      <c r="R13" s="699" t="s">
        <v>18</v>
      </c>
      <c r="S13" s="700">
        <f t="shared" si="0"/>
        <v>100</v>
      </c>
      <c r="T13" s="699" t="s">
        <v>18</v>
      </c>
      <c r="U13" s="700">
        <f t="shared" si="1"/>
        <v>100</v>
      </c>
      <c r="V13" s="699" t="s">
        <v>18</v>
      </c>
      <c r="W13" s="700">
        <f t="shared" si="2"/>
        <v>100</v>
      </c>
      <c r="X13" s="701"/>
      <c r="Y13" s="3606"/>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6"/>
      <c r="Q14" s="1340">
        <f t="shared" si="6"/>
        <v>111</v>
      </c>
      <c r="R14" s="699" t="s">
        <v>18</v>
      </c>
      <c r="S14" s="700">
        <f t="shared" si="0"/>
        <v>100</v>
      </c>
      <c r="T14" s="699" t="s">
        <v>18</v>
      </c>
      <c r="U14" s="700">
        <f t="shared" si="1"/>
        <v>100</v>
      </c>
      <c r="V14" s="699" t="s">
        <v>18</v>
      </c>
      <c r="W14" s="700">
        <f t="shared" si="2"/>
        <v>100</v>
      </c>
      <c r="X14" s="701"/>
      <c r="Y14" s="3606"/>
      <c r="Z14" s="52">
        <f t="shared" si="7"/>
        <v>111</v>
      </c>
      <c r="AA14" s="702">
        <f t="shared" si="3"/>
        <v>1</v>
      </c>
      <c r="AB14" s="702">
        <f t="shared" si="4"/>
        <v>1</v>
      </c>
      <c r="AC14" s="702">
        <f t="shared" si="5"/>
        <v>1</v>
      </c>
    </row>
    <row r="15" spans="1:29" ht="85.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3" t="s">
        <v>1691</v>
      </c>
      <c r="Q15" s="1349" t="str">
        <f t="shared" si="6"/>
        <v>居住社区成熟度</v>
      </c>
      <c r="R15" s="703" t="s">
        <v>18</v>
      </c>
      <c r="S15" s="704">
        <f t="shared" si="0"/>
        <v>100</v>
      </c>
      <c r="T15" s="703" t="s">
        <v>18</v>
      </c>
      <c r="U15" s="704">
        <f t="shared" si="1"/>
        <v>100</v>
      </c>
      <c r="V15" s="703" t="s">
        <v>18</v>
      </c>
      <c r="W15" s="704">
        <f t="shared" si="2"/>
        <v>100</v>
      </c>
      <c r="X15" s="1352"/>
      <c r="Y15" s="3696"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704"/>
      <c r="Q16" s="1349"/>
      <c r="R16" s="703"/>
      <c r="S16" s="704"/>
      <c r="T16" s="703"/>
      <c r="U16" s="704"/>
      <c r="V16" s="703"/>
      <c r="W16" s="704"/>
      <c r="X16" s="1352"/>
      <c r="Y16" s="3697"/>
      <c r="Z16" s="1353"/>
      <c r="AA16" s="1350">
        <v>1</v>
      </c>
      <c r="AB16" s="1350">
        <v>1</v>
      </c>
      <c r="AC16" s="1350">
        <v>1</v>
      </c>
    </row>
    <row r="17" spans="1:29" ht="71.25">
      <c r="A17" s="379"/>
      <c r="B17" s="402" t="s">
        <v>1259</v>
      </c>
      <c r="C17" s="1897">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4"/>
      <c r="Q17" s="1349" t="str">
        <f>B17</f>
        <v>交通便捷度</v>
      </c>
      <c r="R17" s="703" t="s">
        <v>18</v>
      </c>
      <c r="S17" s="704">
        <f>F17</f>
        <v>100</v>
      </c>
      <c r="T17" s="703" t="s">
        <v>18</v>
      </c>
      <c r="U17" s="704">
        <f>H17</f>
        <v>100</v>
      </c>
      <c r="V17" s="703" t="s">
        <v>18</v>
      </c>
      <c r="W17" s="704">
        <f>J17</f>
        <v>100</v>
      </c>
      <c r="X17" s="1352"/>
      <c r="Y17" s="3697"/>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704"/>
      <c r="Q18" s="1349"/>
      <c r="R18" s="703"/>
      <c r="S18" s="704"/>
      <c r="T18" s="703"/>
      <c r="U18" s="704"/>
      <c r="V18" s="703"/>
      <c r="W18" s="704"/>
      <c r="X18" s="1352"/>
      <c r="Y18" s="3697"/>
      <c r="Z18" s="1353"/>
      <c r="AA18" s="1350">
        <v>1</v>
      </c>
      <c r="AB18" s="1350">
        <v>1</v>
      </c>
      <c r="AC18" s="1350">
        <v>1</v>
      </c>
    </row>
    <row r="19" spans="1:29" ht="42.75">
      <c r="A19" s="379"/>
      <c r="B19" s="402" t="s">
        <v>1258</v>
      </c>
      <c r="C19" s="1897">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4"/>
      <c r="Q19" s="1349" t="str">
        <f>B19</f>
        <v>公共配套设施</v>
      </c>
      <c r="R19" s="703" t="s">
        <v>18</v>
      </c>
      <c r="S19" s="704">
        <f>F19</f>
        <v>100</v>
      </c>
      <c r="T19" s="703" t="s">
        <v>18</v>
      </c>
      <c r="U19" s="704">
        <f>H19</f>
        <v>100</v>
      </c>
      <c r="V19" s="703" t="s">
        <v>18</v>
      </c>
      <c r="W19" s="704">
        <f>J19</f>
        <v>100</v>
      </c>
      <c r="X19" s="1352"/>
      <c r="Y19" s="3697"/>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704"/>
      <c r="Q20" s="1349"/>
      <c r="R20" s="703"/>
      <c r="S20" s="704"/>
      <c r="T20" s="703"/>
      <c r="U20" s="704"/>
      <c r="V20" s="703"/>
      <c r="W20" s="704"/>
      <c r="X20" s="1352"/>
      <c r="Y20" s="3697"/>
      <c r="Z20" s="1353"/>
      <c r="AA20" s="1350">
        <v>1</v>
      </c>
      <c r="AB20" s="1350">
        <v>1</v>
      </c>
      <c r="AC20" s="1350">
        <v>1</v>
      </c>
    </row>
    <row r="21" spans="1:29" ht="28.5">
      <c r="A21" s="379"/>
      <c r="B21" s="1128" t="s">
        <v>1260</v>
      </c>
      <c r="C21" s="1897">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704"/>
      <c r="Q22" s="1349"/>
      <c r="R22" s="703"/>
      <c r="S22" s="704"/>
      <c r="T22" s="703"/>
      <c r="U22" s="704"/>
      <c r="V22" s="703"/>
      <c r="W22" s="704"/>
      <c r="X22" s="1352"/>
      <c r="Y22" s="3697"/>
      <c r="Z22" s="1353"/>
      <c r="AA22" s="1350">
        <v>1</v>
      </c>
      <c r="AB22" s="1350">
        <v>1</v>
      </c>
      <c r="AC22" s="1350">
        <v>1</v>
      </c>
    </row>
    <row r="23" spans="1:29" ht="42.75">
      <c r="A23" s="379"/>
      <c r="B23" s="402" t="s">
        <v>1261</v>
      </c>
      <c r="C23" s="1897">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4"/>
      <c r="Q23" s="1349" t="str">
        <f>B23</f>
        <v>自然及人文环境</v>
      </c>
      <c r="R23" s="703" t="s">
        <v>18</v>
      </c>
      <c r="S23" s="704">
        <f>F23</f>
        <v>100</v>
      </c>
      <c r="T23" s="703" t="s">
        <v>18</v>
      </c>
      <c r="U23" s="704">
        <f>H23</f>
        <v>100</v>
      </c>
      <c r="V23" s="703" t="s">
        <v>18</v>
      </c>
      <c r="W23" s="704">
        <f>J23</f>
        <v>100</v>
      </c>
      <c r="X23" s="1352"/>
      <c r="Y23" s="3697"/>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704"/>
      <c r="Q24" s="1349"/>
      <c r="R24" s="703"/>
      <c r="S24" s="704"/>
      <c r="T24" s="703"/>
      <c r="U24" s="704"/>
      <c r="V24" s="703"/>
      <c r="W24" s="704"/>
      <c r="X24" s="1352"/>
      <c r="Y24" s="3697"/>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0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7"/>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04"/>
      <c r="Q26" s="1349" t="str">
        <f t="shared" si="11"/>
        <v>朝向</v>
      </c>
      <c r="R26" s="703" t="s">
        <v>18</v>
      </c>
      <c r="S26" s="704">
        <f t="shared" si="12"/>
        <v>100</v>
      </c>
      <c r="T26" s="703" t="s">
        <v>18</v>
      </c>
      <c r="U26" s="704">
        <f t="shared" si="13"/>
        <v>100</v>
      </c>
      <c r="V26" s="703" t="s">
        <v>18</v>
      </c>
      <c r="W26" s="704">
        <f t="shared" si="14"/>
        <v>100</v>
      </c>
      <c r="X26" s="1352"/>
      <c r="Y26" s="3697"/>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04"/>
      <c r="Q27" s="1340">
        <f t="shared" si="11"/>
        <v>111</v>
      </c>
      <c r="R27" s="699" t="s">
        <v>18</v>
      </c>
      <c r="S27" s="700">
        <f t="shared" si="12"/>
        <v>100</v>
      </c>
      <c r="T27" s="699" t="s">
        <v>18</v>
      </c>
      <c r="U27" s="700">
        <f t="shared" si="13"/>
        <v>100</v>
      </c>
      <c r="V27" s="699" t="s">
        <v>18</v>
      </c>
      <c r="W27" s="700">
        <f t="shared" si="14"/>
        <v>100</v>
      </c>
      <c r="X27" s="701"/>
      <c r="Y27" s="3697"/>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04"/>
      <c r="Q28" s="1349">
        <f t="shared" si="11"/>
        <v>111</v>
      </c>
      <c r="R28" s="703" t="s">
        <v>18</v>
      </c>
      <c r="S28" s="704">
        <f t="shared" si="12"/>
        <v>100</v>
      </c>
      <c r="T28" s="703" t="s">
        <v>18</v>
      </c>
      <c r="U28" s="704">
        <f t="shared" si="13"/>
        <v>100</v>
      </c>
      <c r="V28" s="703" t="s">
        <v>18</v>
      </c>
      <c r="W28" s="704">
        <f t="shared" si="14"/>
        <v>100</v>
      </c>
      <c r="X28" s="1352"/>
      <c r="Y28" s="3697"/>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04"/>
      <c r="Q29" s="1349">
        <f t="shared" si="11"/>
        <v>111</v>
      </c>
      <c r="R29" s="703" t="s">
        <v>18</v>
      </c>
      <c r="S29" s="704">
        <f t="shared" si="12"/>
        <v>100</v>
      </c>
      <c r="T29" s="703" t="s">
        <v>18</v>
      </c>
      <c r="U29" s="704">
        <f t="shared" si="13"/>
        <v>100</v>
      </c>
      <c r="V29" s="703" t="s">
        <v>18</v>
      </c>
      <c r="W29" s="704">
        <f t="shared" si="14"/>
        <v>100</v>
      </c>
      <c r="X29" s="1352"/>
      <c r="Y29" s="3697"/>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04"/>
      <c r="Q30" s="1349">
        <f t="shared" si="11"/>
        <v>111</v>
      </c>
      <c r="R30" s="703" t="s">
        <v>18</v>
      </c>
      <c r="S30" s="704">
        <f t="shared" si="12"/>
        <v>100</v>
      </c>
      <c r="T30" s="703" t="s">
        <v>18</v>
      </c>
      <c r="U30" s="704">
        <f t="shared" si="13"/>
        <v>100</v>
      </c>
      <c r="V30" s="703" t="s">
        <v>18</v>
      </c>
      <c r="W30" s="704">
        <f t="shared" si="14"/>
        <v>100</v>
      </c>
      <c r="X30" s="1352"/>
      <c r="Y30" s="3697"/>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04"/>
      <c r="Q31" s="1349">
        <f t="shared" si="11"/>
        <v>111</v>
      </c>
      <c r="R31" s="703" t="s">
        <v>18</v>
      </c>
      <c r="S31" s="704">
        <f t="shared" si="12"/>
        <v>100</v>
      </c>
      <c r="T31" s="703" t="s">
        <v>18</v>
      </c>
      <c r="U31" s="704">
        <f t="shared" si="13"/>
        <v>100</v>
      </c>
      <c r="V31" s="703" t="s">
        <v>18</v>
      </c>
      <c r="W31" s="704">
        <f t="shared" si="14"/>
        <v>100</v>
      </c>
      <c r="X31" s="1352"/>
      <c r="Y31" s="3697"/>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98" t="s">
        <v>1696</v>
      </c>
      <c r="Q32" s="1349" t="str">
        <f t="shared" si="11"/>
        <v>建筑类型</v>
      </c>
      <c r="R32" s="703" t="s">
        <v>18</v>
      </c>
      <c r="S32" s="704">
        <f t="shared" si="12"/>
        <v>100</v>
      </c>
      <c r="T32" s="703" t="s">
        <v>18</v>
      </c>
      <c r="U32" s="704">
        <f t="shared" si="13"/>
        <v>100</v>
      </c>
      <c r="V32" s="703" t="s">
        <v>18</v>
      </c>
      <c r="W32" s="704">
        <f t="shared" si="14"/>
        <v>100</v>
      </c>
      <c r="X32" s="1352"/>
      <c r="Y32" s="3701"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99"/>
      <c r="Q33" s="705" t="str">
        <f t="shared" si="11"/>
        <v>项目建筑规模</v>
      </c>
      <c r="R33" s="706" t="s">
        <v>18</v>
      </c>
      <c r="S33" s="707" t="e">
        <f t="shared" si="12"/>
        <v>#N/A</v>
      </c>
      <c r="T33" s="706" t="s">
        <v>18</v>
      </c>
      <c r="U33" s="707" t="e">
        <f t="shared" si="13"/>
        <v>#N/A</v>
      </c>
      <c r="V33" s="706" t="s">
        <v>18</v>
      </c>
      <c r="W33" s="707" t="e">
        <f t="shared" si="14"/>
        <v>#N/A</v>
      </c>
      <c r="X33" s="708"/>
      <c r="Y33" s="3701"/>
      <c r="Z33" s="709"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99"/>
      <c r="Q34" s="1349" t="str">
        <f t="shared" si="11"/>
        <v>建筑结构</v>
      </c>
      <c r="R34" s="703" t="s">
        <v>18</v>
      </c>
      <c r="S34" s="704">
        <f t="shared" si="12"/>
        <v>100</v>
      </c>
      <c r="T34" s="703" t="s">
        <v>18</v>
      </c>
      <c r="U34" s="704">
        <f t="shared" si="13"/>
        <v>100</v>
      </c>
      <c r="V34" s="703" t="s">
        <v>18</v>
      </c>
      <c r="W34" s="704">
        <f t="shared" si="14"/>
        <v>100</v>
      </c>
      <c r="X34" s="1352"/>
      <c r="Y34" s="3701"/>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99"/>
      <c r="Q35" s="1349" t="str">
        <f t="shared" si="11"/>
        <v>建筑品质</v>
      </c>
      <c r="R35" s="703" t="s">
        <v>18</v>
      </c>
      <c r="S35" s="704">
        <f t="shared" si="12"/>
        <v>100</v>
      </c>
      <c r="T35" s="703" t="s">
        <v>18</v>
      </c>
      <c r="U35" s="704">
        <f t="shared" si="13"/>
        <v>100</v>
      </c>
      <c r="V35" s="703" t="s">
        <v>18</v>
      </c>
      <c r="W35" s="704">
        <f t="shared" si="14"/>
        <v>100</v>
      </c>
      <c r="X35" s="1352"/>
      <c r="Y35" s="3701"/>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99"/>
      <c r="Q36" s="1349" t="str">
        <f t="shared" si="11"/>
        <v>公共部分装修</v>
      </c>
      <c r="R36" s="703" t="s">
        <v>18</v>
      </c>
      <c r="S36" s="704">
        <f t="shared" si="12"/>
        <v>100</v>
      </c>
      <c r="T36" s="703" t="s">
        <v>18</v>
      </c>
      <c r="U36" s="704">
        <f t="shared" si="13"/>
        <v>100</v>
      </c>
      <c r="V36" s="703" t="s">
        <v>18</v>
      </c>
      <c r="W36" s="704">
        <f t="shared" si="14"/>
        <v>100</v>
      </c>
      <c r="X36" s="1352"/>
      <c r="Y36" s="3701"/>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99"/>
      <c r="Q37" s="1340" t="str">
        <f t="shared" si="11"/>
        <v>成新度</v>
      </c>
      <c r="R37" s="699" t="s">
        <v>18</v>
      </c>
      <c r="S37" s="700" t="e">
        <f t="shared" si="12"/>
        <v>#N/A</v>
      </c>
      <c r="T37" s="699" t="s">
        <v>18</v>
      </c>
      <c r="U37" s="700" t="e">
        <f t="shared" si="13"/>
        <v>#N/A</v>
      </c>
      <c r="V37" s="699" t="s">
        <v>18</v>
      </c>
      <c r="W37" s="700" t="e">
        <f t="shared" si="14"/>
        <v>#N/A</v>
      </c>
      <c r="X37" s="701"/>
      <c r="Y37" s="3701"/>
      <c r="Z37" s="52" t="str">
        <f t="shared" si="18"/>
        <v>成新度</v>
      </c>
      <c r="AA37" s="702" t="e">
        <f t="shared" si="15"/>
        <v>#N/A</v>
      </c>
      <c r="AB37" s="702" t="e">
        <f t="shared" si="16"/>
        <v>#N/A</v>
      </c>
      <c r="AC37" s="702"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99" t="s">
        <v>1696</v>
      </c>
      <c r="Q38" s="1349" t="str">
        <f t="shared" si="11"/>
        <v>物业管理</v>
      </c>
      <c r="R38" s="703" t="s">
        <v>18</v>
      </c>
      <c r="S38" s="704">
        <f t="shared" si="12"/>
        <v>100</v>
      </c>
      <c r="T38" s="703" t="s">
        <v>18</v>
      </c>
      <c r="U38" s="704">
        <f t="shared" si="13"/>
        <v>100</v>
      </c>
      <c r="V38" s="703" t="s">
        <v>18</v>
      </c>
      <c r="W38" s="704">
        <f t="shared" si="14"/>
        <v>100</v>
      </c>
      <c r="X38" s="1352"/>
      <c r="Y38" s="3701"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99"/>
      <c r="Q39" s="1349" t="str">
        <f t="shared" si="11"/>
        <v>市政基础设施</v>
      </c>
      <c r="R39" s="703" t="s">
        <v>18</v>
      </c>
      <c r="S39" s="704">
        <f t="shared" si="12"/>
        <v>100</v>
      </c>
      <c r="T39" s="703" t="s">
        <v>18</v>
      </c>
      <c r="U39" s="704">
        <f t="shared" si="13"/>
        <v>100</v>
      </c>
      <c r="V39" s="703" t="s">
        <v>18</v>
      </c>
      <c r="W39" s="704">
        <f t="shared" si="14"/>
        <v>100</v>
      </c>
      <c r="X39" s="1352"/>
      <c r="Y39" s="3701"/>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99"/>
      <c r="Q40" s="1349" t="str">
        <f t="shared" si="11"/>
        <v>房型</v>
      </c>
      <c r="R40" s="703" t="s">
        <v>18</v>
      </c>
      <c r="S40" s="704">
        <f t="shared" si="12"/>
        <v>100</v>
      </c>
      <c r="T40" s="703" t="s">
        <v>18</v>
      </c>
      <c r="U40" s="704">
        <f t="shared" si="13"/>
        <v>100</v>
      </c>
      <c r="V40" s="703" t="s">
        <v>18</v>
      </c>
      <c r="W40" s="704">
        <f t="shared" si="14"/>
        <v>100</v>
      </c>
      <c r="X40" s="1352"/>
      <c r="Y40" s="3701"/>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99"/>
      <c r="Q41" s="705" t="str">
        <f t="shared" si="11"/>
        <v>单套/主力户型建筑面积</v>
      </c>
      <c r="R41" s="706" t="s">
        <v>18</v>
      </c>
      <c r="S41" s="707">
        <f t="shared" si="12"/>
        <v>100</v>
      </c>
      <c r="T41" s="706" t="s">
        <v>18</v>
      </c>
      <c r="U41" s="707">
        <f t="shared" si="13"/>
        <v>100</v>
      </c>
      <c r="V41" s="706" t="s">
        <v>18</v>
      </c>
      <c r="W41" s="707">
        <f t="shared" si="14"/>
        <v>100</v>
      </c>
      <c r="X41" s="708"/>
      <c r="Y41" s="3701"/>
      <c r="Z41" s="709"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99"/>
      <c r="Q42" s="1349" t="str">
        <f t="shared" si="11"/>
        <v>内部装修</v>
      </c>
      <c r="R42" s="703" t="s">
        <v>18</v>
      </c>
      <c r="S42" s="704">
        <f t="shared" si="12"/>
        <v>100</v>
      </c>
      <c r="T42" s="703" t="s">
        <v>18</v>
      </c>
      <c r="U42" s="704">
        <f t="shared" si="13"/>
        <v>100</v>
      </c>
      <c r="V42" s="703" t="s">
        <v>18</v>
      </c>
      <c r="W42" s="704">
        <f t="shared" si="14"/>
        <v>100</v>
      </c>
      <c r="X42" s="1352"/>
      <c r="Y42" s="3701"/>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99"/>
      <c r="Q43" s="1349" t="str">
        <f t="shared" si="11"/>
        <v>内部装修维护情况</v>
      </c>
      <c r="R43" s="703" t="s">
        <v>18</v>
      </c>
      <c r="S43" s="704">
        <f t="shared" si="12"/>
        <v>100</v>
      </c>
      <c r="T43" s="703" t="s">
        <v>18</v>
      </c>
      <c r="U43" s="704">
        <f t="shared" si="13"/>
        <v>100</v>
      </c>
      <c r="V43" s="703" t="s">
        <v>18</v>
      </c>
      <c r="W43" s="704">
        <f t="shared" si="14"/>
        <v>100</v>
      </c>
      <c r="X43" s="1352"/>
      <c r="Y43" s="3701"/>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99"/>
      <c r="Q44" s="1340">
        <f t="shared" si="11"/>
        <v>111</v>
      </c>
      <c r="R44" s="699" t="s">
        <v>18</v>
      </c>
      <c r="S44" s="700">
        <f t="shared" si="12"/>
        <v>100</v>
      </c>
      <c r="T44" s="699" t="s">
        <v>18</v>
      </c>
      <c r="U44" s="700">
        <f t="shared" si="13"/>
        <v>100</v>
      </c>
      <c r="V44" s="699" t="s">
        <v>18</v>
      </c>
      <c r="W44" s="700">
        <f t="shared" si="14"/>
        <v>100</v>
      </c>
      <c r="X44" s="701"/>
      <c r="Y44" s="3701"/>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99"/>
      <c r="Q45" s="1349">
        <f t="shared" si="11"/>
        <v>111</v>
      </c>
      <c r="R45" s="703" t="s">
        <v>18</v>
      </c>
      <c r="S45" s="704">
        <f t="shared" si="12"/>
        <v>100</v>
      </c>
      <c r="T45" s="703" t="s">
        <v>18</v>
      </c>
      <c r="U45" s="704">
        <f t="shared" si="13"/>
        <v>100</v>
      </c>
      <c r="V45" s="703" t="s">
        <v>18</v>
      </c>
      <c r="W45" s="704">
        <f t="shared" si="14"/>
        <v>100</v>
      </c>
      <c r="X45" s="1352"/>
      <c r="Y45" s="3701"/>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00"/>
      <c r="Q46" s="1349">
        <f t="shared" si="11"/>
        <v>111</v>
      </c>
      <c r="R46" s="703" t="s">
        <v>17</v>
      </c>
      <c r="S46" s="704">
        <f t="shared" si="12"/>
        <v>100</v>
      </c>
      <c r="T46" s="703" t="s">
        <v>17</v>
      </c>
      <c r="U46" s="704">
        <f t="shared" si="13"/>
        <v>100</v>
      </c>
      <c r="V46" s="703" t="s">
        <v>17</v>
      </c>
      <c r="W46" s="704">
        <f t="shared" si="14"/>
        <v>100</v>
      </c>
      <c r="X46" s="1352"/>
      <c r="Y46" s="3702"/>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694" t="str">
        <f>A47</f>
        <v>成交单价（元/平方米）</v>
      </c>
      <c r="Q47" s="3694"/>
      <c r="R47" s="3695">
        <f>E47</f>
        <v>0</v>
      </c>
      <c r="S47" s="3695"/>
      <c r="T47" s="3695">
        <f>G47</f>
        <v>0</v>
      </c>
      <c r="U47" s="3695"/>
      <c r="V47" s="3695">
        <f>I47</f>
        <v>0</v>
      </c>
      <c r="W47" s="3695"/>
      <c r="X47" s="688"/>
      <c r="Y47" s="710"/>
      <c r="Z47" s="688"/>
      <c r="AA47" s="688"/>
      <c r="AB47" s="688"/>
      <c r="AC47" s="688"/>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2"/>
      <c r="L49" s="2721"/>
      <c r="M49" s="2722"/>
      <c r="N49" s="2722"/>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1719</v>
      </c>
      <c r="B63" s="477" t="s">
        <v>1685</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1688</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1734</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1735</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1694</v>
      </c>
      <c r="B100" s="477" t="s">
        <v>1736</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1">
        <f>ROUNDUP((J139-1)/2,0)</f>
        <v>10</v>
      </c>
      <c r="K140" s="876">
        <v>100</v>
      </c>
    </row>
    <row r="141" spans="1:17" ht="15">
      <c r="B141" s="871">
        <v>4</v>
      </c>
      <c r="C141" s="872">
        <v>102</v>
      </c>
      <c r="D141" s="872"/>
      <c r="E141" s="873"/>
      <c r="F141" s="874">
        <v>101.5</v>
      </c>
      <c r="G141" s="872"/>
      <c r="H141" s="875"/>
      <c r="I141" s="1939" t="s">
        <v>1758</v>
      </c>
      <c r="J141" s="271">
        <v>1</v>
      </c>
      <c r="K141" s="877">
        <f>ROUND(100+(J141-J140)*K139*100,1)</f>
        <v>96.4</v>
      </c>
    </row>
    <row r="142" spans="1:17" ht="15">
      <c r="B142" s="871">
        <v>3</v>
      </c>
      <c r="C142" s="872">
        <v>103</v>
      </c>
      <c r="D142" s="872"/>
      <c r="E142" s="873"/>
      <c r="F142" s="874">
        <v>101</v>
      </c>
      <c r="G142" s="872"/>
      <c r="H142" s="875"/>
      <c r="I142" s="1939" t="s">
        <v>1759</v>
      </c>
      <c r="J142" s="271">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24865.040000000005</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2"/>
      <c r="Y4" s="3664" t="s">
        <v>1775</v>
      </c>
      <c r="Z4" s="3665"/>
      <c r="AA4" s="3659" t="s">
        <v>1771</v>
      </c>
      <c r="AB4" s="3689"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2"/>
      <c r="Y5" s="3666"/>
      <c r="Z5" s="3667"/>
      <c r="AA5" s="3660"/>
      <c r="AB5" s="3689"/>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2"/>
      <c r="Y6" s="3687"/>
      <c r="Z6" s="3688"/>
      <c r="AA6" s="3661"/>
      <c r="AB6" s="3689"/>
      <c r="AC6" s="3661"/>
    </row>
    <row r="7" spans="1:29" s="108" customFormat="1" ht="15.75" thickBot="1">
      <c r="A7" s="362" t="s">
        <v>1679</v>
      </c>
      <c r="B7" s="363"/>
      <c r="C7" s="364">
        <f>'数据-取费表'!B2</f>
        <v>45161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2" t="s">
        <v>1683</v>
      </c>
      <c r="Q8" s="3663"/>
      <c r="R8" s="699" t="s">
        <v>14</v>
      </c>
      <c r="S8" s="700">
        <f t="shared" si="0"/>
        <v>100</v>
      </c>
      <c r="T8" s="699" t="s">
        <v>14</v>
      </c>
      <c r="U8" s="700">
        <f t="shared" si="1"/>
        <v>100</v>
      </c>
      <c r="V8" s="699" t="s">
        <v>14</v>
      </c>
      <c r="W8" s="700">
        <f t="shared" si="2"/>
        <v>100</v>
      </c>
      <c r="X8" s="701"/>
      <c r="Y8" s="3662" t="s">
        <v>1683</v>
      </c>
      <c r="Z8" s="3663"/>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6" t="s">
        <v>1686</v>
      </c>
      <c r="Q9" s="1340"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6"/>
      <c r="Q11" s="1340"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71.25">
      <c r="A15" s="391" t="s">
        <v>1690</v>
      </c>
      <c r="B15" s="61" t="s">
        <v>1777</v>
      </c>
      <c r="C15" s="1893">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3" t="s">
        <v>1691</v>
      </c>
      <c r="Q15" s="1349" t="str">
        <f t="shared" si="6"/>
        <v>商业繁华度</v>
      </c>
      <c r="R15" s="703" t="s">
        <v>14</v>
      </c>
      <c r="S15" s="704">
        <f t="shared" si="0"/>
        <v>100</v>
      </c>
      <c r="T15" s="703" t="s">
        <v>14</v>
      </c>
      <c r="U15" s="704">
        <f t="shared" si="1"/>
        <v>100</v>
      </c>
      <c r="V15" s="703" t="s">
        <v>14</v>
      </c>
      <c r="W15" s="704">
        <f t="shared" si="2"/>
        <v>100</v>
      </c>
      <c r="X15" s="1352"/>
      <c r="Y15" s="3696"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704"/>
      <c r="Q16" s="1349"/>
      <c r="R16" s="703"/>
      <c r="S16" s="704"/>
      <c r="T16" s="703"/>
      <c r="U16" s="704"/>
      <c r="V16" s="703"/>
      <c r="W16" s="704"/>
      <c r="X16" s="1352"/>
      <c r="Y16" s="3697"/>
      <c r="Z16" s="1353"/>
      <c r="AA16" s="1350">
        <v>1</v>
      </c>
      <c r="AB16" s="1350">
        <v>1</v>
      </c>
      <c r="AC16" s="1350">
        <v>1</v>
      </c>
    </row>
    <row r="17" spans="1:29" ht="85.5">
      <c r="A17" s="379"/>
      <c r="B17" s="402" t="s">
        <v>1259</v>
      </c>
      <c r="C17" s="1897">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4"/>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704"/>
      <c r="Q18" s="1349"/>
      <c r="R18" s="703"/>
      <c r="S18" s="704"/>
      <c r="T18" s="703"/>
      <c r="U18" s="704"/>
      <c r="V18" s="703"/>
      <c r="W18" s="704"/>
      <c r="X18" s="1352"/>
      <c r="Y18" s="3697"/>
      <c r="Z18" s="1353"/>
      <c r="AA18" s="1350">
        <v>1</v>
      </c>
      <c r="AB18" s="1350">
        <v>1</v>
      </c>
      <c r="AC18" s="1350">
        <v>1</v>
      </c>
    </row>
    <row r="19" spans="1:29" ht="42.75">
      <c r="A19" s="379"/>
      <c r="B19" s="402" t="s">
        <v>1778</v>
      </c>
      <c r="C19" s="1897">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4"/>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704"/>
      <c r="Q20" s="1349"/>
      <c r="R20" s="703"/>
      <c r="S20" s="704"/>
      <c r="T20" s="703"/>
      <c r="U20" s="704"/>
      <c r="V20" s="703"/>
      <c r="W20" s="704"/>
      <c r="X20" s="1352"/>
      <c r="Y20" s="3697"/>
      <c r="Z20" s="1353"/>
      <c r="AA20" s="1350">
        <v>1</v>
      </c>
      <c r="AB20" s="1350">
        <v>1</v>
      </c>
      <c r="AC20" s="1350">
        <v>1</v>
      </c>
    </row>
    <row r="21" spans="1:29" ht="28.5">
      <c r="A21" s="379"/>
      <c r="B21" s="1128" t="s">
        <v>1779</v>
      </c>
      <c r="C21" s="1897">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4"/>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704"/>
      <c r="Q22" s="1349"/>
      <c r="R22" s="703"/>
      <c r="S22" s="704"/>
      <c r="T22" s="703"/>
      <c r="U22" s="704"/>
      <c r="V22" s="703"/>
      <c r="W22" s="704"/>
      <c r="X22" s="1352"/>
      <c r="Y22" s="3697"/>
      <c r="Z22" s="1353"/>
      <c r="AA22" s="1350">
        <v>1</v>
      </c>
      <c r="AB22" s="1350">
        <v>1</v>
      </c>
      <c r="AC22" s="1350">
        <v>1</v>
      </c>
    </row>
    <row r="23" spans="1:29" ht="57">
      <c r="A23" s="379"/>
      <c r="B23" s="402" t="s">
        <v>1261</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4"/>
      <c r="Q23" s="1349" t="str">
        <f>B23</f>
        <v>自然及人文环境</v>
      </c>
      <c r="R23" s="703" t="s">
        <v>14</v>
      </c>
      <c r="S23" s="704">
        <f>F23</f>
        <v>100</v>
      </c>
      <c r="T23" s="703" t="s">
        <v>14</v>
      </c>
      <c r="U23" s="704">
        <f>H23</f>
        <v>100</v>
      </c>
      <c r="V23" s="703" t="s">
        <v>14</v>
      </c>
      <c r="W23" s="704">
        <f>J23</f>
        <v>100</v>
      </c>
      <c r="X23" s="1352"/>
      <c r="Y23" s="3697"/>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704"/>
      <c r="Q24" s="1349"/>
      <c r="R24" s="703"/>
      <c r="S24" s="704"/>
      <c r="T24" s="703"/>
      <c r="U24" s="704"/>
      <c r="V24" s="703"/>
      <c r="W24" s="704"/>
      <c r="X24" s="1352"/>
      <c r="Y24" s="3697"/>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04"/>
      <c r="Q25" s="1349" t="str">
        <f t="shared" ref="Q25:Q46" si="11">B25</f>
        <v>临街状况</v>
      </c>
      <c r="R25" s="703" t="s">
        <v>14</v>
      </c>
      <c r="S25" s="704">
        <f>F25</f>
        <v>100</v>
      </c>
      <c r="T25" s="703" t="s">
        <v>14</v>
      </c>
      <c r="U25" s="704">
        <f>H25</f>
        <v>100</v>
      </c>
      <c r="V25" s="703" t="s">
        <v>14</v>
      </c>
      <c r="W25" s="704">
        <f>J25</f>
        <v>100</v>
      </c>
      <c r="X25" s="1352"/>
      <c r="Y25" s="3697"/>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04"/>
      <c r="Q26" s="1349" t="str">
        <f t="shared" si="11"/>
        <v>平面位置/可视性</v>
      </c>
      <c r="R26" s="703" t="s">
        <v>14</v>
      </c>
      <c r="S26" s="704">
        <f>F26</f>
        <v>100</v>
      </c>
      <c r="T26" s="703" t="s">
        <v>14</v>
      </c>
      <c r="U26" s="704">
        <f>H26</f>
        <v>100</v>
      </c>
      <c r="V26" s="703" t="s">
        <v>14</v>
      </c>
      <c r="W26" s="704">
        <f>J26</f>
        <v>100</v>
      </c>
      <c r="X26" s="1352"/>
      <c r="Y26" s="3697"/>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04"/>
      <c r="Q27" s="1340" t="str">
        <f t="shared" si="11"/>
        <v>人流量</v>
      </c>
      <c r="R27" s="699" t="s">
        <v>14</v>
      </c>
      <c r="S27" s="700">
        <f>F27</f>
        <v>100</v>
      </c>
      <c r="T27" s="699" t="s">
        <v>14</v>
      </c>
      <c r="U27" s="700">
        <f>H27</f>
        <v>100</v>
      </c>
      <c r="V27" s="699" t="s">
        <v>14</v>
      </c>
      <c r="W27" s="700">
        <f>J27</f>
        <v>100</v>
      </c>
      <c r="X27" s="701"/>
      <c r="Y27" s="3697"/>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0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7"/>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04"/>
      <c r="Q29" s="1349">
        <f t="shared" si="11"/>
        <v>111</v>
      </c>
      <c r="R29" s="703" t="s">
        <v>14</v>
      </c>
      <c r="S29" s="704">
        <f t="shared" si="12"/>
        <v>100</v>
      </c>
      <c r="T29" s="703" t="s">
        <v>14</v>
      </c>
      <c r="U29" s="704">
        <f t="shared" si="13"/>
        <v>100</v>
      </c>
      <c r="V29" s="703" t="s">
        <v>14</v>
      </c>
      <c r="W29" s="704">
        <f t="shared" si="14"/>
        <v>100</v>
      </c>
      <c r="X29" s="1352"/>
      <c r="Y29" s="3697"/>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4"/>
      <c r="Q30" s="1349">
        <f t="shared" si="11"/>
        <v>111</v>
      </c>
      <c r="R30" s="703" t="s">
        <v>14</v>
      </c>
      <c r="S30" s="704">
        <f t="shared" si="12"/>
        <v>100</v>
      </c>
      <c r="T30" s="703" t="s">
        <v>14</v>
      </c>
      <c r="U30" s="704">
        <f t="shared" si="13"/>
        <v>100</v>
      </c>
      <c r="V30" s="703" t="s">
        <v>14</v>
      </c>
      <c r="W30" s="704">
        <f t="shared" si="14"/>
        <v>100</v>
      </c>
      <c r="X30" s="1352"/>
      <c r="Y30" s="3697"/>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4"/>
      <c r="Q31" s="1349">
        <f t="shared" si="11"/>
        <v>111</v>
      </c>
      <c r="R31" s="703" t="s">
        <v>14</v>
      </c>
      <c r="S31" s="704">
        <f t="shared" si="12"/>
        <v>100</v>
      </c>
      <c r="T31" s="703" t="s">
        <v>14</v>
      </c>
      <c r="U31" s="704">
        <f t="shared" si="13"/>
        <v>100</v>
      </c>
      <c r="V31" s="703" t="s">
        <v>14</v>
      </c>
      <c r="W31" s="704">
        <f t="shared" si="14"/>
        <v>100</v>
      </c>
      <c r="X31" s="1352"/>
      <c r="Y31" s="3697"/>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698" t="s">
        <v>1696</v>
      </c>
      <c r="Q32" s="1349" t="str">
        <f t="shared" si="11"/>
        <v>商业类型</v>
      </c>
      <c r="R32" s="703" t="s">
        <v>14</v>
      </c>
      <c r="S32" s="704">
        <f t="shared" si="12"/>
        <v>100</v>
      </c>
      <c r="T32" s="703" t="s">
        <v>14</v>
      </c>
      <c r="U32" s="704">
        <f t="shared" si="13"/>
        <v>100</v>
      </c>
      <c r="V32" s="703" t="s">
        <v>14</v>
      </c>
      <c r="W32" s="704">
        <f t="shared" si="14"/>
        <v>100</v>
      </c>
      <c r="X32" s="1352"/>
      <c r="Y32" s="3701"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99"/>
      <c r="Q33" s="705" t="str">
        <f t="shared" si="11"/>
        <v>项目建筑规模</v>
      </c>
      <c r="R33" s="706" t="s">
        <v>14</v>
      </c>
      <c r="S33" s="707" t="e">
        <f t="shared" si="12"/>
        <v>#N/A</v>
      </c>
      <c r="T33" s="706" t="s">
        <v>14</v>
      </c>
      <c r="U33" s="707" t="e">
        <f t="shared" si="13"/>
        <v>#N/A</v>
      </c>
      <c r="V33" s="706" t="s">
        <v>14</v>
      </c>
      <c r="W33" s="707" t="e">
        <f t="shared" si="14"/>
        <v>#N/A</v>
      </c>
      <c r="X33" s="708"/>
      <c r="Y33" s="3701"/>
      <c r="Z33" s="709"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99"/>
      <c r="Q34" s="1349" t="str">
        <f t="shared" si="11"/>
        <v>建筑结构</v>
      </c>
      <c r="R34" s="703" t="s">
        <v>14</v>
      </c>
      <c r="S34" s="704">
        <f t="shared" si="12"/>
        <v>100</v>
      </c>
      <c r="T34" s="703" t="s">
        <v>14</v>
      </c>
      <c r="U34" s="704">
        <f t="shared" si="13"/>
        <v>100</v>
      </c>
      <c r="V34" s="703" t="s">
        <v>14</v>
      </c>
      <c r="W34" s="704">
        <f t="shared" si="14"/>
        <v>100</v>
      </c>
      <c r="X34" s="1352"/>
      <c r="Y34" s="3701"/>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99"/>
      <c r="Q35" s="1349" t="str">
        <f t="shared" si="11"/>
        <v>公共部分装修</v>
      </c>
      <c r="R35" s="703" t="s">
        <v>14</v>
      </c>
      <c r="S35" s="704">
        <f t="shared" si="12"/>
        <v>100</v>
      </c>
      <c r="T35" s="703" t="s">
        <v>14</v>
      </c>
      <c r="U35" s="704">
        <f t="shared" si="13"/>
        <v>100</v>
      </c>
      <c r="V35" s="703" t="s">
        <v>14</v>
      </c>
      <c r="W35" s="704">
        <f t="shared" si="14"/>
        <v>100</v>
      </c>
      <c r="X35" s="1352"/>
      <c r="Y35" s="3701"/>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99"/>
      <c r="Q36" s="1349" t="str">
        <f t="shared" si="11"/>
        <v>成新度</v>
      </c>
      <c r="R36" s="703" t="s">
        <v>14</v>
      </c>
      <c r="S36" s="704" t="e">
        <f t="shared" si="12"/>
        <v>#N/A</v>
      </c>
      <c r="T36" s="703" t="s">
        <v>14</v>
      </c>
      <c r="U36" s="704" t="e">
        <f t="shared" si="13"/>
        <v>#N/A</v>
      </c>
      <c r="V36" s="703" t="s">
        <v>14</v>
      </c>
      <c r="W36" s="704" t="e">
        <f t="shared" si="14"/>
        <v>#N/A</v>
      </c>
      <c r="X36" s="1352"/>
      <c r="Y36" s="3701"/>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99"/>
      <c r="Q37" s="1340" t="str">
        <f t="shared" si="11"/>
        <v>市政基础设施</v>
      </c>
      <c r="R37" s="699" t="s">
        <v>14</v>
      </c>
      <c r="S37" s="700">
        <f t="shared" si="12"/>
        <v>100</v>
      </c>
      <c r="T37" s="699" t="s">
        <v>14</v>
      </c>
      <c r="U37" s="700">
        <f t="shared" si="13"/>
        <v>100</v>
      </c>
      <c r="V37" s="699" t="s">
        <v>14</v>
      </c>
      <c r="W37" s="700">
        <f t="shared" si="14"/>
        <v>100</v>
      </c>
      <c r="X37" s="701"/>
      <c r="Y37" s="3701"/>
      <c r="Z37" s="52" t="str">
        <f t="shared" si="15"/>
        <v>市政基础设施</v>
      </c>
      <c r="AA37" s="702">
        <f t="shared" si="3"/>
        <v>1</v>
      </c>
      <c r="AB37" s="702">
        <f t="shared" si="4"/>
        <v>1</v>
      </c>
      <c r="AC37" s="702">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699" t="s">
        <v>1696</v>
      </c>
      <c r="Q38" s="1349" t="str">
        <f t="shared" si="11"/>
        <v>业态</v>
      </c>
      <c r="R38" s="703" t="s">
        <v>14</v>
      </c>
      <c r="S38" s="704">
        <f t="shared" si="12"/>
        <v>100</v>
      </c>
      <c r="T38" s="703" t="s">
        <v>14</v>
      </c>
      <c r="U38" s="704">
        <f t="shared" si="13"/>
        <v>100</v>
      </c>
      <c r="V38" s="703" t="s">
        <v>14</v>
      </c>
      <c r="W38" s="704">
        <f t="shared" si="14"/>
        <v>100</v>
      </c>
      <c r="X38" s="1352"/>
      <c r="Y38" s="3701"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99"/>
      <c r="Q39" s="1349" t="str">
        <f t="shared" si="11"/>
        <v>层高</v>
      </c>
      <c r="R39" s="703" t="s">
        <v>14</v>
      </c>
      <c r="S39" s="704">
        <f t="shared" si="12"/>
        <v>100</v>
      </c>
      <c r="T39" s="703" t="s">
        <v>14</v>
      </c>
      <c r="U39" s="704">
        <f t="shared" si="13"/>
        <v>100</v>
      </c>
      <c r="V39" s="703" t="s">
        <v>14</v>
      </c>
      <c r="W39" s="704">
        <f t="shared" si="14"/>
        <v>100</v>
      </c>
      <c r="X39" s="1352"/>
      <c r="Y39" s="3701"/>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99"/>
      <c r="Q40" s="1349" t="str">
        <f t="shared" si="11"/>
        <v>单套建筑面积</v>
      </c>
      <c r="R40" s="703" t="s">
        <v>14</v>
      </c>
      <c r="S40" s="704">
        <f t="shared" si="12"/>
        <v>100</v>
      </c>
      <c r="T40" s="703" t="s">
        <v>14</v>
      </c>
      <c r="U40" s="704">
        <f t="shared" si="13"/>
        <v>100</v>
      </c>
      <c r="V40" s="703" t="s">
        <v>14</v>
      </c>
      <c r="W40" s="704">
        <f t="shared" si="14"/>
        <v>100</v>
      </c>
      <c r="X40" s="1352"/>
      <c r="Y40" s="3701"/>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99"/>
      <c r="Q41" s="705" t="str">
        <f t="shared" si="11"/>
        <v>进深比</v>
      </c>
      <c r="R41" s="706" t="s">
        <v>14</v>
      </c>
      <c r="S41" s="707">
        <f t="shared" si="12"/>
        <v>100</v>
      </c>
      <c r="T41" s="706" t="s">
        <v>14</v>
      </c>
      <c r="U41" s="707">
        <f t="shared" si="13"/>
        <v>100</v>
      </c>
      <c r="V41" s="706" t="s">
        <v>14</v>
      </c>
      <c r="W41" s="707">
        <f t="shared" si="14"/>
        <v>100</v>
      </c>
      <c r="X41" s="708"/>
      <c r="Y41" s="3701"/>
      <c r="Z41" s="709"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699"/>
      <c r="Q42" s="1349" t="str">
        <f t="shared" si="11"/>
        <v>内部装修</v>
      </c>
      <c r="R42" s="703" t="s">
        <v>14</v>
      </c>
      <c r="S42" s="704">
        <f t="shared" si="12"/>
        <v>100</v>
      </c>
      <c r="T42" s="703" t="s">
        <v>14</v>
      </c>
      <c r="U42" s="704">
        <f t="shared" si="13"/>
        <v>100</v>
      </c>
      <c r="V42" s="703" t="s">
        <v>14</v>
      </c>
      <c r="W42" s="704">
        <f t="shared" si="14"/>
        <v>100</v>
      </c>
      <c r="X42" s="1352"/>
      <c r="Y42" s="3701"/>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699"/>
      <c r="Q43" s="1349" t="str">
        <f t="shared" si="11"/>
        <v>内部装修维护情况</v>
      </c>
      <c r="R43" s="703" t="s">
        <v>14</v>
      </c>
      <c r="S43" s="704">
        <f t="shared" si="12"/>
        <v>100</v>
      </c>
      <c r="T43" s="703" t="s">
        <v>14</v>
      </c>
      <c r="U43" s="704">
        <f t="shared" si="13"/>
        <v>100</v>
      </c>
      <c r="V43" s="703" t="s">
        <v>14</v>
      </c>
      <c r="W43" s="704">
        <f t="shared" si="14"/>
        <v>100</v>
      </c>
      <c r="X43" s="1352"/>
      <c r="Y43" s="3701"/>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99"/>
      <c r="Q44" s="1340">
        <f t="shared" si="11"/>
        <v>111</v>
      </c>
      <c r="R44" s="699" t="s">
        <v>14</v>
      </c>
      <c r="S44" s="700">
        <f t="shared" si="12"/>
        <v>100</v>
      </c>
      <c r="T44" s="699" t="s">
        <v>14</v>
      </c>
      <c r="U44" s="700">
        <f t="shared" si="13"/>
        <v>100</v>
      </c>
      <c r="V44" s="699" t="s">
        <v>14</v>
      </c>
      <c r="W44" s="700">
        <f t="shared" si="14"/>
        <v>100</v>
      </c>
      <c r="X44" s="701"/>
      <c r="Y44" s="3701"/>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99"/>
      <c r="Q45" s="1349">
        <f t="shared" si="11"/>
        <v>111</v>
      </c>
      <c r="R45" s="703" t="s">
        <v>14</v>
      </c>
      <c r="S45" s="704">
        <f t="shared" si="12"/>
        <v>100</v>
      </c>
      <c r="T45" s="703" t="s">
        <v>14</v>
      </c>
      <c r="U45" s="704">
        <f t="shared" si="13"/>
        <v>100</v>
      </c>
      <c r="V45" s="703" t="s">
        <v>14</v>
      </c>
      <c r="W45" s="704">
        <f t="shared" si="14"/>
        <v>100</v>
      </c>
      <c r="X45" s="1352"/>
      <c r="Y45" s="3701"/>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0"/>
      <c r="Q46" s="1349">
        <f t="shared" si="11"/>
        <v>111</v>
      </c>
      <c r="R46" s="703" t="s">
        <v>14</v>
      </c>
      <c r="S46" s="704">
        <f t="shared" si="12"/>
        <v>100</v>
      </c>
      <c r="T46" s="703" t="s">
        <v>14</v>
      </c>
      <c r="U46" s="704">
        <f t="shared" si="13"/>
        <v>100</v>
      </c>
      <c r="V46" s="703" t="s">
        <v>14</v>
      </c>
      <c r="W46" s="704">
        <f t="shared" si="14"/>
        <v>100</v>
      </c>
      <c r="X46" s="1352"/>
      <c r="Y46" s="3702"/>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2"/>
      <c r="L47" s="2721"/>
      <c r="M47" s="2722"/>
      <c r="N47" s="2713"/>
      <c r="O47" s="2722"/>
      <c r="P47" s="3694" t="str">
        <f>A47</f>
        <v>成交单价（元/平方米）</v>
      </c>
      <c r="Q47" s="3694"/>
      <c r="R47" s="3689">
        <f>E47</f>
        <v>0</v>
      </c>
      <c r="S47" s="3689"/>
      <c r="T47" s="3689">
        <f>G47</f>
        <v>0</v>
      </c>
      <c r="U47" s="3689"/>
      <c r="V47" s="3689">
        <f>I47</f>
        <v>0</v>
      </c>
      <c r="W47" s="3689"/>
      <c r="X47" s="688"/>
      <c r="Y47" s="710"/>
      <c r="Z47" s="688"/>
      <c r="AA47" s="688"/>
      <c r="AB47" s="688"/>
      <c r="AC47" s="688"/>
    </row>
    <row r="48" spans="1:29" ht="15.7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1"/>
      <c r="M49" s="2722"/>
      <c r="N49" s="2713"/>
      <c r="O49" s="2722"/>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24865.040000000005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911"/>
      <c r="M4" s="912"/>
      <c r="N4" s="912"/>
      <c r="O4" s="912"/>
      <c r="P4" s="3681" t="s">
        <v>1775</v>
      </c>
      <c r="Q4" s="3682"/>
      <c r="R4" s="3664" t="s">
        <v>1771</v>
      </c>
      <c r="S4" s="3665"/>
      <c r="T4" s="3664" t="s">
        <v>1772</v>
      </c>
      <c r="U4" s="3665"/>
      <c r="V4" s="3689" t="s">
        <v>1773</v>
      </c>
      <c r="W4" s="3689"/>
      <c r="X4" s="1352"/>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911"/>
      <c r="M5" s="912"/>
      <c r="N5" s="912"/>
      <c r="O5" s="912"/>
      <c r="P5" s="3683"/>
      <c r="Q5" s="3684"/>
      <c r="R5" s="3666"/>
      <c r="S5" s="3667"/>
      <c r="T5" s="3666"/>
      <c r="U5" s="3667"/>
      <c r="V5" s="3689"/>
      <c r="W5" s="3689"/>
      <c r="X5" s="1352"/>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1"/>
      <c r="M6" s="912"/>
      <c r="N6" s="912"/>
      <c r="O6" s="912"/>
      <c r="P6" s="3685"/>
      <c r="Q6" s="3686"/>
      <c r="R6" s="3666"/>
      <c r="S6" s="3667"/>
      <c r="T6" s="3687"/>
      <c r="U6" s="3688"/>
      <c r="V6" s="3689"/>
      <c r="W6" s="3689"/>
      <c r="X6" s="1352"/>
      <c r="Y6" s="3687"/>
      <c r="Z6" s="3688"/>
      <c r="AA6" s="3661"/>
      <c r="AB6" s="3661"/>
      <c r="AC6" s="3661"/>
    </row>
    <row r="7" spans="1:29" s="108" customFormat="1" ht="15.75" thickBot="1">
      <c r="A7" s="362" t="s">
        <v>1679</v>
      </c>
      <c r="B7" s="363"/>
      <c r="C7" s="364">
        <f>'数据-取费表'!B2</f>
        <v>45161</v>
      </c>
      <c r="D7" s="365">
        <v>100</v>
      </c>
      <c r="E7" s="366"/>
      <c r="F7" s="367">
        <f>SUMIF(52:52,YEAR(E7)&amp;"-"&amp;MONTH(E7),53:53)</f>
        <v>0</v>
      </c>
      <c r="G7" s="366"/>
      <c r="H7" s="365">
        <f>SUMIF(52:52,YEAR(G7)&amp;"-"&amp;MONTH(G7),53:53)</f>
        <v>0</v>
      </c>
      <c r="I7" s="366"/>
      <c r="J7" s="365">
        <f>SUMIF(52:52,YEAR(I7)&amp;"-"&amp;MONTH(I7),53:53)</f>
        <v>0</v>
      </c>
      <c r="K7" s="560"/>
      <c r="L7" s="913"/>
      <c r="M7" s="914"/>
      <c r="N7" s="914"/>
      <c r="O7" s="914"/>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2" t="s">
        <v>1683</v>
      </c>
      <c r="Q8" s="3663"/>
      <c r="R8" s="699" t="s">
        <v>14</v>
      </c>
      <c r="S8" s="700">
        <f t="shared" si="0"/>
        <v>100</v>
      </c>
      <c r="T8" s="699" t="s">
        <v>14</v>
      </c>
      <c r="U8" s="700">
        <f t="shared" si="1"/>
        <v>100</v>
      </c>
      <c r="V8" s="699" t="s">
        <v>14</v>
      </c>
      <c r="W8" s="700">
        <f t="shared" si="2"/>
        <v>100</v>
      </c>
      <c r="X8" s="701"/>
      <c r="Y8" s="3662" t="s">
        <v>1683</v>
      </c>
      <c r="Z8" s="366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4" t="s">
        <v>1686</v>
      </c>
      <c r="Q9" s="1340"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94"/>
      <c r="Q10" s="1340"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4"/>
      <c r="Q11" s="1340" t="str">
        <f t="shared" si="6"/>
        <v>容积率</v>
      </c>
      <c r="R11" s="699" t="s">
        <v>14</v>
      </c>
      <c r="S11" s="700">
        <f t="shared" si="0"/>
        <v>100</v>
      </c>
      <c r="T11" s="699" t="s">
        <v>14</v>
      </c>
      <c r="U11" s="700">
        <f t="shared" si="1"/>
        <v>100</v>
      </c>
      <c r="V11" s="699" t="s">
        <v>14</v>
      </c>
      <c r="W11" s="700">
        <f t="shared" si="2"/>
        <v>100</v>
      </c>
      <c r="X11" s="701"/>
      <c r="Y11" s="3606"/>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94"/>
      <c r="Q12" s="1340">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94"/>
      <c r="Q13" s="1340">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94"/>
      <c r="Q14" s="1340">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6" t="s">
        <v>1691</v>
      </c>
      <c r="Q15" s="1349" t="str">
        <f t="shared" si="6"/>
        <v>产业集聚程度</v>
      </c>
      <c r="R15" s="703" t="s">
        <v>14</v>
      </c>
      <c r="S15" s="704">
        <f t="shared" si="0"/>
        <v>100</v>
      </c>
      <c r="T15" s="703" t="s">
        <v>14</v>
      </c>
      <c r="U15" s="704">
        <f t="shared" si="1"/>
        <v>100</v>
      </c>
      <c r="V15" s="703" t="s">
        <v>14</v>
      </c>
      <c r="W15" s="704">
        <f t="shared" si="2"/>
        <v>100</v>
      </c>
      <c r="X15" s="1352"/>
      <c r="Y15" s="3696"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7"/>
      <c r="Q16" s="1349"/>
      <c r="R16" s="703"/>
      <c r="S16" s="704"/>
      <c r="T16" s="703"/>
      <c r="U16" s="704"/>
      <c r="V16" s="703"/>
      <c r="W16" s="704"/>
      <c r="X16" s="1352"/>
      <c r="Y16" s="3697"/>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7"/>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7"/>
      <c r="Q18" s="1349"/>
      <c r="R18" s="703"/>
      <c r="S18" s="704"/>
      <c r="T18" s="703"/>
      <c r="U18" s="704"/>
      <c r="V18" s="703"/>
      <c r="W18" s="704"/>
      <c r="X18" s="1352"/>
      <c r="Y18" s="3697"/>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7"/>
      <c r="Q19" s="1349" t="str">
        <f>B19</f>
        <v>公共配套设施</v>
      </c>
      <c r="R19" s="703" t="s">
        <v>14</v>
      </c>
      <c r="S19" s="704">
        <f>F19</f>
        <v>100</v>
      </c>
      <c r="T19" s="703" t="s">
        <v>14</v>
      </c>
      <c r="U19" s="704">
        <f>H19</f>
        <v>100</v>
      </c>
      <c r="V19" s="703" t="s">
        <v>14</v>
      </c>
      <c r="W19" s="704">
        <f>J19</f>
        <v>100</v>
      </c>
      <c r="X19" s="1352"/>
      <c r="Y19" s="369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7"/>
      <c r="Q20" s="1349"/>
      <c r="R20" s="703"/>
      <c r="S20" s="704"/>
      <c r="T20" s="703"/>
      <c r="U20" s="704"/>
      <c r="V20" s="703"/>
      <c r="W20" s="704"/>
      <c r="X20" s="1352"/>
      <c r="Y20" s="3697"/>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7"/>
      <c r="Q21" s="1349" t="str">
        <f>B21</f>
        <v>基础设施水平</v>
      </c>
      <c r="R21" s="703" t="s">
        <v>14</v>
      </c>
      <c r="S21" s="704">
        <f>F21</f>
        <v>100</v>
      </c>
      <c r="T21" s="703" t="s">
        <v>14</v>
      </c>
      <c r="U21" s="704">
        <f>H21</f>
        <v>100</v>
      </c>
      <c r="V21" s="703" t="s">
        <v>14</v>
      </c>
      <c r="W21" s="704">
        <f>J21</f>
        <v>100</v>
      </c>
      <c r="X21" s="1352"/>
      <c r="Y21" s="369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7"/>
      <c r="Q22" s="1349"/>
      <c r="R22" s="703"/>
      <c r="S22" s="704"/>
      <c r="T22" s="703"/>
      <c r="U22" s="704"/>
      <c r="V22" s="703"/>
      <c r="W22" s="704"/>
      <c r="X22" s="1352"/>
      <c r="Y22" s="3697"/>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7"/>
      <c r="Q23" s="1349" t="str">
        <f>B23</f>
        <v>环境质量</v>
      </c>
      <c r="R23" s="703" t="s">
        <v>14</v>
      </c>
      <c r="S23" s="704">
        <f>F23</f>
        <v>100</v>
      </c>
      <c r="T23" s="703" t="s">
        <v>14</v>
      </c>
      <c r="U23" s="704">
        <f>H23</f>
        <v>100</v>
      </c>
      <c r="V23" s="703" t="s">
        <v>14</v>
      </c>
      <c r="W23" s="704">
        <f>J23</f>
        <v>100</v>
      </c>
      <c r="X23" s="1352"/>
      <c r="Y23" s="3697"/>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7"/>
      <c r="Q24" s="1349"/>
      <c r="R24" s="703"/>
      <c r="S24" s="704"/>
      <c r="T24" s="703"/>
      <c r="U24" s="704"/>
      <c r="V24" s="703"/>
      <c r="W24" s="704"/>
      <c r="X24" s="1352"/>
      <c r="Y24" s="3697"/>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7"/>
      <c r="Q25" s="1349">
        <f>B25</f>
        <v>111</v>
      </c>
      <c r="R25" s="703" t="s">
        <v>14</v>
      </c>
      <c r="S25" s="704">
        <f>F25</f>
        <v>100</v>
      </c>
      <c r="T25" s="703" t="s">
        <v>14</v>
      </c>
      <c r="U25" s="704">
        <f>H25</f>
        <v>100</v>
      </c>
      <c r="V25" s="703" t="s">
        <v>14</v>
      </c>
      <c r="W25" s="704">
        <f>J25</f>
        <v>100</v>
      </c>
      <c r="X25" s="1352"/>
      <c r="Y25" s="3697"/>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7"/>
      <c r="Q26" s="1349">
        <f t="shared" ref="Q26:Q40" si="11">B26</f>
        <v>111</v>
      </c>
      <c r="R26" s="703" t="s">
        <v>14</v>
      </c>
      <c r="S26" s="704">
        <f>F26</f>
        <v>100</v>
      </c>
      <c r="T26" s="703" t="s">
        <v>14</v>
      </c>
      <c r="U26" s="704">
        <f>H26</f>
        <v>100</v>
      </c>
      <c r="V26" s="703" t="s">
        <v>14</v>
      </c>
      <c r="W26" s="704">
        <f>J26</f>
        <v>100</v>
      </c>
      <c r="X26" s="1352"/>
      <c r="Y26" s="3697"/>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7"/>
      <c r="Q27" s="1340">
        <f t="shared" si="11"/>
        <v>111</v>
      </c>
      <c r="R27" s="699" t="s">
        <v>14</v>
      </c>
      <c r="S27" s="700">
        <f>F27</f>
        <v>100</v>
      </c>
      <c r="T27" s="699" t="s">
        <v>14</v>
      </c>
      <c r="U27" s="700">
        <f>H27</f>
        <v>100</v>
      </c>
      <c r="V27" s="699" t="s">
        <v>14</v>
      </c>
      <c r="W27" s="700">
        <f>J27</f>
        <v>100</v>
      </c>
      <c r="X27" s="701"/>
      <c r="Y27" s="3697"/>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7"/>
      <c r="Q28" s="1349">
        <f t="shared" si="11"/>
        <v>111</v>
      </c>
      <c r="R28" s="703" t="s">
        <v>14</v>
      </c>
      <c r="S28" s="704">
        <f t="shared" ref="S28:S40" si="12">F28</f>
        <v>100</v>
      </c>
      <c r="T28" s="703" t="s">
        <v>14</v>
      </c>
      <c r="U28" s="704">
        <f t="shared" ref="U28:U40" si="13">H28</f>
        <v>100</v>
      </c>
      <c r="V28" s="703" t="s">
        <v>14</v>
      </c>
      <c r="W28" s="704">
        <f t="shared" ref="W28:W40" si="14">J28</f>
        <v>100</v>
      </c>
      <c r="X28" s="1352"/>
      <c r="Y28" s="3697"/>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20" t="s">
        <v>1696</v>
      </c>
      <c r="Q29" s="1349" t="str">
        <f t="shared" si="11"/>
        <v>建筑类型</v>
      </c>
      <c r="R29" s="703" t="s">
        <v>14</v>
      </c>
      <c r="S29" s="704">
        <f t="shared" si="12"/>
        <v>100</v>
      </c>
      <c r="T29" s="703" t="s">
        <v>14</v>
      </c>
      <c r="U29" s="704">
        <f t="shared" si="13"/>
        <v>100</v>
      </c>
      <c r="V29" s="703" t="s">
        <v>14</v>
      </c>
      <c r="W29" s="704">
        <f t="shared" si="14"/>
        <v>100</v>
      </c>
      <c r="X29" s="1352"/>
      <c r="Y29" s="3701"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1"/>
      <c r="Q30" s="705" t="str">
        <f t="shared" si="11"/>
        <v>项目建筑规模</v>
      </c>
      <c r="R30" s="706" t="s">
        <v>14</v>
      </c>
      <c r="S30" s="707" t="e">
        <f t="shared" si="12"/>
        <v>#N/A</v>
      </c>
      <c r="T30" s="706" t="s">
        <v>14</v>
      </c>
      <c r="U30" s="707" t="e">
        <f t="shared" si="13"/>
        <v>#N/A</v>
      </c>
      <c r="V30" s="706" t="s">
        <v>14</v>
      </c>
      <c r="W30" s="707" t="e">
        <f t="shared" si="14"/>
        <v>#N/A</v>
      </c>
      <c r="X30" s="708"/>
      <c r="Y30" s="3701"/>
      <c r="Z30" s="709"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1"/>
      <c r="Q31" s="1349" t="str">
        <f t="shared" si="11"/>
        <v>建筑结构</v>
      </c>
      <c r="R31" s="703" t="s">
        <v>14</v>
      </c>
      <c r="S31" s="704">
        <f t="shared" si="12"/>
        <v>100</v>
      </c>
      <c r="T31" s="703" t="s">
        <v>14</v>
      </c>
      <c r="U31" s="704">
        <f t="shared" si="13"/>
        <v>100</v>
      </c>
      <c r="V31" s="703" t="s">
        <v>14</v>
      </c>
      <c r="W31" s="704">
        <f t="shared" si="14"/>
        <v>100</v>
      </c>
      <c r="X31" s="1352"/>
      <c r="Y31" s="3701"/>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1"/>
      <c r="Q32" s="1349" t="str">
        <f t="shared" si="11"/>
        <v>公共部分装修</v>
      </c>
      <c r="R32" s="703" t="s">
        <v>14</v>
      </c>
      <c r="S32" s="704">
        <f t="shared" si="12"/>
        <v>100</v>
      </c>
      <c r="T32" s="703" t="s">
        <v>14</v>
      </c>
      <c r="U32" s="704">
        <f t="shared" si="13"/>
        <v>100</v>
      </c>
      <c r="V32" s="703" t="s">
        <v>14</v>
      </c>
      <c r="W32" s="704">
        <f t="shared" si="14"/>
        <v>100</v>
      </c>
      <c r="X32" s="1352"/>
      <c r="Y32" s="3701"/>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1"/>
      <c r="Q33" s="1349" t="str">
        <f t="shared" si="11"/>
        <v>成新度</v>
      </c>
      <c r="R33" s="703" t="s">
        <v>14</v>
      </c>
      <c r="S33" s="704" t="e">
        <f t="shared" si="12"/>
        <v>#N/A</v>
      </c>
      <c r="T33" s="703" t="s">
        <v>14</v>
      </c>
      <c r="U33" s="704" t="e">
        <f t="shared" si="13"/>
        <v>#N/A</v>
      </c>
      <c r="V33" s="703" t="s">
        <v>14</v>
      </c>
      <c r="W33" s="704" t="e">
        <f t="shared" si="14"/>
        <v>#N/A</v>
      </c>
      <c r="X33" s="1352"/>
      <c r="Y33" s="3701"/>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1"/>
      <c r="Q34" s="1340" t="str">
        <f t="shared" si="11"/>
        <v>物业管理</v>
      </c>
      <c r="R34" s="699" t="s">
        <v>14</v>
      </c>
      <c r="S34" s="700">
        <f t="shared" si="12"/>
        <v>100</v>
      </c>
      <c r="T34" s="699" t="s">
        <v>14</v>
      </c>
      <c r="U34" s="700">
        <f t="shared" si="13"/>
        <v>100</v>
      </c>
      <c r="V34" s="699" t="s">
        <v>14</v>
      </c>
      <c r="W34" s="700">
        <f t="shared" si="14"/>
        <v>100</v>
      </c>
      <c r="X34" s="701"/>
      <c r="Y34" s="3701"/>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1" t="s">
        <v>1696</v>
      </c>
      <c r="Q35" s="1349" t="str">
        <f t="shared" si="11"/>
        <v>市政基础设施</v>
      </c>
      <c r="R35" s="703" t="s">
        <v>14</v>
      </c>
      <c r="S35" s="704">
        <f t="shared" si="12"/>
        <v>100</v>
      </c>
      <c r="T35" s="703" t="s">
        <v>14</v>
      </c>
      <c r="U35" s="704">
        <f t="shared" si="13"/>
        <v>100</v>
      </c>
      <c r="V35" s="703" t="s">
        <v>14</v>
      </c>
      <c r="W35" s="704">
        <f t="shared" si="14"/>
        <v>100</v>
      </c>
      <c r="X35" s="1352"/>
      <c r="Y35" s="3701"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1"/>
      <c r="Q36" s="1349" t="str">
        <f t="shared" si="11"/>
        <v>内部装修</v>
      </c>
      <c r="R36" s="703" t="s">
        <v>14</v>
      </c>
      <c r="S36" s="704">
        <f t="shared" si="12"/>
        <v>100</v>
      </c>
      <c r="T36" s="703" t="s">
        <v>14</v>
      </c>
      <c r="U36" s="704">
        <f t="shared" si="13"/>
        <v>100</v>
      </c>
      <c r="V36" s="703" t="s">
        <v>14</v>
      </c>
      <c r="W36" s="704">
        <f t="shared" si="14"/>
        <v>100</v>
      </c>
      <c r="X36" s="1352"/>
      <c r="Y36" s="3701"/>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1"/>
      <c r="Q37" s="1349" t="str">
        <f t="shared" si="11"/>
        <v>内部装修状况</v>
      </c>
      <c r="R37" s="703" t="s">
        <v>14</v>
      </c>
      <c r="S37" s="704">
        <f t="shared" si="12"/>
        <v>100</v>
      </c>
      <c r="T37" s="703" t="s">
        <v>14</v>
      </c>
      <c r="U37" s="704">
        <f t="shared" si="13"/>
        <v>100</v>
      </c>
      <c r="V37" s="703" t="s">
        <v>14</v>
      </c>
      <c r="W37" s="704">
        <f t="shared" si="14"/>
        <v>100</v>
      </c>
      <c r="X37" s="1352"/>
      <c r="Y37" s="3701"/>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1"/>
      <c r="Q38" s="705">
        <f t="shared" si="11"/>
        <v>111</v>
      </c>
      <c r="R38" s="706" t="s">
        <v>14</v>
      </c>
      <c r="S38" s="707">
        <f t="shared" si="12"/>
        <v>100</v>
      </c>
      <c r="T38" s="706" t="s">
        <v>14</v>
      </c>
      <c r="U38" s="707">
        <f t="shared" si="13"/>
        <v>100</v>
      </c>
      <c r="V38" s="706" t="s">
        <v>14</v>
      </c>
      <c r="W38" s="707">
        <f t="shared" si="14"/>
        <v>100</v>
      </c>
      <c r="X38" s="708"/>
      <c r="Y38" s="3701"/>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1"/>
      <c r="Q39" s="1349">
        <f t="shared" si="11"/>
        <v>111</v>
      </c>
      <c r="R39" s="703" t="s">
        <v>14</v>
      </c>
      <c r="S39" s="704">
        <f t="shared" si="12"/>
        <v>100</v>
      </c>
      <c r="T39" s="703" t="s">
        <v>14</v>
      </c>
      <c r="U39" s="704">
        <f t="shared" si="13"/>
        <v>100</v>
      </c>
      <c r="V39" s="703" t="s">
        <v>14</v>
      </c>
      <c r="W39" s="704">
        <f t="shared" si="14"/>
        <v>100</v>
      </c>
      <c r="X39" s="1352"/>
      <c r="Y39" s="3701"/>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2"/>
      <c r="Q40" s="1349">
        <f t="shared" si="11"/>
        <v>111</v>
      </c>
      <c r="R40" s="703" t="s">
        <v>14</v>
      </c>
      <c r="S40" s="704">
        <f t="shared" si="12"/>
        <v>100</v>
      </c>
      <c r="T40" s="703" t="s">
        <v>14</v>
      </c>
      <c r="U40" s="704">
        <f t="shared" si="13"/>
        <v>100</v>
      </c>
      <c r="V40" s="703" t="s">
        <v>14</v>
      </c>
      <c r="W40" s="704">
        <f t="shared" si="14"/>
        <v>100</v>
      </c>
      <c r="X40" s="1352"/>
      <c r="Y40" s="3702"/>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2"/>
      <c r="L41" s="924"/>
      <c r="M41" s="925"/>
      <c r="N41" s="912"/>
      <c r="O41" s="925"/>
      <c r="P41" s="3694" t="str">
        <f>A41</f>
        <v>成交单价（元/平方米）</v>
      </c>
      <c r="Q41" s="3694"/>
      <c r="R41" s="3695">
        <f>E41</f>
        <v>0</v>
      </c>
      <c r="S41" s="3695"/>
      <c r="T41" s="3695">
        <f>G41</f>
        <v>0</v>
      </c>
      <c r="U41" s="3695"/>
      <c r="V41" s="3695">
        <f>I41</f>
        <v>0</v>
      </c>
      <c r="W41" s="3695"/>
      <c r="X41" s="688"/>
      <c r="Y41" s="710"/>
      <c r="Z41" s="688"/>
      <c r="AA41" s="688"/>
      <c r="AB41" s="688"/>
      <c r="AC41" s="688"/>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4"/>
      <c r="M42" s="925"/>
      <c r="N42" s="912"/>
      <c r="O42" s="925"/>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估价对象为北京市房地产，为所有。根据《国有土地使用证》[]，估价对象（分摊）出让国有建设用地使用权面积为1899.7平方米，建筑面积为24865.04平方米。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估价对象为北京市房地产,属开发建设的办公项目，该项目尚在开发建设中。根据《国有土地使用证》[]，估价对象（分摊）出让国有建设用地使用权面积为1899.7平方米，规划建筑面积为24865.04平方米。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2023年8月23日（评估专业人员实地查勘之日）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2"/>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2"/>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2"/>
      <c r="Y6" s="3687"/>
      <c r="Z6" s="3688"/>
      <c r="AA6" s="3661"/>
      <c r="AB6" s="3661"/>
      <c r="AC6" s="3661"/>
    </row>
    <row r="7" spans="1:29" s="108" customFormat="1" ht="15.75" thickBot="1">
      <c r="A7" s="362" t="s">
        <v>1679</v>
      </c>
      <c r="B7" s="363"/>
      <c r="C7" s="364">
        <f>'数据-取费表'!B2</f>
        <v>45161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2" t="s">
        <v>1680</v>
      </c>
      <c r="Q7" s="3690"/>
      <c r="R7" s="699" t="s">
        <v>14</v>
      </c>
      <c r="S7" s="700">
        <f t="shared" ref="S7:S14" si="0">F7</f>
        <v>0</v>
      </c>
      <c r="T7" s="699" t="s">
        <v>14</v>
      </c>
      <c r="U7" s="700">
        <f t="shared" ref="U7:U14" si="1">H7</f>
        <v>0</v>
      </c>
      <c r="V7" s="699" t="s">
        <v>14</v>
      </c>
      <c r="W7" s="700">
        <f t="shared" ref="W7:W14"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2" t="s">
        <v>1683</v>
      </c>
      <c r="Q8" s="3663"/>
      <c r="R8" s="699" t="s">
        <v>14</v>
      </c>
      <c r="S8" s="700">
        <f t="shared" si="0"/>
        <v>100</v>
      </c>
      <c r="T8" s="699" t="s">
        <v>14</v>
      </c>
      <c r="U8" s="700">
        <f t="shared" si="1"/>
        <v>100</v>
      </c>
      <c r="V8" s="699" t="s">
        <v>14</v>
      </c>
      <c r="W8" s="700">
        <f t="shared" si="2"/>
        <v>100</v>
      </c>
      <c r="X8" s="701"/>
      <c r="Y8" s="3662" t="s">
        <v>1683</v>
      </c>
      <c r="Z8" s="366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4" t="s">
        <v>1686</v>
      </c>
      <c r="Q9" s="1340" t="str">
        <f t="shared" ref="Q9:Q14" si="6">B9</f>
        <v>用途</v>
      </c>
      <c r="R9" s="699" t="s">
        <v>14</v>
      </c>
      <c r="S9" s="700">
        <f t="shared" si="0"/>
        <v>100</v>
      </c>
      <c r="T9" s="699" t="s">
        <v>14</v>
      </c>
      <c r="U9" s="700">
        <f t="shared" si="1"/>
        <v>100</v>
      </c>
      <c r="V9" s="699" t="s">
        <v>14</v>
      </c>
      <c r="W9" s="700">
        <f t="shared" si="2"/>
        <v>100</v>
      </c>
      <c r="X9" s="701"/>
      <c r="Y9" s="3606"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4"/>
      <c r="Q10" s="1340"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4"/>
      <c r="Q11" s="1340">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4"/>
      <c r="Q12" s="1340">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4"/>
      <c r="Q13" s="1340">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55" t="s">
        <v>1690</v>
      </c>
      <c r="B14" s="577" t="s">
        <v>1833</v>
      </c>
      <c r="C14" s="1968">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6" t="s">
        <v>1691</v>
      </c>
      <c r="Q14" s="1349" t="str">
        <f t="shared" si="6"/>
        <v>交通便捷度</v>
      </c>
      <c r="R14" s="703" t="s">
        <v>14</v>
      </c>
      <c r="S14" s="704">
        <f t="shared" si="0"/>
        <v>100</v>
      </c>
      <c r="T14" s="703" t="s">
        <v>14</v>
      </c>
      <c r="U14" s="704">
        <f t="shared" si="1"/>
        <v>100</v>
      </c>
      <c r="V14" s="703" t="s">
        <v>14</v>
      </c>
      <c r="W14" s="704">
        <f t="shared" si="2"/>
        <v>100</v>
      </c>
      <c r="X14" s="1352"/>
      <c r="Y14" s="3696"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7"/>
      <c r="Q15" s="1349"/>
      <c r="R15" s="703"/>
      <c r="S15" s="704"/>
      <c r="T15" s="703"/>
      <c r="U15" s="704"/>
      <c r="V15" s="703"/>
      <c r="W15" s="704"/>
      <c r="X15" s="1352"/>
      <c r="Y15" s="3697"/>
      <c r="Z15" s="1353"/>
      <c r="AA15" s="1350">
        <v>1</v>
      </c>
      <c r="AB15" s="1350">
        <v>1</v>
      </c>
      <c r="AC15" s="1350">
        <v>1</v>
      </c>
    </row>
    <row r="16" spans="1:29" ht="42.75">
      <c r="A16" s="358"/>
      <c r="B16" s="579" t="s">
        <v>1812</v>
      </c>
      <c r="C16" s="1897">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7"/>
      <c r="Q16" s="1349" t="str">
        <f>B16</f>
        <v>公共配套设施</v>
      </c>
      <c r="R16" s="703" t="s">
        <v>14</v>
      </c>
      <c r="S16" s="704">
        <f>F16</f>
        <v>100</v>
      </c>
      <c r="T16" s="703" t="s">
        <v>14</v>
      </c>
      <c r="U16" s="704">
        <f>H16</f>
        <v>100</v>
      </c>
      <c r="V16" s="703" t="s">
        <v>14</v>
      </c>
      <c r="W16" s="704">
        <f>J16</f>
        <v>100</v>
      </c>
      <c r="X16" s="1352"/>
      <c r="Y16" s="3697"/>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7"/>
      <c r="Q17" s="1349"/>
      <c r="R17" s="703"/>
      <c r="S17" s="704"/>
      <c r="T17" s="703"/>
      <c r="U17" s="704"/>
      <c r="V17" s="703"/>
      <c r="W17" s="704"/>
      <c r="X17" s="1352"/>
      <c r="Y17" s="3697"/>
      <c r="Z17" s="1353"/>
      <c r="AA17" s="1350">
        <v>1</v>
      </c>
      <c r="AB17" s="1350">
        <v>1</v>
      </c>
      <c r="AC17" s="1350">
        <v>1</v>
      </c>
    </row>
    <row r="18" spans="1:29" ht="28.5">
      <c r="A18" s="358"/>
      <c r="B18" s="581" t="s">
        <v>1813</v>
      </c>
      <c r="C18" s="1897">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7"/>
      <c r="Q18" s="1349" t="str">
        <f>B18</f>
        <v>基础设施水平</v>
      </c>
      <c r="R18" s="703" t="s">
        <v>14</v>
      </c>
      <c r="S18" s="704">
        <f>F18</f>
        <v>100</v>
      </c>
      <c r="T18" s="703" t="s">
        <v>14</v>
      </c>
      <c r="U18" s="704">
        <f>H18</f>
        <v>100</v>
      </c>
      <c r="V18" s="703" t="s">
        <v>14</v>
      </c>
      <c r="W18" s="704">
        <f>J18</f>
        <v>100</v>
      </c>
      <c r="X18" s="1352"/>
      <c r="Y18" s="3697"/>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7"/>
      <c r="Q19" s="1349"/>
      <c r="R19" s="703"/>
      <c r="S19" s="704"/>
      <c r="T19" s="703"/>
      <c r="U19" s="704"/>
      <c r="V19" s="703"/>
      <c r="W19" s="704"/>
      <c r="X19" s="1352"/>
      <c r="Y19" s="3697"/>
      <c r="Z19" s="1353"/>
      <c r="AA19" s="1350">
        <v>1</v>
      </c>
      <c r="AB19" s="1350">
        <v>1</v>
      </c>
      <c r="AC19" s="1350">
        <v>1</v>
      </c>
    </row>
    <row r="20" spans="1:29" ht="57">
      <c r="A20" s="358"/>
      <c r="B20" s="579" t="s">
        <v>1834</v>
      </c>
      <c r="C20" s="1897">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7"/>
      <c r="Q20" s="1349" t="str">
        <f>B20</f>
        <v>自然及人文环境</v>
      </c>
      <c r="R20" s="703" t="s">
        <v>14</v>
      </c>
      <c r="S20" s="704">
        <f>F20</f>
        <v>100</v>
      </c>
      <c r="T20" s="703" t="s">
        <v>14</v>
      </c>
      <c r="U20" s="704">
        <f>H20</f>
        <v>100</v>
      </c>
      <c r="V20" s="703" t="s">
        <v>14</v>
      </c>
      <c r="W20" s="704">
        <f>J20</f>
        <v>100</v>
      </c>
      <c r="X20" s="1352"/>
      <c r="Y20" s="3697"/>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7"/>
      <c r="Q21" s="1349"/>
      <c r="R21" s="703"/>
      <c r="S21" s="704"/>
      <c r="T21" s="703"/>
      <c r="U21" s="704"/>
      <c r="V21" s="703"/>
      <c r="W21" s="704"/>
      <c r="X21" s="1352"/>
      <c r="Y21" s="3697"/>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7"/>
      <c r="Q22" s="1349" t="str">
        <f>B22</f>
        <v>楼层</v>
      </c>
      <c r="R22" s="703" t="s">
        <v>14</v>
      </c>
      <c r="S22" s="704">
        <f>F22</f>
        <v>100</v>
      </c>
      <c r="T22" s="703" t="s">
        <v>14</v>
      </c>
      <c r="U22" s="704">
        <f>H22</f>
        <v>100</v>
      </c>
      <c r="V22" s="703" t="s">
        <v>14</v>
      </c>
      <c r="W22" s="704">
        <f>J22</f>
        <v>100</v>
      </c>
      <c r="X22" s="1352"/>
      <c r="Y22" s="369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7"/>
      <c r="Q23" s="1349">
        <f>B23</f>
        <v>111</v>
      </c>
      <c r="R23" s="703" t="s">
        <v>14</v>
      </c>
      <c r="S23" s="704">
        <f>F23</f>
        <v>100</v>
      </c>
      <c r="T23" s="703" t="s">
        <v>14</v>
      </c>
      <c r="U23" s="704">
        <f>H23</f>
        <v>100</v>
      </c>
      <c r="V23" s="703" t="s">
        <v>14</v>
      </c>
      <c r="W23" s="704">
        <f>J23</f>
        <v>100</v>
      </c>
      <c r="X23" s="1352"/>
      <c r="Y23" s="369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7"/>
      <c r="Q24" s="1349">
        <f t="shared" ref="Q24:Q36" si="11">B24</f>
        <v>111</v>
      </c>
      <c r="R24" s="703" t="s">
        <v>14</v>
      </c>
      <c r="S24" s="704">
        <f>F24</f>
        <v>100</v>
      </c>
      <c r="T24" s="703" t="s">
        <v>14</v>
      </c>
      <c r="U24" s="704">
        <f>H24</f>
        <v>100</v>
      </c>
      <c r="V24" s="703" t="s">
        <v>14</v>
      </c>
      <c r="W24" s="704">
        <f>J24</f>
        <v>100</v>
      </c>
      <c r="X24" s="1352"/>
      <c r="Y24" s="369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7"/>
      <c r="Q25" s="1340">
        <f t="shared" si="11"/>
        <v>111</v>
      </c>
      <c r="R25" s="699" t="s">
        <v>14</v>
      </c>
      <c r="S25" s="700">
        <f>F25</f>
        <v>100</v>
      </c>
      <c r="T25" s="699" t="s">
        <v>14</v>
      </c>
      <c r="U25" s="700">
        <f>H25</f>
        <v>100</v>
      </c>
      <c r="V25" s="699" t="s">
        <v>14</v>
      </c>
      <c r="W25" s="700">
        <f>J25</f>
        <v>100</v>
      </c>
      <c r="X25" s="701"/>
      <c r="Y25" s="3697"/>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0"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01"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1"/>
      <c r="Q27" s="705" t="str">
        <f t="shared" si="11"/>
        <v>项目停车位配比</v>
      </c>
      <c r="R27" s="706" t="s">
        <v>14</v>
      </c>
      <c r="S27" s="707">
        <f t="shared" si="12"/>
        <v>100</v>
      </c>
      <c r="T27" s="706" t="s">
        <v>14</v>
      </c>
      <c r="U27" s="707">
        <f t="shared" si="13"/>
        <v>100</v>
      </c>
      <c r="V27" s="706" t="s">
        <v>14</v>
      </c>
      <c r="W27" s="707">
        <f t="shared" si="14"/>
        <v>100</v>
      </c>
      <c r="X27" s="708"/>
      <c r="Y27" s="3701"/>
      <c r="Z27" s="709"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1"/>
      <c r="Q28" s="1349" t="str">
        <f t="shared" si="11"/>
        <v>公共部分装修</v>
      </c>
      <c r="R28" s="703" t="s">
        <v>14</v>
      </c>
      <c r="S28" s="704">
        <f t="shared" si="12"/>
        <v>100</v>
      </c>
      <c r="T28" s="703" t="s">
        <v>14</v>
      </c>
      <c r="U28" s="704">
        <f t="shared" si="13"/>
        <v>100</v>
      </c>
      <c r="V28" s="703" t="s">
        <v>14</v>
      </c>
      <c r="W28" s="704">
        <f t="shared" si="14"/>
        <v>100</v>
      </c>
      <c r="X28" s="1352"/>
      <c r="Y28" s="3701"/>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1"/>
      <c r="Q29" s="1349" t="str">
        <f t="shared" si="11"/>
        <v>成新率</v>
      </c>
      <c r="R29" s="703" t="s">
        <v>14</v>
      </c>
      <c r="S29" s="704" t="e">
        <f t="shared" si="12"/>
        <v>#N/A</v>
      </c>
      <c r="T29" s="703" t="s">
        <v>14</v>
      </c>
      <c r="U29" s="704" t="e">
        <f t="shared" si="13"/>
        <v>#N/A</v>
      </c>
      <c r="V29" s="703" t="s">
        <v>14</v>
      </c>
      <c r="W29" s="704" t="e">
        <f t="shared" si="14"/>
        <v>#N/A</v>
      </c>
      <c r="X29" s="1352"/>
      <c r="Y29" s="3701"/>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1"/>
      <c r="Q30" s="1349" t="str">
        <f t="shared" si="11"/>
        <v>物业等级</v>
      </c>
      <c r="R30" s="703" t="s">
        <v>14</v>
      </c>
      <c r="S30" s="704">
        <f t="shared" si="12"/>
        <v>100</v>
      </c>
      <c r="T30" s="703" t="s">
        <v>14</v>
      </c>
      <c r="U30" s="704">
        <f t="shared" si="13"/>
        <v>100</v>
      </c>
      <c r="V30" s="703" t="s">
        <v>14</v>
      </c>
      <c r="W30" s="704">
        <f t="shared" si="14"/>
        <v>100</v>
      </c>
      <c r="X30" s="1352"/>
      <c r="Y30" s="3701"/>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1"/>
      <c r="Q31" s="1340" t="str">
        <f t="shared" si="11"/>
        <v>停车位面积</v>
      </c>
      <c r="R31" s="699" t="s">
        <v>14</v>
      </c>
      <c r="S31" s="700" t="e">
        <f t="shared" si="12"/>
        <v>#N/A</v>
      </c>
      <c r="T31" s="699" t="s">
        <v>14</v>
      </c>
      <c r="U31" s="700" t="e">
        <f t="shared" si="13"/>
        <v>#N/A</v>
      </c>
      <c r="V31" s="699" t="s">
        <v>14</v>
      </c>
      <c r="W31" s="700" t="e">
        <f t="shared" si="14"/>
        <v>#N/A</v>
      </c>
      <c r="X31" s="701"/>
      <c r="Y31" s="3701"/>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1" t="s">
        <v>1696</v>
      </c>
      <c r="Q32" s="1349" t="str">
        <f t="shared" si="11"/>
        <v>车位类型</v>
      </c>
      <c r="R32" s="703" t="s">
        <v>14</v>
      </c>
      <c r="S32" s="704">
        <f t="shared" si="12"/>
        <v>100</v>
      </c>
      <c r="T32" s="703" t="s">
        <v>14</v>
      </c>
      <c r="U32" s="704">
        <f t="shared" si="13"/>
        <v>100</v>
      </c>
      <c r="V32" s="703" t="s">
        <v>14</v>
      </c>
      <c r="W32" s="704">
        <f t="shared" si="14"/>
        <v>100</v>
      </c>
      <c r="X32" s="1352"/>
      <c r="Y32" s="3701"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1"/>
      <c r="Q33" s="1349" t="str">
        <f t="shared" si="11"/>
        <v>是否直接入户</v>
      </c>
      <c r="R33" s="703" t="s">
        <v>14</v>
      </c>
      <c r="S33" s="704">
        <f t="shared" si="12"/>
        <v>100</v>
      </c>
      <c r="T33" s="703" t="s">
        <v>14</v>
      </c>
      <c r="U33" s="704">
        <f t="shared" si="13"/>
        <v>100</v>
      </c>
      <c r="V33" s="703" t="s">
        <v>14</v>
      </c>
      <c r="W33" s="704">
        <f t="shared" si="14"/>
        <v>100</v>
      </c>
      <c r="X33" s="1352"/>
      <c r="Y33" s="3701"/>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1"/>
      <c r="Q34" s="1349">
        <f t="shared" si="11"/>
        <v>111</v>
      </c>
      <c r="R34" s="703" t="s">
        <v>14</v>
      </c>
      <c r="S34" s="704">
        <f t="shared" si="12"/>
        <v>100</v>
      </c>
      <c r="T34" s="703" t="s">
        <v>14</v>
      </c>
      <c r="U34" s="704">
        <f t="shared" si="13"/>
        <v>100</v>
      </c>
      <c r="V34" s="703" t="s">
        <v>14</v>
      </c>
      <c r="W34" s="704">
        <f t="shared" si="14"/>
        <v>100</v>
      </c>
      <c r="X34" s="1352"/>
      <c r="Y34" s="3701"/>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1"/>
      <c r="Q35" s="705">
        <f t="shared" si="11"/>
        <v>111</v>
      </c>
      <c r="R35" s="706" t="s">
        <v>14</v>
      </c>
      <c r="S35" s="707">
        <f t="shared" si="12"/>
        <v>100</v>
      </c>
      <c r="T35" s="706" t="s">
        <v>14</v>
      </c>
      <c r="U35" s="707">
        <f t="shared" si="13"/>
        <v>100</v>
      </c>
      <c r="V35" s="706" t="s">
        <v>14</v>
      </c>
      <c r="W35" s="707">
        <f t="shared" si="14"/>
        <v>100</v>
      </c>
      <c r="X35" s="708"/>
      <c r="Y35" s="3701"/>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1"/>
      <c r="Q36" s="1349">
        <f t="shared" si="11"/>
        <v>111</v>
      </c>
      <c r="R36" s="703" t="s">
        <v>14</v>
      </c>
      <c r="S36" s="704">
        <f t="shared" si="12"/>
        <v>100</v>
      </c>
      <c r="T36" s="703" t="s">
        <v>14</v>
      </c>
      <c r="U36" s="704">
        <f t="shared" si="13"/>
        <v>100</v>
      </c>
      <c r="V36" s="703" t="s">
        <v>14</v>
      </c>
      <c r="W36" s="704">
        <f t="shared" si="14"/>
        <v>100</v>
      </c>
      <c r="X36" s="1352"/>
      <c r="Y36" s="3701"/>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8"/>
      <c r="L37" s="2721"/>
      <c r="M37" s="2722"/>
      <c r="N37" s="2713"/>
      <c r="O37" s="2722"/>
      <c r="P37" s="3694" t="str">
        <f>A37</f>
        <v>成交单价</v>
      </c>
      <c r="Q37" s="3694"/>
      <c r="R37" s="3695">
        <f>E37</f>
        <v>0</v>
      </c>
      <c r="S37" s="3695"/>
      <c r="T37" s="3695">
        <f>G37</f>
        <v>0</v>
      </c>
      <c r="U37" s="3695"/>
      <c r="V37" s="3695">
        <f>I37</f>
        <v>0</v>
      </c>
      <c r="W37" s="3695"/>
      <c r="X37" s="688"/>
      <c r="Y37" s="710"/>
      <c r="Z37" s="688"/>
      <c r="AA37" s="688"/>
      <c r="AB37" s="688"/>
      <c r="AC37" s="688"/>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1"/>
      <c r="M39" s="2722"/>
      <c r="N39" s="2722"/>
      <c r="O39" s="2722"/>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2"/>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2"/>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2"/>
      <c r="Y6" s="3687"/>
      <c r="Z6" s="3688"/>
      <c r="AA6" s="3661"/>
      <c r="AB6" s="3661"/>
      <c r="AC6" s="3661"/>
    </row>
    <row r="7" spans="1:29" s="108" customFormat="1" ht="15.75" thickBot="1">
      <c r="A7" s="362" t="s">
        <v>1679</v>
      </c>
      <c r="B7" s="363"/>
      <c r="C7" s="364">
        <f>'数据-取费表'!B2</f>
        <v>45161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62" t="s">
        <v>1680</v>
      </c>
      <c r="Q7" s="3690"/>
      <c r="R7" s="699" t="s">
        <v>14</v>
      </c>
      <c r="S7" s="700">
        <f t="shared" ref="S7:S14" si="0">F7</f>
        <v>0</v>
      </c>
      <c r="T7" s="699" t="s">
        <v>14</v>
      </c>
      <c r="U7" s="700">
        <f t="shared" ref="U7:U14" si="1">H7</f>
        <v>0</v>
      </c>
      <c r="V7" s="699" t="s">
        <v>14</v>
      </c>
      <c r="W7" s="700">
        <f t="shared" ref="W7:W14" si="2">J7</f>
        <v>0</v>
      </c>
      <c r="X7" s="701"/>
      <c r="Y7" s="3662" t="s">
        <v>1680</v>
      </c>
      <c r="Z7" s="366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2" t="s">
        <v>1683</v>
      </c>
      <c r="Q8" s="3663"/>
      <c r="R8" s="699" t="s">
        <v>14</v>
      </c>
      <c r="S8" s="700">
        <f t="shared" si="0"/>
        <v>100</v>
      </c>
      <c r="T8" s="699" t="s">
        <v>14</v>
      </c>
      <c r="U8" s="700">
        <f t="shared" si="1"/>
        <v>100</v>
      </c>
      <c r="V8" s="699" t="s">
        <v>14</v>
      </c>
      <c r="W8" s="700">
        <f t="shared" si="2"/>
        <v>100</v>
      </c>
      <c r="X8" s="701"/>
      <c r="Y8" s="3662" t="s">
        <v>1683</v>
      </c>
      <c r="Z8" s="366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4" t="s">
        <v>1686</v>
      </c>
      <c r="Q9" s="1340" t="str">
        <f t="shared" ref="Q9:Q14" si="6">B9</f>
        <v>用途</v>
      </c>
      <c r="R9" s="699" t="s">
        <v>14</v>
      </c>
      <c r="S9" s="700">
        <f t="shared" si="0"/>
        <v>100</v>
      </c>
      <c r="T9" s="699" t="s">
        <v>14</v>
      </c>
      <c r="U9" s="700">
        <f t="shared" si="1"/>
        <v>100</v>
      </c>
      <c r="V9" s="699" t="s">
        <v>14</v>
      </c>
      <c r="W9" s="700">
        <f t="shared" si="2"/>
        <v>100</v>
      </c>
      <c r="X9" s="701"/>
      <c r="Y9" s="3606"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4"/>
      <c r="Q10" s="1340" t="str">
        <f t="shared" si="6"/>
        <v>土地使用年限（年）</v>
      </c>
      <c r="R10" s="699" t="s">
        <v>14</v>
      </c>
      <c r="S10" s="700">
        <f t="shared" si="0"/>
        <v>100</v>
      </c>
      <c r="T10" s="699" t="s">
        <v>14</v>
      </c>
      <c r="U10" s="700">
        <f t="shared" si="1"/>
        <v>100</v>
      </c>
      <c r="V10" s="699" t="s">
        <v>14</v>
      </c>
      <c r="W10" s="700">
        <f t="shared" si="2"/>
        <v>100</v>
      </c>
      <c r="X10" s="701"/>
      <c r="Y10" s="3606"/>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4"/>
      <c r="Q11" s="1340">
        <f t="shared" si="6"/>
        <v>111</v>
      </c>
      <c r="R11" s="699" t="s">
        <v>14</v>
      </c>
      <c r="S11" s="700">
        <f t="shared" si="0"/>
        <v>100</v>
      </c>
      <c r="T11" s="699" t="s">
        <v>14</v>
      </c>
      <c r="U11" s="700">
        <f t="shared" si="1"/>
        <v>100</v>
      </c>
      <c r="V11" s="699" t="s">
        <v>14</v>
      </c>
      <c r="W11" s="700">
        <f t="shared" si="2"/>
        <v>100</v>
      </c>
      <c r="X11" s="701"/>
      <c r="Y11" s="3606"/>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4"/>
      <c r="Q12" s="1340">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85.5">
      <c r="A14" s="391" t="s">
        <v>1690</v>
      </c>
      <c r="B14" s="61" t="s">
        <v>1833</v>
      </c>
      <c r="C14" s="1968">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6" t="s">
        <v>1691</v>
      </c>
      <c r="Q14" s="1349" t="str">
        <f t="shared" si="6"/>
        <v>交通便捷度</v>
      </c>
      <c r="R14" s="703" t="s">
        <v>14</v>
      </c>
      <c r="S14" s="704">
        <f t="shared" si="0"/>
        <v>100</v>
      </c>
      <c r="T14" s="703" t="s">
        <v>14</v>
      </c>
      <c r="U14" s="704">
        <f t="shared" si="1"/>
        <v>100</v>
      </c>
      <c r="V14" s="703" t="s">
        <v>14</v>
      </c>
      <c r="W14" s="704">
        <f t="shared" si="2"/>
        <v>100</v>
      </c>
      <c r="X14" s="1352"/>
      <c r="Y14" s="3696"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7"/>
      <c r="Q15" s="1349"/>
      <c r="R15" s="703"/>
      <c r="S15" s="704"/>
      <c r="T15" s="703"/>
      <c r="U15" s="704"/>
      <c r="V15" s="703"/>
      <c r="W15" s="704"/>
      <c r="X15" s="1352"/>
      <c r="Y15" s="3697"/>
      <c r="Z15" s="1353"/>
      <c r="AA15" s="1350">
        <v>1</v>
      </c>
      <c r="AB15" s="1350">
        <v>1</v>
      </c>
      <c r="AC15" s="1350">
        <v>1</v>
      </c>
    </row>
    <row r="16" spans="1:29" ht="42.75">
      <c r="A16" s="379"/>
      <c r="B16" s="402" t="s">
        <v>1812</v>
      </c>
      <c r="C16" s="1897">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7"/>
      <c r="Q16" s="1349" t="str">
        <f>B16</f>
        <v>公共配套设施</v>
      </c>
      <c r="R16" s="703" t="s">
        <v>14</v>
      </c>
      <c r="S16" s="704">
        <f>F16</f>
        <v>100</v>
      </c>
      <c r="T16" s="703" t="s">
        <v>14</v>
      </c>
      <c r="U16" s="704">
        <f>H16</f>
        <v>100</v>
      </c>
      <c r="V16" s="703" t="s">
        <v>14</v>
      </c>
      <c r="W16" s="704">
        <f>J16</f>
        <v>100</v>
      </c>
      <c r="X16" s="1352"/>
      <c r="Y16" s="3697"/>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7"/>
      <c r="Q17" s="1349"/>
      <c r="R17" s="703"/>
      <c r="S17" s="704"/>
      <c r="T17" s="703"/>
      <c r="U17" s="704"/>
      <c r="V17" s="703"/>
      <c r="W17" s="704"/>
      <c r="X17" s="1352"/>
      <c r="Y17" s="3697"/>
      <c r="Z17" s="1353"/>
      <c r="AA17" s="1350">
        <v>1</v>
      </c>
      <c r="AB17" s="1350">
        <v>1</v>
      </c>
      <c r="AC17" s="1350">
        <v>1</v>
      </c>
    </row>
    <row r="18" spans="1:29" ht="28.5">
      <c r="A18" s="379"/>
      <c r="B18" s="1128" t="s">
        <v>1813</v>
      </c>
      <c r="C18" s="1897">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7"/>
      <c r="Q18" s="1349" t="str">
        <f>B18</f>
        <v>基础设施水平</v>
      </c>
      <c r="R18" s="703" t="s">
        <v>14</v>
      </c>
      <c r="S18" s="704">
        <f>F18</f>
        <v>100</v>
      </c>
      <c r="T18" s="703" t="s">
        <v>14</v>
      </c>
      <c r="U18" s="704">
        <f>H18</f>
        <v>100</v>
      </c>
      <c r="V18" s="703" t="s">
        <v>14</v>
      </c>
      <c r="W18" s="704">
        <f>J18</f>
        <v>100</v>
      </c>
      <c r="X18" s="1352"/>
      <c r="Y18" s="3697"/>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7"/>
      <c r="Q19" s="1349"/>
      <c r="R19" s="703"/>
      <c r="S19" s="704"/>
      <c r="T19" s="703"/>
      <c r="U19" s="704"/>
      <c r="V19" s="703"/>
      <c r="W19" s="704"/>
      <c r="X19" s="1352"/>
      <c r="Y19" s="3697"/>
      <c r="Z19" s="1353"/>
      <c r="AA19" s="1350">
        <v>1</v>
      </c>
      <c r="AB19" s="1350">
        <v>1</v>
      </c>
      <c r="AC19" s="1350">
        <v>1</v>
      </c>
    </row>
    <row r="20" spans="1:29" ht="57">
      <c r="A20" s="379"/>
      <c r="B20" s="402" t="s">
        <v>1834</v>
      </c>
      <c r="C20" s="1897">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7"/>
      <c r="Q20" s="1349" t="str">
        <f>B20</f>
        <v>自然及人文环境</v>
      </c>
      <c r="R20" s="703" t="s">
        <v>14</v>
      </c>
      <c r="S20" s="704">
        <f>F20</f>
        <v>100</v>
      </c>
      <c r="T20" s="703" t="s">
        <v>14</v>
      </c>
      <c r="U20" s="704">
        <f>H20</f>
        <v>100</v>
      </c>
      <c r="V20" s="703" t="s">
        <v>14</v>
      </c>
      <c r="W20" s="704">
        <f>J20</f>
        <v>100</v>
      </c>
      <c r="X20" s="1352"/>
      <c r="Y20" s="369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7"/>
      <c r="Q21" s="1349"/>
      <c r="R21" s="703"/>
      <c r="S21" s="704"/>
      <c r="T21" s="703"/>
      <c r="U21" s="704"/>
      <c r="V21" s="703"/>
      <c r="W21" s="704"/>
      <c r="X21" s="1352"/>
      <c r="Y21" s="3697"/>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7"/>
      <c r="Q22" s="1349" t="str">
        <f>B22</f>
        <v>楼层</v>
      </c>
      <c r="R22" s="703" t="s">
        <v>14</v>
      </c>
      <c r="S22" s="704">
        <f>F22</f>
        <v>100</v>
      </c>
      <c r="T22" s="703" t="s">
        <v>14</v>
      </c>
      <c r="U22" s="704">
        <f>H22</f>
        <v>100</v>
      </c>
      <c r="V22" s="703" t="s">
        <v>14</v>
      </c>
      <c r="W22" s="704">
        <f>J22</f>
        <v>100</v>
      </c>
      <c r="X22" s="1352"/>
      <c r="Y22" s="3697"/>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7"/>
      <c r="Q23" s="1349">
        <f>B23</f>
        <v>111</v>
      </c>
      <c r="R23" s="703" t="s">
        <v>14</v>
      </c>
      <c r="S23" s="704">
        <f>F23</f>
        <v>100</v>
      </c>
      <c r="T23" s="703" t="s">
        <v>14</v>
      </c>
      <c r="U23" s="704">
        <f>H23</f>
        <v>100</v>
      </c>
      <c r="V23" s="703" t="s">
        <v>14</v>
      </c>
      <c r="W23" s="704">
        <f>J23</f>
        <v>100</v>
      </c>
      <c r="X23" s="1352"/>
      <c r="Y23" s="3697"/>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7"/>
      <c r="Q24" s="1349">
        <f t="shared" ref="Q24:Q34" si="11">B24</f>
        <v>111</v>
      </c>
      <c r="R24" s="703" t="s">
        <v>14</v>
      </c>
      <c r="S24" s="704">
        <f>F24</f>
        <v>100</v>
      </c>
      <c r="T24" s="703" t="s">
        <v>14</v>
      </c>
      <c r="U24" s="704">
        <f>H24</f>
        <v>100</v>
      </c>
      <c r="V24" s="703" t="s">
        <v>14</v>
      </c>
      <c r="W24" s="704">
        <f>J24</f>
        <v>100</v>
      </c>
      <c r="X24" s="1352"/>
      <c r="Y24" s="3697"/>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7"/>
      <c r="Q25" s="1340">
        <f t="shared" si="11"/>
        <v>111</v>
      </c>
      <c r="R25" s="699" t="s">
        <v>14</v>
      </c>
      <c r="S25" s="700">
        <f>F25</f>
        <v>100</v>
      </c>
      <c r="T25" s="699" t="s">
        <v>14</v>
      </c>
      <c r="U25" s="700">
        <f>H25</f>
        <v>100</v>
      </c>
      <c r="V25" s="699" t="s">
        <v>14</v>
      </c>
      <c r="W25" s="700">
        <f>J25</f>
        <v>100</v>
      </c>
      <c r="X25" s="701"/>
      <c r="Y25" s="3697"/>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20"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01"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1"/>
      <c r="Q27" s="705" t="str">
        <f t="shared" si="11"/>
        <v>成新率</v>
      </c>
      <c r="R27" s="706" t="s">
        <v>14</v>
      </c>
      <c r="S27" s="707" t="e">
        <f t="shared" si="12"/>
        <v>#N/A</v>
      </c>
      <c r="T27" s="706" t="s">
        <v>14</v>
      </c>
      <c r="U27" s="707" t="e">
        <f t="shared" si="13"/>
        <v>#N/A</v>
      </c>
      <c r="V27" s="706" t="s">
        <v>14</v>
      </c>
      <c r="W27" s="707" t="e">
        <f t="shared" si="14"/>
        <v>#N/A</v>
      </c>
      <c r="X27" s="708"/>
      <c r="Y27" s="3701"/>
      <c r="Z27" s="709"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1"/>
      <c r="Q28" s="1349" t="str">
        <f t="shared" si="11"/>
        <v>物业等级</v>
      </c>
      <c r="R28" s="703" t="s">
        <v>14</v>
      </c>
      <c r="S28" s="704">
        <f t="shared" si="12"/>
        <v>100</v>
      </c>
      <c r="T28" s="703" t="s">
        <v>14</v>
      </c>
      <c r="U28" s="704">
        <f t="shared" si="13"/>
        <v>100</v>
      </c>
      <c r="V28" s="703" t="s">
        <v>14</v>
      </c>
      <c r="W28" s="704">
        <f t="shared" si="14"/>
        <v>100</v>
      </c>
      <c r="X28" s="1352"/>
      <c r="Y28" s="3701"/>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1"/>
      <c r="Q29" s="1349" t="str">
        <f t="shared" si="11"/>
        <v>有无电梯</v>
      </c>
      <c r="R29" s="703" t="s">
        <v>14</v>
      </c>
      <c r="S29" s="704">
        <f t="shared" si="12"/>
        <v>100</v>
      </c>
      <c r="T29" s="703" t="s">
        <v>14</v>
      </c>
      <c r="U29" s="704">
        <f t="shared" si="13"/>
        <v>100</v>
      </c>
      <c r="V29" s="703" t="s">
        <v>14</v>
      </c>
      <c r="W29" s="704">
        <f t="shared" si="14"/>
        <v>100</v>
      </c>
      <c r="X29" s="1352"/>
      <c r="Y29" s="3701"/>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1"/>
      <c r="Q30" s="1349" t="str">
        <f t="shared" si="11"/>
        <v>建筑面积</v>
      </c>
      <c r="R30" s="703" t="s">
        <v>14</v>
      </c>
      <c r="S30" s="704" t="e">
        <f t="shared" si="12"/>
        <v>#N/A</v>
      </c>
      <c r="T30" s="703" t="s">
        <v>14</v>
      </c>
      <c r="U30" s="704" t="e">
        <f t="shared" si="13"/>
        <v>#N/A</v>
      </c>
      <c r="V30" s="703" t="s">
        <v>14</v>
      </c>
      <c r="W30" s="704" t="e">
        <f t="shared" si="14"/>
        <v>#N/A</v>
      </c>
      <c r="X30" s="1352"/>
      <c r="Y30" s="3701"/>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1"/>
      <c r="Q31" s="1340" t="str">
        <f t="shared" si="11"/>
        <v>是否封闭</v>
      </c>
      <c r="R31" s="699" t="s">
        <v>14</v>
      </c>
      <c r="S31" s="700">
        <f t="shared" si="12"/>
        <v>100</v>
      </c>
      <c r="T31" s="699" t="s">
        <v>14</v>
      </c>
      <c r="U31" s="700">
        <f t="shared" si="13"/>
        <v>100</v>
      </c>
      <c r="V31" s="699" t="s">
        <v>14</v>
      </c>
      <c r="W31" s="700">
        <f t="shared" si="14"/>
        <v>100</v>
      </c>
      <c r="X31" s="701"/>
      <c r="Y31" s="3701"/>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1" t="s">
        <v>1696</v>
      </c>
      <c r="Q32" s="1349">
        <f t="shared" si="11"/>
        <v>111</v>
      </c>
      <c r="R32" s="703" t="s">
        <v>14</v>
      </c>
      <c r="S32" s="704">
        <f t="shared" si="12"/>
        <v>100</v>
      </c>
      <c r="T32" s="703" t="s">
        <v>14</v>
      </c>
      <c r="U32" s="704">
        <f t="shared" si="13"/>
        <v>100</v>
      </c>
      <c r="V32" s="703" t="s">
        <v>14</v>
      </c>
      <c r="W32" s="704">
        <f t="shared" si="14"/>
        <v>100</v>
      </c>
      <c r="X32" s="1352"/>
      <c r="Y32" s="3701"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1"/>
      <c r="Q33" s="1349">
        <f t="shared" si="11"/>
        <v>111</v>
      </c>
      <c r="R33" s="703" t="s">
        <v>14</v>
      </c>
      <c r="S33" s="704">
        <f t="shared" si="12"/>
        <v>100</v>
      </c>
      <c r="T33" s="703" t="s">
        <v>14</v>
      </c>
      <c r="U33" s="704">
        <f t="shared" si="13"/>
        <v>100</v>
      </c>
      <c r="V33" s="703" t="s">
        <v>14</v>
      </c>
      <c r="W33" s="704">
        <f t="shared" si="14"/>
        <v>100</v>
      </c>
      <c r="X33" s="1352"/>
      <c r="Y33" s="3701"/>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01"/>
      <c r="Q34" s="1349">
        <f t="shared" si="11"/>
        <v>111</v>
      </c>
      <c r="R34" s="703" t="s">
        <v>14</v>
      </c>
      <c r="S34" s="704">
        <f t="shared" si="12"/>
        <v>100</v>
      </c>
      <c r="T34" s="703" t="s">
        <v>14</v>
      </c>
      <c r="U34" s="704">
        <f t="shared" si="13"/>
        <v>100</v>
      </c>
      <c r="V34" s="703" t="s">
        <v>14</v>
      </c>
      <c r="W34" s="704">
        <f t="shared" si="14"/>
        <v>100</v>
      </c>
      <c r="X34" s="1352"/>
      <c r="Y34" s="3701"/>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2"/>
      <c r="L35" s="2721"/>
      <c r="M35" s="2722"/>
      <c r="N35" s="2713"/>
      <c r="O35" s="2722"/>
      <c r="P35" s="3694" t="str">
        <f>A35</f>
        <v>成交单价（元/平方米）</v>
      </c>
      <c r="Q35" s="3694"/>
      <c r="R35" s="3695">
        <f>E35</f>
        <v>0</v>
      </c>
      <c r="S35" s="3695"/>
      <c r="T35" s="3695">
        <f>G35</f>
        <v>0</v>
      </c>
      <c r="U35" s="3695"/>
      <c r="V35" s="3695">
        <f>I35</f>
        <v>0</v>
      </c>
      <c r="W35" s="3695"/>
      <c r="X35" s="688"/>
      <c r="Y35" s="710"/>
      <c r="Z35" s="688"/>
      <c r="AA35" s="688"/>
      <c r="AB35" s="688"/>
      <c r="AC35" s="688"/>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1"/>
      <c r="M37" s="2722"/>
      <c r="N37" s="2722"/>
      <c r="O37" s="2722"/>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2"/>
      <c r="Y4" s="3664" t="s">
        <v>1775</v>
      </c>
      <c r="Z4" s="3665"/>
      <c r="AA4" s="3659" t="s">
        <v>1771</v>
      </c>
      <c r="AB4" s="3660" t="s">
        <v>1772</v>
      </c>
      <c r="AC4" s="3659" t="s">
        <v>1773</v>
      </c>
    </row>
    <row r="5" spans="1:30"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2"/>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2"/>
      <c r="M6" s="2713"/>
      <c r="N6" s="2713"/>
      <c r="O6" s="2713"/>
      <c r="P6" s="3685"/>
      <c r="Q6" s="3686"/>
      <c r="R6" s="3666"/>
      <c r="S6" s="3667"/>
      <c r="T6" s="3687"/>
      <c r="U6" s="3688"/>
      <c r="V6" s="3689"/>
      <c r="W6" s="3689"/>
      <c r="X6" s="1352"/>
      <c r="Y6" s="3687"/>
      <c r="Z6" s="3688"/>
      <c r="AA6" s="3661"/>
      <c r="AB6" s="3661"/>
      <c r="AC6" s="3661"/>
    </row>
    <row r="7" spans="1:30" s="108" customFormat="1" ht="15.75" thickBot="1">
      <c r="A7" s="362" t="s">
        <v>1679</v>
      </c>
      <c r="B7" s="363"/>
      <c r="C7" s="364">
        <f>'数据-取费表'!B2</f>
        <v>45161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2" t="s">
        <v>1683</v>
      </c>
      <c r="Q8" s="3663"/>
      <c r="R8" s="699" t="s">
        <v>14</v>
      </c>
      <c r="S8" s="700">
        <f t="shared" si="0"/>
        <v>0</v>
      </c>
      <c r="T8" s="699" t="s">
        <v>14</v>
      </c>
      <c r="U8" s="700">
        <f t="shared" si="1"/>
        <v>0</v>
      </c>
      <c r="V8" s="699" t="s">
        <v>14</v>
      </c>
      <c r="W8" s="700">
        <f t="shared" si="2"/>
        <v>0</v>
      </c>
      <c r="X8" s="701"/>
      <c r="Y8" s="3662" t="s">
        <v>1683</v>
      </c>
      <c r="Z8" s="3663"/>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94" t="s">
        <v>1686</v>
      </c>
      <c r="Q9" s="1340"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6"/>
      <c r="M10" s="2717"/>
      <c r="N10" s="2717"/>
      <c r="O10" s="2770"/>
      <c r="P10" s="3694"/>
      <c r="Q10" s="1340" t="str">
        <f t="shared" si="6"/>
        <v>土地使用年限（年）</v>
      </c>
      <c r="R10" s="699" t="s">
        <v>14</v>
      </c>
      <c r="S10" s="700">
        <f t="shared" si="0"/>
        <v>123</v>
      </c>
      <c r="T10" s="699" t="s">
        <v>14</v>
      </c>
      <c r="U10" s="700">
        <f t="shared" si="1"/>
        <v>123</v>
      </c>
      <c r="V10" s="699" t="s">
        <v>14</v>
      </c>
      <c r="W10" s="700">
        <f t="shared" si="2"/>
        <v>123</v>
      </c>
      <c r="X10" s="701"/>
      <c r="Y10" s="3606"/>
      <c r="Z10" s="52" t="str">
        <f t="shared" si="7"/>
        <v>土地使用年限（年）</v>
      </c>
      <c r="AA10" s="702">
        <f t="shared" si="3"/>
        <v>0.81300813008130079</v>
      </c>
      <c r="AB10" s="702">
        <f t="shared" si="4"/>
        <v>0.81300813008130079</v>
      </c>
      <c r="AC10" s="702">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4"/>
      <c r="Q11" s="1340"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4"/>
      <c r="Q12" s="1340" t="str">
        <f t="shared" si="6"/>
        <v>配建</v>
      </c>
      <c r="R12" s="699" t="s">
        <v>14</v>
      </c>
      <c r="S12" s="700">
        <f t="shared" si="0"/>
        <v>100</v>
      </c>
      <c r="T12" s="699" t="s">
        <v>14</v>
      </c>
      <c r="U12" s="700">
        <f t="shared" si="1"/>
        <v>100</v>
      </c>
      <c r="V12" s="699" t="s">
        <v>14</v>
      </c>
      <c r="W12" s="700">
        <f t="shared" si="2"/>
        <v>100</v>
      </c>
      <c r="X12" s="701"/>
      <c r="Y12" s="3606"/>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606"/>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4"/>
      <c r="Q14" s="1340">
        <f t="shared" si="6"/>
        <v>111</v>
      </c>
      <c r="R14" s="699" t="s">
        <v>14</v>
      </c>
      <c r="S14" s="700">
        <f t="shared" si="0"/>
        <v>100</v>
      </c>
      <c r="T14" s="699" t="s">
        <v>14</v>
      </c>
      <c r="U14" s="700">
        <f t="shared" si="1"/>
        <v>100</v>
      </c>
      <c r="V14" s="699" t="s">
        <v>14</v>
      </c>
      <c r="W14" s="700">
        <f t="shared" si="2"/>
        <v>100</v>
      </c>
      <c r="X14" s="701"/>
      <c r="Y14" s="3606"/>
      <c r="Z14" s="52">
        <f t="shared" si="7"/>
        <v>111</v>
      </c>
      <c r="AA14" s="702">
        <f>D14/F14</f>
        <v>1</v>
      </c>
      <c r="AB14" s="702">
        <f>D14/H14</f>
        <v>1</v>
      </c>
      <c r="AC14" s="702">
        <f>D14/J14</f>
        <v>1</v>
      </c>
    </row>
    <row r="15" spans="1:30" ht="99.7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6" t="s">
        <v>1691</v>
      </c>
      <c r="Q15" s="1349" t="str">
        <f t="shared" si="6"/>
        <v>居住社区成熟度</v>
      </c>
      <c r="R15" s="703" t="s">
        <v>14</v>
      </c>
      <c r="S15" s="704">
        <f t="shared" si="0"/>
        <v>100</v>
      </c>
      <c r="T15" s="703" t="s">
        <v>14</v>
      </c>
      <c r="U15" s="704">
        <f t="shared" si="1"/>
        <v>100</v>
      </c>
      <c r="V15" s="703" t="s">
        <v>14</v>
      </c>
      <c r="W15" s="704">
        <f t="shared" si="2"/>
        <v>100</v>
      </c>
      <c r="X15" s="1352"/>
      <c r="Y15" s="3696"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7"/>
      <c r="Q16" s="1349"/>
      <c r="R16" s="703"/>
      <c r="S16" s="704"/>
      <c r="T16" s="703"/>
      <c r="U16" s="704"/>
      <c r="V16" s="703"/>
      <c r="W16" s="704"/>
      <c r="X16" s="1352"/>
      <c r="Y16" s="3697"/>
      <c r="Z16" s="1353"/>
      <c r="AA16" s="1350">
        <v>1</v>
      </c>
      <c r="AB16" s="1350">
        <v>1</v>
      </c>
      <c r="AC16" s="1350">
        <v>1</v>
      </c>
    </row>
    <row r="17" spans="1:29" ht="71.25">
      <c r="A17" s="379"/>
      <c r="B17" s="402" t="s">
        <v>1777</v>
      </c>
      <c r="C17" s="1952">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7"/>
      <c r="Q17" s="1349" t="str">
        <f>B17</f>
        <v>商业繁华度</v>
      </c>
      <c r="R17" s="703" t="s">
        <v>14</v>
      </c>
      <c r="S17" s="704">
        <f>F17</f>
        <v>100</v>
      </c>
      <c r="T17" s="703" t="s">
        <v>14</v>
      </c>
      <c r="U17" s="704">
        <f>H17</f>
        <v>100</v>
      </c>
      <c r="V17" s="703" t="s">
        <v>14</v>
      </c>
      <c r="W17" s="704">
        <f>J17</f>
        <v>100</v>
      </c>
      <c r="X17" s="1352"/>
      <c r="Y17" s="3697"/>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7"/>
      <c r="Q18" s="1349"/>
      <c r="R18" s="703"/>
      <c r="S18" s="704"/>
      <c r="T18" s="703"/>
      <c r="U18" s="704"/>
      <c r="V18" s="703"/>
      <c r="W18" s="704"/>
      <c r="X18" s="1352"/>
      <c r="Y18" s="3697"/>
      <c r="Z18" s="1353"/>
      <c r="AA18" s="1350">
        <v>1</v>
      </c>
      <c r="AB18" s="1350">
        <v>1</v>
      </c>
      <c r="AC18" s="1350">
        <v>1</v>
      </c>
    </row>
    <row r="19" spans="1:29" ht="71.25">
      <c r="A19" s="379"/>
      <c r="B19" s="402" t="s">
        <v>1811</v>
      </c>
      <c r="C19" s="1952">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7"/>
      <c r="Q19" s="1349" t="str">
        <f>B19</f>
        <v>办公集聚程度</v>
      </c>
      <c r="R19" s="703" t="s">
        <v>14</v>
      </c>
      <c r="S19" s="704">
        <f>F19</f>
        <v>100</v>
      </c>
      <c r="T19" s="703" t="s">
        <v>14</v>
      </c>
      <c r="U19" s="704">
        <f>H19</f>
        <v>100</v>
      </c>
      <c r="V19" s="703" t="s">
        <v>14</v>
      </c>
      <c r="W19" s="704">
        <f>J19</f>
        <v>100</v>
      </c>
      <c r="X19" s="1352"/>
      <c r="Y19" s="3697"/>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7"/>
      <c r="Q20" s="1349"/>
      <c r="R20" s="703"/>
      <c r="S20" s="704"/>
      <c r="T20" s="703"/>
      <c r="U20" s="704"/>
      <c r="V20" s="703"/>
      <c r="W20" s="704"/>
      <c r="X20" s="1352"/>
      <c r="Y20" s="3697"/>
      <c r="Z20" s="1353"/>
      <c r="AA20" s="1350">
        <v>1</v>
      </c>
      <c r="AB20" s="1350">
        <v>1</v>
      </c>
      <c r="AC20" s="1350">
        <v>1</v>
      </c>
    </row>
    <row r="21" spans="1:29" ht="85.5">
      <c r="A21" s="379"/>
      <c r="B21" s="402" t="s">
        <v>1833</v>
      </c>
      <c r="C21" s="1897">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7"/>
      <c r="Q21" s="1349" t="str">
        <f>B21</f>
        <v>交通便捷度</v>
      </c>
      <c r="R21" s="703" t="s">
        <v>14</v>
      </c>
      <c r="S21" s="704">
        <f>F21</f>
        <v>100</v>
      </c>
      <c r="T21" s="703" t="s">
        <v>14</v>
      </c>
      <c r="U21" s="704">
        <f>H21</f>
        <v>100</v>
      </c>
      <c r="V21" s="703" t="s">
        <v>14</v>
      </c>
      <c r="W21" s="704">
        <f>J21</f>
        <v>100</v>
      </c>
      <c r="X21" s="1352"/>
      <c r="Y21" s="3697"/>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7"/>
      <c r="Q22" s="1349"/>
      <c r="R22" s="703"/>
      <c r="S22" s="704"/>
      <c r="T22" s="703"/>
      <c r="U22" s="704"/>
      <c r="V22" s="703"/>
      <c r="W22" s="704"/>
      <c r="X22" s="1352"/>
      <c r="Y22" s="3697"/>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7"/>
      <c r="Q23" s="1349" t="str">
        <f t="shared" ref="Q23:Q37" si="8">B23</f>
        <v>区域土地利用方向</v>
      </c>
      <c r="R23" s="703" t="s">
        <v>14</v>
      </c>
      <c r="S23" s="704">
        <f>F23</f>
        <v>100</v>
      </c>
      <c r="T23" s="703" t="s">
        <v>14</v>
      </c>
      <c r="U23" s="704">
        <f>H23</f>
        <v>100</v>
      </c>
      <c r="V23" s="703" t="s">
        <v>14</v>
      </c>
      <c r="W23" s="704">
        <f>J23</f>
        <v>100</v>
      </c>
      <c r="X23" s="1352"/>
      <c r="Y23" s="3697"/>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7"/>
      <c r="Q24" s="1349"/>
      <c r="R24" s="703"/>
      <c r="S24" s="704"/>
      <c r="T24" s="703"/>
      <c r="U24" s="704"/>
      <c r="V24" s="703"/>
      <c r="W24" s="704"/>
      <c r="X24" s="1352"/>
      <c r="Y24" s="3697"/>
      <c r="Z24" s="1353"/>
      <c r="AA24" s="1350"/>
      <c r="AB24" s="1350"/>
      <c r="AC24" s="1350"/>
    </row>
    <row r="25" spans="1:29" ht="57">
      <c r="A25" s="358"/>
      <c r="B25" s="1128" t="s">
        <v>1872</v>
      </c>
      <c r="C25" s="1952">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7"/>
      <c r="Q25" s="1349" t="str">
        <f t="shared" si="8"/>
        <v>自然及人文环境状况</v>
      </c>
      <c r="R25" s="703" t="s">
        <v>14</v>
      </c>
      <c r="S25" s="704">
        <f>F25</f>
        <v>100</v>
      </c>
      <c r="T25" s="703" t="s">
        <v>14</v>
      </c>
      <c r="U25" s="704">
        <f>H25</f>
        <v>100</v>
      </c>
      <c r="V25" s="703" t="s">
        <v>14</v>
      </c>
      <c r="W25" s="704">
        <f>J25</f>
        <v>100</v>
      </c>
      <c r="X25" s="1352"/>
      <c r="Y25" s="3697"/>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7"/>
      <c r="Q26" s="1349"/>
      <c r="R26" s="703"/>
      <c r="S26" s="704"/>
      <c r="T26" s="703"/>
      <c r="U26" s="704"/>
      <c r="V26" s="703"/>
      <c r="W26" s="704"/>
      <c r="X26" s="1352"/>
      <c r="Y26" s="3697"/>
      <c r="Z26" s="1353"/>
      <c r="AA26" s="1350">
        <v>1</v>
      </c>
      <c r="AB26" s="1350">
        <v>1</v>
      </c>
      <c r="AC26" s="1350">
        <v>1</v>
      </c>
    </row>
    <row r="27" spans="1:29" s="108" customFormat="1" ht="42.75">
      <c r="A27" s="597"/>
      <c r="B27" s="1128" t="s">
        <v>1778</v>
      </c>
      <c r="C27" s="1897">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7"/>
      <c r="Q27" s="1340" t="str">
        <f t="shared" si="8"/>
        <v>公共配套设施</v>
      </c>
      <c r="R27" s="699" t="s">
        <v>14</v>
      </c>
      <c r="S27" s="700">
        <f>F27</f>
        <v>100</v>
      </c>
      <c r="T27" s="699" t="s">
        <v>14</v>
      </c>
      <c r="U27" s="700">
        <f>H27</f>
        <v>100</v>
      </c>
      <c r="V27" s="699" t="s">
        <v>14</v>
      </c>
      <c r="W27" s="700">
        <f>J27</f>
        <v>100</v>
      </c>
      <c r="X27" s="701"/>
      <c r="Y27" s="3697"/>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7"/>
      <c r="Q28" s="1340"/>
      <c r="R28" s="699"/>
      <c r="S28" s="700"/>
      <c r="T28" s="699"/>
      <c r="U28" s="700"/>
      <c r="V28" s="699"/>
      <c r="W28" s="700"/>
      <c r="X28" s="701"/>
      <c r="Y28" s="3697"/>
      <c r="Z28" s="52"/>
      <c r="AA28" s="1350">
        <v>1</v>
      </c>
      <c r="AB28" s="1350">
        <v>1</v>
      </c>
      <c r="AC28" s="1350">
        <v>1</v>
      </c>
    </row>
    <row r="29" spans="1:29" s="108" customFormat="1" ht="28.5">
      <c r="A29" s="597"/>
      <c r="B29" s="1128" t="s">
        <v>1779</v>
      </c>
      <c r="C29" s="1897">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7"/>
      <c r="Q29" s="1340" t="str">
        <f t="shared" ref="Q29" si="9">B29</f>
        <v>基础设施水平</v>
      </c>
      <c r="R29" s="699" t="s">
        <v>14</v>
      </c>
      <c r="S29" s="700">
        <f>F29</f>
        <v>100</v>
      </c>
      <c r="T29" s="699" t="s">
        <v>14</v>
      </c>
      <c r="U29" s="700">
        <f>H29</f>
        <v>100</v>
      </c>
      <c r="V29" s="699" t="s">
        <v>14</v>
      </c>
      <c r="W29" s="700">
        <f>J29</f>
        <v>100</v>
      </c>
      <c r="X29" s="701"/>
      <c r="Y29" s="3697"/>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7"/>
      <c r="Q30" s="1340"/>
      <c r="R30" s="699"/>
      <c r="S30" s="700"/>
      <c r="T30" s="699"/>
      <c r="U30" s="700"/>
      <c r="V30" s="699"/>
      <c r="W30" s="700"/>
      <c r="X30" s="701"/>
      <c r="Y30" s="3697"/>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7"/>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7"/>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7"/>
      <c r="Q32" s="1349" t="str">
        <f t="shared" si="8"/>
        <v>毗邻道路的类型与等级</v>
      </c>
      <c r="R32" s="703" t="s">
        <v>14</v>
      </c>
      <c r="S32" s="704">
        <f t="shared" si="10"/>
        <v>100</v>
      </c>
      <c r="T32" s="703" t="s">
        <v>14</v>
      </c>
      <c r="U32" s="704">
        <f t="shared" si="11"/>
        <v>100</v>
      </c>
      <c r="V32" s="703" t="s">
        <v>14</v>
      </c>
      <c r="W32" s="704">
        <f t="shared" si="12"/>
        <v>100</v>
      </c>
      <c r="X32" s="1352"/>
      <c r="Y32" s="3697"/>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7"/>
      <c r="Q33" s="1349"/>
      <c r="R33" s="703"/>
      <c r="S33" s="704"/>
      <c r="T33" s="703"/>
      <c r="U33" s="704"/>
      <c r="V33" s="703"/>
      <c r="W33" s="704"/>
      <c r="X33" s="1352"/>
      <c r="Y33" s="3697"/>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7"/>
      <c r="Q34" s="1349" t="str">
        <f t="shared" si="8"/>
        <v>土地级别</v>
      </c>
      <c r="R34" s="703" t="s">
        <v>14</v>
      </c>
      <c r="S34" s="704">
        <f t="shared" si="10"/>
        <v>100</v>
      </c>
      <c r="T34" s="703" t="s">
        <v>14</v>
      </c>
      <c r="U34" s="704">
        <f t="shared" si="11"/>
        <v>100</v>
      </c>
      <c r="V34" s="703" t="s">
        <v>14</v>
      </c>
      <c r="W34" s="704">
        <f t="shared" si="12"/>
        <v>100</v>
      </c>
      <c r="X34" s="1352"/>
      <c r="Y34" s="3697"/>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7"/>
      <c r="Q35" s="1349">
        <f t="shared" si="8"/>
        <v>111</v>
      </c>
      <c r="R35" s="703" t="s">
        <v>14</v>
      </c>
      <c r="S35" s="704">
        <f t="shared" si="10"/>
        <v>100</v>
      </c>
      <c r="T35" s="703" t="s">
        <v>14</v>
      </c>
      <c r="U35" s="704">
        <f t="shared" si="11"/>
        <v>100</v>
      </c>
      <c r="V35" s="703" t="s">
        <v>14</v>
      </c>
      <c r="W35" s="704">
        <f t="shared" si="12"/>
        <v>100</v>
      </c>
      <c r="X35" s="1352"/>
      <c r="Y35" s="3697"/>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0" t="s">
        <v>1696</v>
      </c>
      <c r="Q36" s="1349">
        <f t="shared" si="8"/>
        <v>111</v>
      </c>
      <c r="R36" s="703" t="s">
        <v>14</v>
      </c>
      <c r="S36" s="704">
        <f t="shared" si="10"/>
        <v>100</v>
      </c>
      <c r="T36" s="703" t="s">
        <v>14</v>
      </c>
      <c r="U36" s="704">
        <f t="shared" si="11"/>
        <v>100</v>
      </c>
      <c r="V36" s="703" t="s">
        <v>14</v>
      </c>
      <c r="W36" s="704">
        <f t="shared" si="12"/>
        <v>100</v>
      </c>
      <c r="X36" s="1352"/>
      <c r="Y36" s="3701"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1"/>
      <c r="Q37" s="1349">
        <f t="shared" si="8"/>
        <v>111</v>
      </c>
      <c r="R37" s="706" t="s">
        <v>14</v>
      </c>
      <c r="S37" s="707">
        <f t="shared" si="10"/>
        <v>100</v>
      </c>
      <c r="T37" s="706" t="s">
        <v>14</v>
      </c>
      <c r="U37" s="707">
        <f t="shared" si="11"/>
        <v>100</v>
      </c>
      <c r="V37" s="706" t="s">
        <v>14</v>
      </c>
      <c r="W37" s="707">
        <f t="shared" si="12"/>
        <v>100</v>
      </c>
      <c r="X37" s="708"/>
      <c r="Y37" s="3701"/>
      <c r="Z37" s="709">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1"/>
      <c r="Q38" s="1349" t="str">
        <f>B38</f>
        <v>宗地面积</v>
      </c>
      <c r="R38" s="703" t="s">
        <v>14</v>
      </c>
      <c r="S38" s="704" t="e">
        <f t="shared" si="10"/>
        <v>#N/A</v>
      </c>
      <c r="T38" s="703" t="s">
        <v>14</v>
      </c>
      <c r="U38" s="704" t="e">
        <f t="shared" si="11"/>
        <v>#N/A</v>
      </c>
      <c r="V38" s="703" t="s">
        <v>14</v>
      </c>
      <c r="W38" s="704" t="e">
        <f t="shared" si="12"/>
        <v>#N/A</v>
      </c>
      <c r="X38" s="1352"/>
      <c r="Y38" s="3701"/>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01"/>
      <c r="Q39" s="1349" t="str">
        <f t="shared" ref="Q39:Q45" si="14">B39</f>
        <v>宗地形状</v>
      </c>
      <c r="R39" s="703" t="s">
        <v>14</v>
      </c>
      <c r="S39" s="704">
        <f t="shared" si="10"/>
        <v>100</v>
      </c>
      <c r="T39" s="703" t="s">
        <v>14</v>
      </c>
      <c r="U39" s="704">
        <f t="shared" si="11"/>
        <v>100</v>
      </c>
      <c r="V39" s="703" t="s">
        <v>14</v>
      </c>
      <c r="W39" s="704">
        <f t="shared" si="12"/>
        <v>100</v>
      </c>
      <c r="X39" s="1352"/>
      <c r="Y39" s="3701"/>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01"/>
      <c r="Q40" s="1349" t="str">
        <f t="shared" si="14"/>
        <v>临街宽度及深度</v>
      </c>
      <c r="R40" s="703" t="s">
        <v>14</v>
      </c>
      <c r="S40" s="704">
        <f t="shared" si="10"/>
        <v>100</v>
      </c>
      <c r="T40" s="703" t="s">
        <v>14</v>
      </c>
      <c r="U40" s="704">
        <f t="shared" si="11"/>
        <v>100</v>
      </c>
      <c r="V40" s="703" t="s">
        <v>14</v>
      </c>
      <c r="W40" s="704">
        <f t="shared" si="12"/>
        <v>100</v>
      </c>
      <c r="X40" s="1352"/>
      <c r="Y40" s="3701"/>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01"/>
      <c r="Q41" s="1349" t="str">
        <f t="shared" si="14"/>
        <v>宗地开发程度</v>
      </c>
      <c r="R41" s="699" t="s">
        <v>14</v>
      </c>
      <c r="S41" s="700">
        <f t="shared" si="10"/>
        <v>100</v>
      </c>
      <c r="T41" s="699" t="s">
        <v>14</v>
      </c>
      <c r="U41" s="700">
        <f t="shared" si="11"/>
        <v>100</v>
      </c>
      <c r="V41" s="699" t="s">
        <v>14</v>
      </c>
      <c r="W41" s="700">
        <f t="shared" si="12"/>
        <v>100</v>
      </c>
      <c r="X41" s="701"/>
      <c r="Y41" s="3701"/>
      <c r="Z41" s="52" t="str">
        <f t="shared" si="13"/>
        <v>宗地开发程度</v>
      </c>
      <c r="AA41" s="702">
        <f t="shared" si="3"/>
        <v>1</v>
      </c>
      <c r="AB41" s="702">
        <f t="shared" si="4"/>
        <v>1</v>
      </c>
      <c r="AC41" s="702">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01" t="s">
        <v>1696</v>
      </c>
      <c r="Q42" s="1349" t="str">
        <f t="shared" si="14"/>
        <v>工程地质条件</v>
      </c>
      <c r="R42" s="703" t="s">
        <v>14</v>
      </c>
      <c r="S42" s="704">
        <f t="shared" si="10"/>
        <v>100</v>
      </c>
      <c r="T42" s="703" t="s">
        <v>14</v>
      </c>
      <c r="U42" s="704">
        <f t="shared" si="11"/>
        <v>100</v>
      </c>
      <c r="V42" s="703" t="s">
        <v>14</v>
      </c>
      <c r="W42" s="704">
        <f t="shared" si="12"/>
        <v>100</v>
      </c>
      <c r="X42" s="1352"/>
      <c r="Y42" s="3701"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1"/>
      <c r="Q43" s="1349">
        <f t="shared" si="14"/>
        <v>111</v>
      </c>
      <c r="R43" s="703" t="s">
        <v>14</v>
      </c>
      <c r="S43" s="704">
        <f t="shared" si="10"/>
        <v>100</v>
      </c>
      <c r="T43" s="703" t="s">
        <v>14</v>
      </c>
      <c r="U43" s="704">
        <f t="shared" si="11"/>
        <v>100</v>
      </c>
      <c r="V43" s="703" t="s">
        <v>14</v>
      </c>
      <c r="W43" s="704">
        <f t="shared" si="12"/>
        <v>100</v>
      </c>
      <c r="X43" s="1352"/>
      <c r="Y43" s="3701"/>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1"/>
      <c r="Q44" s="1349">
        <f t="shared" si="14"/>
        <v>111</v>
      </c>
      <c r="R44" s="703" t="s">
        <v>14</v>
      </c>
      <c r="S44" s="704">
        <f t="shared" si="10"/>
        <v>100</v>
      </c>
      <c r="T44" s="703" t="s">
        <v>14</v>
      </c>
      <c r="U44" s="704">
        <f t="shared" si="11"/>
        <v>100</v>
      </c>
      <c r="V44" s="703" t="s">
        <v>14</v>
      </c>
      <c r="W44" s="704">
        <f t="shared" si="12"/>
        <v>100</v>
      </c>
      <c r="X44" s="1352"/>
      <c r="Y44" s="3701"/>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1"/>
      <c r="Q45" s="1349">
        <f t="shared" si="14"/>
        <v>111</v>
      </c>
      <c r="R45" s="706" t="s">
        <v>14</v>
      </c>
      <c r="S45" s="707">
        <f t="shared" si="10"/>
        <v>100</v>
      </c>
      <c r="T45" s="706" t="s">
        <v>14</v>
      </c>
      <c r="U45" s="707">
        <f t="shared" si="11"/>
        <v>100</v>
      </c>
      <c r="V45" s="706" t="s">
        <v>14</v>
      </c>
      <c r="W45" s="707">
        <f t="shared" si="12"/>
        <v>100</v>
      </c>
      <c r="X45" s="708"/>
      <c r="Y45" s="3701"/>
      <c r="Z45" s="709">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2"/>
      <c r="L46" s="2721"/>
      <c r="M46" s="2722"/>
      <c r="N46" s="2713"/>
      <c r="O46" s="2722"/>
      <c r="P46" s="3694" t="str">
        <f>A46</f>
        <v>成交单价</v>
      </c>
      <c r="Q46" s="3694"/>
      <c r="R46" s="3689">
        <f>E46</f>
        <v>0</v>
      </c>
      <c r="S46" s="3689"/>
      <c r="T46" s="3689">
        <f>G46</f>
        <v>0</v>
      </c>
      <c r="U46" s="3689"/>
      <c r="V46" s="3689">
        <f>I46</f>
        <v>0</v>
      </c>
      <c r="W46" s="3689"/>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694" t="str">
        <f>A47</f>
        <v>比较价值（元/平方米）</v>
      </c>
      <c r="Q47" s="3694"/>
      <c r="R47" s="3722" t="e">
        <f>ROUND(PRODUCT(R46,AA7:AA45),0)</f>
        <v>#DIV/0!</v>
      </c>
      <c r="S47" s="3722"/>
      <c r="T47" s="3722" t="e">
        <f>ROUND(PRODUCT(T46,AB7:AB45),0)</f>
        <v>#DIV/0!</v>
      </c>
      <c r="U47" s="3722"/>
      <c r="V47" s="3722" t="e">
        <f>ROUND(PRODUCT(V46,AC7:AC45),0)</f>
        <v>#DIV/0!</v>
      </c>
      <c r="W47" s="372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91" t="str">
        <f>A48</f>
        <v>估价对象XX用房的比较价值（楼面单价，元/平方米）</v>
      </c>
      <c r="Q48" s="3692"/>
      <c r="R48" s="3723" t="e">
        <f>ROUND(IF(D47="简单平均",AVERAGE(R47:W47),R47*F47+T47*H47+V47*J47),0)</f>
        <v>#DIV/0!</v>
      </c>
      <c r="S48" s="3723"/>
      <c r="T48" s="3723"/>
      <c r="U48" s="3723"/>
      <c r="V48" s="3723"/>
      <c r="W48" s="372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8" t="s">
        <v>1886</v>
      </c>
      <c r="G55" s="3677" t="s">
        <v>1887</v>
      </c>
      <c r="H55" s="3724"/>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24865.040000000005</v>
      </c>
      <c r="F56" s="884" t="e">
        <f t="shared" ref="F56:F64" si="15">ROUND(B56*E56/10000,0)</f>
        <v>#DIV/0!</v>
      </c>
      <c r="G56" s="3676"/>
      <c r="H56" s="3694"/>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24865.040000000005</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77" t="s">
        <v>1770</v>
      </c>
      <c r="D4" s="3678"/>
      <c r="E4" s="3679" t="s">
        <v>1771</v>
      </c>
      <c r="F4" s="3680"/>
      <c r="G4" s="3677" t="s">
        <v>1772</v>
      </c>
      <c r="H4" s="3678"/>
      <c r="I4" s="3677" t="s">
        <v>1773</v>
      </c>
      <c r="J4" s="3678"/>
      <c r="K4" s="559" t="s">
        <v>1774</v>
      </c>
      <c r="L4" s="2712"/>
      <c r="M4" s="2713"/>
      <c r="N4" s="2713"/>
      <c r="O4" s="2713"/>
      <c r="P4" s="3681" t="s">
        <v>1775</v>
      </c>
      <c r="Q4" s="3682"/>
      <c r="R4" s="3664" t="s">
        <v>1771</v>
      </c>
      <c r="S4" s="3665"/>
      <c r="T4" s="3664" t="s">
        <v>1772</v>
      </c>
      <c r="U4" s="3665"/>
      <c r="V4" s="3689" t="s">
        <v>1773</v>
      </c>
      <c r="W4" s="3689"/>
      <c r="X4" s="1352"/>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2"/>
      <c r="M5" s="2713"/>
      <c r="N5" s="2713"/>
      <c r="O5" s="2713"/>
      <c r="P5" s="3683"/>
      <c r="Q5" s="3684"/>
      <c r="R5" s="3666"/>
      <c r="S5" s="3667"/>
      <c r="T5" s="3666"/>
      <c r="U5" s="3667"/>
      <c r="V5" s="3689"/>
      <c r="W5" s="3689"/>
      <c r="X5" s="1352"/>
      <c r="Y5" s="3666"/>
      <c r="Z5" s="3667"/>
      <c r="AA5" s="3660"/>
      <c r="AB5" s="3660"/>
      <c r="AC5" s="3660"/>
    </row>
    <row r="6" spans="1:29" ht="15.75" thickBot="1">
      <c r="A6" s="360"/>
      <c r="B6" s="361"/>
      <c r="C6" s="3725" t="s">
        <v>1919</v>
      </c>
      <c r="D6" s="3726"/>
      <c r="E6" s="3727" t="s">
        <v>1919</v>
      </c>
      <c r="F6" s="3728"/>
      <c r="G6" s="3725" t="s">
        <v>1919</v>
      </c>
      <c r="H6" s="3726"/>
      <c r="I6" s="3725" t="s">
        <v>1919</v>
      </c>
      <c r="J6" s="3726"/>
      <c r="K6" s="559" t="s">
        <v>1678</v>
      </c>
      <c r="L6" s="2712"/>
      <c r="M6" s="2713"/>
      <c r="N6" s="2713"/>
      <c r="O6" s="2713"/>
      <c r="P6" s="3685"/>
      <c r="Q6" s="3686"/>
      <c r="R6" s="3666"/>
      <c r="S6" s="3667"/>
      <c r="T6" s="3687"/>
      <c r="U6" s="3688"/>
      <c r="V6" s="3689"/>
      <c r="W6" s="3689"/>
      <c r="X6" s="1352"/>
      <c r="Y6" s="3687"/>
      <c r="Z6" s="3688"/>
      <c r="AA6" s="3661"/>
      <c r="AB6" s="3661"/>
      <c r="AC6" s="3661"/>
    </row>
    <row r="7" spans="1:29" s="108" customFormat="1" ht="15.75" thickBot="1">
      <c r="A7" s="362" t="s">
        <v>1679</v>
      </c>
      <c r="B7" s="363"/>
      <c r="C7" s="364">
        <f>'数据-取费表'!B2</f>
        <v>45161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62" t="s">
        <v>1680</v>
      </c>
      <c r="Q7" s="3690"/>
      <c r="R7" s="699" t="s">
        <v>14</v>
      </c>
      <c r="S7" s="700">
        <f t="shared" ref="S7:S15" si="0">F7</f>
        <v>0</v>
      </c>
      <c r="T7" s="699" t="s">
        <v>14</v>
      </c>
      <c r="U7" s="700">
        <f t="shared" ref="U7:U15" si="1">H7</f>
        <v>0</v>
      </c>
      <c r="V7" s="699" t="s">
        <v>14</v>
      </c>
      <c r="W7" s="700">
        <f t="shared" ref="W7:W15" si="2">J7</f>
        <v>0</v>
      </c>
      <c r="X7" s="701"/>
      <c r="Y7" s="3662" t="s">
        <v>1680</v>
      </c>
      <c r="Z7" s="366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2" t="s">
        <v>1683</v>
      </c>
      <c r="Q8" s="3663"/>
      <c r="R8" s="699" t="s">
        <v>14</v>
      </c>
      <c r="S8" s="700">
        <f t="shared" si="0"/>
        <v>0</v>
      </c>
      <c r="T8" s="699" t="s">
        <v>14</v>
      </c>
      <c r="U8" s="700">
        <f t="shared" si="1"/>
        <v>0</v>
      </c>
      <c r="V8" s="699" t="s">
        <v>14</v>
      </c>
      <c r="W8" s="700">
        <f t="shared" si="2"/>
        <v>0</v>
      </c>
      <c r="X8" s="701"/>
      <c r="Y8" s="3662" t="s">
        <v>1683</v>
      </c>
      <c r="Z8" s="3663"/>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94" t="s">
        <v>1686</v>
      </c>
      <c r="Q9" s="1340" t="str">
        <f t="shared" ref="Q9:Q15" si="6">B9</f>
        <v>用途</v>
      </c>
      <c r="R9" s="699" t="s">
        <v>14</v>
      </c>
      <c r="S9" s="700">
        <f t="shared" si="0"/>
        <v>100</v>
      </c>
      <c r="T9" s="699" t="s">
        <v>14</v>
      </c>
      <c r="U9" s="700">
        <f t="shared" si="1"/>
        <v>100</v>
      </c>
      <c r="V9" s="699" t="s">
        <v>14</v>
      </c>
      <c r="W9" s="700">
        <f t="shared" si="2"/>
        <v>100</v>
      </c>
      <c r="X9" s="701"/>
      <c r="Y9" s="360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6"/>
      <c r="M10" s="2717"/>
      <c r="N10" s="2717"/>
      <c r="O10" s="2770"/>
      <c r="P10" s="3694"/>
      <c r="Q10" s="1340" t="str">
        <f t="shared" si="6"/>
        <v>土地使用年限（年）</v>
      </c>
      <c r="R10" s="699" t="s">
        <v>14</v>
      </c>
      <c r="S10" s="700">
        <f t="shared" si="0"/>
        <v>123</v>
      </c>
      <c r="T10" s="699" t="s">
        <v>14</v>
      </c>
      <c r="U10" s="700">
        <f t="shared" si="1"/>
        <v>123</v>
      </c>
      <c r="V10" s="699" t="s">
        <v>14</v>
      </c>
      <c r="W10" s="700">
        <f t="shared" si="2"/>
        <v>123</v>
      </c>
      <c r="X10" s="701"/>
      <c r="Y10" s="3606"/>
      <c r="Z10" s="52" t="str">
        <f t="shared" si="7"/>
        <v>土地使用年限（年）</v>
      </c>
      <c r="AA10" s="702">
        <f t="shared" si="3"/>
        <v>0.81300813008130079</v>
      </c>
      <c r="AB10" s="702">
        <f t="shared" si="4"/>
        <v>0.81300813008130079</v>
      </c>
      <c r="AC10" s="702">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4"/>
      <c r="Q11" s="1340" t="str">
        <f t="shared" si="6"/>
        <v>容积率</v>
      </c>
      <c r="R11" s="699" t="s">
        <v>14</v>
      </c>
      <c r="S11" s="700" t="e">
        <f t="shared" si="0"/>
        <v>#N/A</v>
      </c>
      <c r="T11" s="699" t="s">
        <v>14</v>
      </c>
      <c r="U11" s="700" t="e">
        <f t="shared" si="1"/>
        <v>#N/A</v>
      </c>
      <c r="V11" s="699" t="s">
        <v>14</v>
      </c>
      <c r="W11" s="700" t="e">
        <f t="shared" si="2"/>
        <v>#N/A</v>
      </c>
      <c r="X11" s="701"/>
      <c r="Y11" s="3606"/>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4"/>
      <c r="Q12" s="1340">
        <f t="shared" si="6"/>
        <v>111</v>
      </c>
      <c r="R12" s="699" t="s">
        <v>14</v>
      </c>
      <c r="S12" s="700">
        <f t="shared" si="0"/>
        <v>100</v>
      </c>
      <c r="T12" s="699" t="s">
        <v>14</v>
      </c>
      <c r="U12" s="700">
        <f t="shared" si="1"/>
        <v>100</v>
      </c>
      <c r="V12" s="699" t="s">
        <v>14</v>
      </c>
      <c r="W12" s="700">
        <f t="shared" si="2"/>
        <v>100</v>
      </c>
      <c r="X12" s="701"/>
      <c r="Y12" s="3606"/>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4"/>
      <c r="Q13" s="1340">
        <f t="shared" si="6"/>
        <v>111</v>
      </c>
      <c r="R13" s="699" t="s">
        <v>14</v>
      </c>
      <c r="S13" s="700">
        <f t="shared" si="0"/>
        <v>100</v>
      </c>
      <c r="T13" s="699" t="s">
        <v>14</v>
      </c>
      <c r="U13" s="700">
        <f t="shared" si="1"/>
        <v>100</v>
      </c>
      <c r="V13" s="699" t="s">
        <v>14</v>
      </c>
      <c r="W13" s="700">
        <f t="shared" si="2"/>
        <v>100</v>
      </c>
      <c r="X13" s="701"/>
      <c r="Y13" s="3606"/>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4"/>
      <c r="Q14" s="1340">
        <f t="shared" si="6"/>
        <v>111</v>
      </c>
      <c r="R14" s="699" t="s">
        <v>14</v>
      </c>
      <c r="S14" s="700">
        <f t="shared" si="0"/>
        <v>100</v>
      </c>
      <c r="T14" s="699" t="s">
        <v>14</v>
      </c>
      <c r="U14" s="700">
        <f t="shared" si="1"/>
        <v>100</v>
      </c>
      <c r="V14" s="699" t="s">
        <v>14</v>
      </c>
      <c r="W14" s="700">
        <f t="shared" si="2"/>
        <v>100</v>
      </c>
      <c r="X14" s="701"/>
      <c r="Y14" s="3606"/>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6" t="s">
        <v>1691</v>
      </c>
      <c r="Q15" s="1349" t="str">
        <f t="shared" si="6"/>
        <v>产业集聚程度</v>
      </c>
      <c r="R15" s="703" t="s">
        <v>14</v>
      </c>
      <c r="S15" s="704">
        <f t="shared" si="0"/>
        <v>100</v>
      </c>
      <c r="T15" s="703" t="s">
        <v>14</v>
      </c>
      <c r="U15" s="704">
        <f t="shared" si="1"/>
        <v>100</v>
      </c>
      <c r="V15" s="703" t="s">
        <v>14</v>
      </c>
      <c r="W15" s="704">
        <f t="shared" si="2"/>
        <v>100</v>
      </c>
      <c r="X15" s="1352"/>
      <c r="Y15" s="3696"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7"/>
      <c r="Q16" s="1349"/>
      <c r="R16" s="703"/>
      <c r="S16" s="704"/>
      <c r="T16" s="703"/>
      <c r="U16" s="704"/>
      <c r="V16" s="703"/>
      <c r="W16" s="704"/>
      <c r="X16" s="1352"/>
      <c r="Y16" s="3697"/>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7"/>
      <c r="Q17" s="1349" t="str">
        <f>B17</f>
        <v>交通便捷度</v>
      </c>
      <c r="R17" s="703" t="s">
        <v>14</v>
      </c>
      <c r="S17" s="704">
        <f>F17</f>
        <v>100</v>
      </c>
      <c r="T17" s="703" t="s">
        <v>14</v>
      </c>
      <c r="U17" s="704">
        <f>H17</f>
        <v>100</v>
      </c>
      <c r="V17" s="703" t="s">
        <v>14</v>
      </c>
      <c r="W17" s="704">
        <f>J17</f>
        <v>100</v>
      </c>
      <c r="X17" s="1352"/>
      <c r="Y17" s="3697"/>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7"/>
      <c r="Q18" s="1349"/>
      <c r="R18" s="703"/>
      <c r="S18" s="704"/>
      <c r="T18" s="703"/>
      <c r="U18" s="704"/>
      <c r="V18" s="703"/>
      <c r="W18" s="704"/>
      <c r="X18" s="1352"/>
      <c r="Y18" s="3697"/>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7"/>
      <c r="Q19" s="1349" t="str">
        <f t="shared" ref="Q19:Q33" si="8">B19</f>
        <v>区域土地利用方向</v>
      </c>
      <c r="R19" s="703" t="s">
        <v>14</v>
      </c>
      <c r="S19" s="704">
        <f>F19</f>
        <v>100</v>
      </c>
      <c r="T19" s="703" t="s">
        <v>14</v>
      </c>
      <c r="U19" s="704">
        <f>H19</f>
        <v>100</v>
      </c>
      <c r="V19" s="703" t="s">
        <v>14</v>
      </c>
      <c r="W19" s="704">
        <f>J19</f>
        <v>100</v>
      </c>
      <c r="X19" s="1352"/>
      <c r="Y19" s="3697"/>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7"/>
      <c r="Q20" s="1349"/>
      <c r="R20" s="703"/>
      <c r="S20" s="704"/>
      <c r="T20" s="703"/>
      <c r="U20" s="704"/>
      <c r="V20" s="703"/>
      <c r="W20" s="704"/>
      <c r="X20" s="1352"/>
      <c r="Y20" s="3697"/>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7"/>
      <c r="Q21" s="1349" t="str">
        <f t="shared" si="8"/>
        <v>环境状况</v>
      </c>
      <c r="R21" s="703" t="s">
        <v>14</v>
      </c>
      <c r="S21" s="704">
        <f>F21</f>
        <v>100</v>
      </c>
      <c r="T21" s="703" t="s">
        <v>14</v>
      </c>
      <c r="U21" s="704">
        <f>H21</f>
        <v>100</v>
      </c>
      <c r="V21" s="703" t="s">
        <v>14</v>
      </c>
      <c r="W21" s="704">
        <f>J21</f>
        <v>100</v>
      </c>
      <c r="X21" s="1352"/>
      <c r="Y21" s="3697"/>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7"/>
      <c r="Q22" s="1349"/>
      <c r="R22" s="703"/>
      <c r="S22" s="704"/>
      <c r="T22" s="703"/>
      <c r="U22" s="704"/>
      <c r="V22" s="703"/>
      <c r="W22" s="704"/>
      <c r="X22" s="1352"/>
      <c r="Y22" s="3697"/>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7"/>
      <c r="Q23" s="1340" t="str">
        <f t="shared" si="8"/>
        <v>公共配套设施</v>
      </c>
      <c r="R23" s="699" t="s">
        <v>14</v>
      </c>
      <c r="S23" s="700">
        <f>F23</f>
        <v>100</v>
      </c>
      <c r="T23" s="699" t="s">
        <v>14</v>
      </c>
      <c r="U23" s="700">
        <f>H23</f>
        <v>100</v>
      </c>
      <c r="V23" s="699" t="s">
        <v>14</v>
      </c>
      <c r="W23" s="700">
        <f>J23</f>
        <v>100</v>
      </c>
      <c r="X23" s="701"/>
      <c r="Y23" s="3697"/>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7"/>
      <c r="Q24" s="1340"/>
      <c r="R24" s="699"/>
      <c r="S24" s="700"/>
      <c r="T24" s="699"/>
      <c r="U24" s="700"/>
      <c r="V24" s="699"/>
      <c r="W24" s="700"/>
      <c r="X24" s="701"/>
      <c r="Y24" s="3697"/>
      <c r="Z24" s="52"/>
      <c r="AA24" s="702">
        <v>1</v>
      </c>
      <c r="AB24" s="702">
        <v>1</v>
      </c>
      <c r="AC24" s="702">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7"/>
      <c r="Q25" s="1340" t="str">
        <f t="shared" ref="Q25" si="9">B25</f>
        <v>基础设施水平</v>
      </c>
      <c r="R25" s="699" t="s">
        <v>14</v>
      </c>
      <c r="S25" s="700">
        <f>F25</f>
        <v>100</v>
      </c>
      <c r="T25" s="699" t="s">
        <v>14</v>
      </c>
      <c r="U25" s="700">
        <f>H25</f>
        <v>100</v>
      </c>
      <c r="V25" s="699" t="s">
        <v>14</v>
      </c>
      <c r="W25" s="700">
        <f>J25</f>
        <v>100</v>
      </c>
      <c r="X25" s="701"/>
      <c r="Y25" s="3697"/>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7"/>
      <c r="Q26" s="1340"/>
      <c r="R26" s="699"/>
      <c r="S26" s="700"/>
      <c r="T26" s="699"/>
      <c r="U26" s="700"/>
      <c r="V26" s="699"/>
      <c r="W26" s="700"/>
      <c r="X26" s="701"/>
      <c r="Y26" s="3697"/>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7"/>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7"/>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7"/>
      <c r="Q28" s="1349" t="str">
        <f t="shared" si="8"/>
        <v>毗邻道路的类型与等级</v>
      </c>
      <c r="R28" s="703" t="s">
        <v>14</v>
      </c>
      <c r="S28" s="704">
        <f t="shared" si="10"/>
        <v>100</v>
      </c>
      <c r="T28" s="703" t="s">
        <v>14</v>
      </c>
      <c r="U28" s="704">
        <f t="shared" si="11"/>
        <v>100</v>
      </c>
      <c r="V28" s="703" t="s">
        <v>14</v>
      </c>
      <c r="W28" s="704">
        <f t="shared" si="12"/>
        <v>100</v>
      </c>
      <c r="X28" s="1352"/>
      <c r="Y28" s="3697"/>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7"/>
      <c r="Q29" s="1349"/>
      <c r="R29" s="703"/>
      <c r="S29" s="704"/>
      <c r="T29" s="703"/>
      <c r="U29" s="704"/>
      <c r="V29" s="703"/>
      <c r="W29" s="704"/>
      <c r="X29" s="1352"/>
      <c r="Y29" s="3697"/>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7"/>
      <c r="Q30" s="1349" t="str">
        <f t="shared" si="8"/>
        <v>土地级别</v>
      </c>
      <c r="R30" s="703" t="s">
        <v>14</v>
      </c>
      <c r="S30" s="704">
        <f t="shared" si="10"/>
        <v>100</v>
      </c>
      <c r="T30" s="703" t="s">
        <v>14</v>
      </c>
      <c r="U30" s="704">
        <f t="shared" si="11"/>
        <v>100</v>
      </c>
      <c r="V30" s="703" t="s">
        <v>14</v>
      </c>
      <c r="W30" s="704">
        <f t="shared" si="12"/>
        <v>100</v>
      </c>
      <c r="X30" s="1352"/>
      <c r="Y30" s="3697"/>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7"/>
      <c r="Q31" s="1349">
        <f t="shared" si="8"/>
        <v>111</v>
      </c>
      <c r="R31" s="703" t="s">
        <v>14</v>
      </c>
      <c r="S31" s="704">
        <f t="shared" si="10"/>
        <v>100</v>
      </c>
      <c r="T31" s="703" t="s">
        <v>14</v>
      </c>
      <c r="U31" s="704">
        <f t="shared" si="11"/>
        <v>100</v>
      </c>
      <c r="V31" s="703" t="s">
        <v>14</v>
      </c>
      <c r="W31" s="704">
        <f t="shared" si="12"/>
        <v>100</v>
      </c>
      <c r="X31" s="1352"/>
      <c r="Y31" s="3697"/>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0" t="s">
        <v>1696</v>
      </c>
      <c r="Q32" s="1349">
        <f t="shared" si="8"/>
        <v>111</v>
      </c>
      <c r="R32" s="703" t="s">
        <v>14</v>
      </c>
      <c r="S32" s="704">
        <f t="shared" si="10"/>
        <v>100</v>
      </c>
      <c r="T32" s="703" t="s">
        <v>14</v>
      </c>
      <c r="U32" s="704">
        <f t="shared" si="11"/>
        <v>100</v>
      </c>
      <c r="V32" s="703" t="s">
        <v>14</v>
      </c>
      <c r="W32" s="704">
        <f t="shared" si="12"/>
        <v>100</v>
      </c>
      <c r="X32" s="1352"/>
      <c r="Y32" s="3701"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1"/>
      <c r="Q33" s="1349">
        <f t="shared" si="8"/>
        <v>111</v>
      </c>
      <c r="R33" s="706" t="s">
        <v>14</v>
      </c>
      <c r="S33" s="707">
        <f t="shared" si="10"/>
        <v>100</v>
      </c>
      <c r="T33" s="706" t="s">
        <v>14</v>
      </c>
      <c r="U33" s="707">
        <f t="shared" si="11"/>
        <v>100</v>
      </c>
      <c r="V33" s="706" t="s">
        <v>14</v>
      </c>
      <c r="W33" s="707">
        <f t="shared" si="12"/>
        <v>100</v>
      </c>
      <c r="X33" s="708"/>
      <c r="Y33" s="3701"/>
      <c r="Z33" s="709">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1"/>
      <c r="Q34" s="1349" t="str">
        <f>B34</f>
        <v>宗地面积</v>
      </c>
      <c r="R34" s="703" t="s">
        <v>14</v>
      </c>
      <c r="S34" s="704" t="e">
        <f t="shared" si="10"/>
        <v>#N/A</v>
      </c>
      <c r="T34" s="703" t="s">
        <v>14</v>
      </c>
      <c r="U34" s="704" t="e">
        <f t="shared" si="11"/>
        <v>#N/A</v>
      </c>
      <c r="V34" s="703" t="s">
        <v>14</v>
      </c>
      <c r="W34" s="704" t="e">
        <f t="shared" si="12"/>
        <v>#N/A</v>
      </c>
      <c r="X34" s="1352"/>
      <c r="Y34" s="3701"/>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01"/>
      <c r="Q35" s="1349" t="str">
        <f t="shared" ref="Q35:Q40" si="14">B35</f>
        <v>宗地形状</v>
      </c>
      <c r="R35" s="703" t="s">
        <v>14</v>
      </c>
      <c r="S35" s="704">
        <f t="shared" si="10"/>
        <v>100</v>
      </c>
      <c r="T35" s="703" t="s">
        <v>14</v>
      </c>
      <c r="U35" s="704">
        <f t="shared" si="11"/>
        <v>100</v>
      </c>
      <c r="V35" s="703" t="s">
        <v>14</v>
      </c>
      <c r="W35" s="704">
        <f t="shared" si="12"/>
        <v>100</v>
      </c>
      <c r="X35" s="1352"/>
      <c r="Y35" s="3701"/>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01"/>
      <c r="Q36" s="1349" t="str">
        <f t="shared" si="14"/>
        <v>宗地开发程度</v>
      </c>
      <c r="R36" s="699" t="s">
        <v>14</v>
      </c>
      <c r="S36" s="700">
        <f t="shared" si="10"/>
        <v>100</v>
      </c>
      <c r="T36" s="699" t="s">
        <v>14</v>
      </c>
      <c r="U36" s="700">
        <f t="shared" si="11"/>
        <v>100</v>
      </c>
      <c r="V36" s="699" t="s">
        <v>14</v>
      </c>
      <c r="W36" s="700">
        <f t="shared" si="12"/>
        <v>100</v>
      </c>
      <c r="X36" s="701"/>
      <c r="Y36" s="3701"/>
      <c r="Z36" s="52" t="str">
        <f t="shared" si="13"/>
        <v>宗地开发程度</v>
      </c>
      <c r="AA36" s="702">
        <f t="shared" si="3"/>
        <v>1</v>
      </c>
      <c r="AB36" s="702">
        <f t="shared" si="4"/>
        <v>1</v>
      </c>
      <c r="AC36" s="702">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01" t="s">
        <v>1696</v>
      </c>
      <c r="Q37" s="1349" t="str">
        <f t="shared" si="14"/>
        <v>工程地质条件</v>
      </c>
      <c r="R37" s="703" t="s">
        <v>14</v>
      </c>
      <c r="S37" s="704">
        <f t="shared" si="10"/>
        <v>100</v>
      </c>
      <c r="T37" s="703" t="s">
        <v>14</v>
      </c>
      <c r="U37" s="704">
        <f t="shared" si="11"/>
        <v>100</v>
      </c>
      <c r="V37" s="703" t="s">
        <v>14</v>
      </c>
      <c r="W37" s="704">
        <f t="shared" si="12"/>
        <v>100</v>
      </c>
      <c r="X37" s="1352"/>
      <c r="Y37" s="3701"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1"/>
      <c r="Q38" s="1349">
        <f t="shared" si="14"/>
        <v>111</v>
      </c>
      <c r="R38" s="703" t="s">
        <v>14</v>
      </c>
      <c r="S38" s="704">
        <f t="shared" si="10"/>
        <v>100</v>
      </c>
      <c r="T38" s="703" t="s">
        <v>14</v>
      </c>
      <c r="U38" s="704">
        <f t="shared" si="11"/>
        <v>100</v>
      </c>
      <c r="V38" s="703" t="s">
        <v>14</v>
      </c>
      <c r="W38" s="704">
        <f t="shared" si="12"/>
        <v>100</v>
      </c>
      <c r="X38" s="1352"/>
      <c r="Y38" s="3701"/>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1"/>
      <c r="Q39" s="1349">
        <f t="shared" si="14"/>
        <v>111</v>
      </c>
      <c r="R39" s="703" t="s">
        <v>14</v>
      </c>
      <c r="S39" s="704">
        <f t="shared" si="10"/>
        <v>100</v>
      </c>
      <c r="T39" s="703" t="s">
        <v>14</v>
      </c>
      <c r="U39" s="704">
        <f t="shared" si="11"/>
        <v>100</v>
      </c>
      <c r="V39" s="703" t="s">
        <v>14</v>
      </c>
      <c r="W39" s="704">
        <f t="shared" si="12"/>
        <v>100</v>
      </c>
      <c r="X39" s="1352"/>
      <c r="Y39" s="3701"/>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1"/>
      <c r="Q40" s="1349">
        <f t="shared" si="14"/>
        <v>111</v>
      </c>
      <c r="R40" s="706" t="s">
        <v>14</v>
      </c>
      <c r="S40" s="707">
        <f t="shared" si="10"/>
        <v>100</v>
      </c>
      <c r="T40" s="706" t="s">
        <v>14</v>
      </c>
      <c r="U40" s="707">
        <f t="shared" si="11"/>
        <v>100</v>
      </c>
      <c r="V40" s="706" t="s">
        <v>14</v>
      </c>
      <c r="W40" s="707">
        <f t="shared" si="12"/>
        <v>100</v>
      </c>
      <c r="X40" s="708"/>
      <c r="Y40" s="3701"/>
      <c r="Z40" s="709">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2"/>
      <c r="L41" s="2721"/>
      <c r="M41" s="2713"/>
      <c r="N41" s="2713"/>
      <c r="O41" s="2722"/>
      <c r="P41" s="3694" t="str">
        <f>A41</f>
        <v>成交单价</v>
      </c>
      <c r="Q41" s="3694"/>
      <c r="R41" s="3689">
        <f>E41</f>
        <v>0</v>
      </c>
      <c r="S41" s="3689"/>
      <c r="T41" s="3689">
        <f>G41</f>
        <v>0</v>
      </c>
      <c r="U41" s="3689"/>
      <c r="V41" s="3689">
        <f>I41</f>
        <v>0</v>
      </c>
      <c r="W41" s="3689"/>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694" t="str">
        <f>A42</f>
        <v>比较价值（元/平方米）</v>
      </c>
      <c r="Q42" s="3694"/>
      <c r="R42" s="3722" t="e">
        <f>ROUND(PRODUCT(R41,AA7:AA40),0)</f>
        <v>#DIV/0!</v>
      </c>
      <c r="S42" s="3722"/>
      <c r="T42" s="3722" t="e">
        <f>ROUND(PRODUCT(T41,AB7:AB40),0)</f>
        <v>#DIV/0!</v>
      </c>
      <c r="U42" s="3722"/>
      <c r="V42" s="3722" t="e">
        <f>ROUND(PRODUCT(V41,AC7:AC40),0)</f>
        <v>#DIV/0!</v>
      </c>
      <c r="W42" s="372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91" t="str">
        <f>A43</f>
        <v>估价对象XX用房的比较价值（楼面单价，元/平方米）</v>
      </c>
      <c r="Q43" s="3692"/>
      <c r="R43" s="3723" t="e">
        <f>ROUND(IF(D42="简单平均",AVERAGE(R42:W42),R42*F42+T42*H42+V42*J42),0)</f>
        <v>#DIV/0!</v>
      </c>
      <c r="S43" s="3723"/>
      <c r="T43" s="3723"/>
      <c r="U43" s="3723"/>
      <c r="V43" s="3723"/>
      <c r="W43" s="372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77" t="s">
        <v>1887</v>
      </c>
      <c r="H50" s="3724"/>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24865.040000000005</v>
      </c>
      <c r="F51" s="639" t="e">
        <f t="shared" ref="F51:F60" si="15">ROUND(B51*E51/10000,0)</f>
        <v>#DIV/0!</v>
      </c>
      <c r="G51" s="3676"/>
      <c r="H51" s="3694"/>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1899.7</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2" t="s">
        <v>2084</v>
      </c>
      <c r="D1" s="3733"/>
      <c r="E1" s="3733"/>
      <c r="F1" s="3733"/>
      <c r="G1" s="3733"/>
      <c r="H1" s="3733"/>
      <c r="I1" s="3733"/>
      <c r="J1" s="3733"/>
      <c r="K1" s="3733"/>
      <c r="L1" s="3733"/>
      <c r="M1" s="3733"/>
      <c r="N1" s="3733"/>
      <c r="O1" s="3733"/>
      <c r="P1" s="3733"/>
      <c r="Q1" s="3733"/>
      <c r="R1" s="3733"/>
      <c r="S1" s="3734"/>
      <c r="T1" s="981" t="s">
        <v>2085</v>
      </c>
    </row>
    <row r="2" spans="1:45" s="655" customFormat="1" ht="13.5" thickBot="1">
      <c r="A2" s="982"/>
      <c r="B2" s="651" t="s">
        <v>2086</v>
      </c>
      <c r="C2" s="652" t="str">
        <f t="shared" ref="C2:L2" si="0">C3&amp;"(含)"&amp;"-"&amp;D3</f>
        <v>0(含)-300</v>
      </c>
      <c r="D2" s="653" t="str">
        <f t="shared" si="0"/>
        <v>300(含)-500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5" thickTop="1">
      <c r="A3" s="984"/>
      <c r="B3" s="656"/>
      <c r="C3" s="503">
        <v>0</v>
      </c>
      <c r="D3" s="503">
        <v>300</v>
      </c>
      <c r="E3" s="503">
        <v>500</v>
      </c>
      <c r="F3" s="532">
        <v>1000</v>
      </c>
      <c r="G3" s="504">
        <v>1500</v>
      </c>
      <c r="H3" s="504">
        <v>2000</v>
      </c>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99</v>
      </c>
      <c r="D4" s="509">
        <v>100</v>
      </c>
      <c r="E4" s="509">
        <v>99</v>
      </c>
      <c r="F4" s="509">
        <v>98</v>
      </c>
      <c r="G4" s="509">
        <v>97</v>
      </c>
      <c r="H4" s="509">
        <v>96</v>
      </c>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3795" t="s">
        <v>3435</v>
      </c>
      <c r="D17" s="3795" t="s">
        <v>3436</v>
      </c>
      <c r="E17" s="3796" t="s">
        <v>3437</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102</v>
      </c>
      <c r="D18" s="1020">
        <v>100</v>
      </c>
      <c r="E18" s="1020">
        <v>98</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2095</v>
      </c>
      <c r="E19" s="1337"/>
      <c r="F19" s="1337"/>
      <c r="G19" s="1337"/>
      <c r="H19" s="1056"/>
      <c r="I19" s="159"/>
      <c r="J19" s="159"/>
      <c r="K19" s="159"/>
      <c r="L19" s="159"/>
      <c r="M19" s="159"/>
      <c r="N19" s="159"/>
      <c r="O19" s="159"/>
      <c r="P19" s="159"/>
      <c r="Q19" s="159"/>
      <c r="R19" s="716"/>
      <c r="S19" s="129"/>
    </row>
    <row r="20" spans="1:45" ht="16.5" thickBot="1">
      <c r="A20" s="660" t="s">
        <v>2096</v>
      </c>
      <c r="B20" s="294">
        <f ca="1">IF(D20="——",S22,S22-F20)</f>
        <v>117735</v>
      </c>
      <c r="C20" s="159"/>
      <c r="D20" s="2148" t="s">
        <v>43</v>
      </c>
      <c r="E20" s="1338"/>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47350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24865.040000000005</v>
      </c>
      <c r="C22" s="3729" t="s">
        <v>27</v>
      </c>
      <c r="D22" s="3730"/>
      <c r="E22" s="3730"/>
      <c r="F22" s="3730"/>
      <c r="G22" s="3730"/>
      <c r="H22" s="3730"/>
      <c r="I22" s="3730"/>
      <c r="J22" s="3730"/>
      <c r="K22" s="3730"/>
      <c r="L22" s="3730"/>
      <c r="M22" s="3730"/>
      <c r="N22" s="3730"/>
      <c r="O22" s="3730"/>
      <c r="P22" s="3730"/>
      <c r="Q22" s="3731"/>
      <c r="R22" s="661">
        <f ca="1">ROUND(S22*10000/B22,0)</f>
        <v>47350</v>
      </c>
      <c r="S22" s="21">
        <f ca="1">SUM(S24:S10000)</f>
        <v>117735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v>
      </c>
      <c r="B24" s="663">
        <v>1506.52</v>
      </c>
      <c r="C24" s="2807">
        <v>1</v>
      </c>
      <c r="D24" s="2808"/>
      <c r="E24" s="2807">
        <v>1</v>
      </c>
      <c r="F24" s="2808"/>
      <c r="G24" s="2807">
        <v>1</v>
      </c>
      <c r="H24" s="2808"/>
      <c r="I24" s="2807">
        <v>1</v>
      </c>
      <c r="J24" s="2808"/>
      <c r="K24" s="2807">
        <v>1</v>
      </c>
      <c r="L24" s="2808"/>
      <c r="M24" s="2807">
        <v>1</v>
      </c>
      <c r="N24" s="2808"/>
      <c r="O24" s="2807">
        <v>1</v>
      </c>
      <c r="P24" s="665" t="s">
        <v>3456</v>
      </c>
      <c r="Q24" s="2807">
        <v>1</v>
      </c>
      <c r="R24" s="666">
        <f ca="1">结果表!G20</f>
        <v>46159</v>
      </c>
      <c r="S24" s="664">
        <f t="shared" ref="S24:S54" ca="1" si="11">ROUND(R24*B24/10000,0)</f>
        <v>6954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101</v>
      </c>
      <c r="B25" s="54">
        <v>931.44</v>
      </c>
      <c r="C25" s="21">
        <f>IF(B25="",1,(LOOKUP(B25,$3:$3,$4:$4)-LOOKUP($B$24,$3:$3,$4:$4)+100)/100)</f>
        <v>1.02</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3456</v>
      </c>
      <c r="Q25" s="21">
        <f>(SUMIF($17:$17,P25,$18:$18)-SUMIF($17:$17,$P$24,$18:$18)+100)/100</f>
        <v>1</v>
      </c>
      <c r="R25" s="661">
        <f ca="1">IF(B25="",0,ROUND($R$24*C25*E25*G25*I25*K25*M25*O25*Q25,0))</f>
        <v>47082</v>
      </c>
      <c r="S25" s="316">
        <f t="shared" ca="1" si="11"/>
        <v>4385</v>
      </c>
    </row>
    <row r="26" spans="1:45">
      <c r="A26" s="150">
        <v>201</v>
      </c>
      <c r="B26" s="54">
        <v>950.88</v>
      </c>
      <c r="C26" s="21">
        <f t="shared" ref="C26:C89" si="12">IF(B26="",1,(LOOKUP(B26,$3:$3,$4:$4)-LOOKUP($B$24,$3:$3,$4:$4)+100)/100)</f>
        <v>1.02</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t="s">
        <v>3456</v>
      </c>
      <c r="Q26" s="21">
        <f t="shared" ref="Q26:Q89" si="19">(SUMIF($17:$17,P26,$18:$18)-SUMIF($17:$17,$P$24,$18:$18)+100)/100</f>
        <v>1</v>
      </c>
      <c r="R26" s="661">
        <f t="shared" ref="R26:R89" ca="1" si="20">IF(B26="",0,ROUND($R$24*C26*E26*G26*I26*K26*M26*O26*Q26,0))</f>
        <v>47082</v>
      </c>
      <c r="S26" s="316">
        <f t="shared" ca="1" si="11"/>
        <v>4477</v>
      </c>
    </row>
    <row r="27" spans="1:45">
      <c r="A27" s="150">
        <v>301</v>
      </c>
      <c r="B27" s="54">
        <v>630.82000000000005</v>
      </c>
      <c r="C27" s="21">
        <f t="shared" si="12"/>
        <v>1.02</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t="s">
        <v>3456</v>
      </c>
      <c r="Q27" s="21">
        <f t="shared" si="19"/>
        <v>1</v>
      </c>
      <c r="R27" s="661">
        <f t="shared" ca="1" si="20"/>
        <v>47082</v>
      </c>
      <c r="S27" s="316">
        <f t="shared" ca="1" si="11"/>
        <v>2970</v>
      </c>
    </row>
    <row r="28" spans="1:45">
      <c r="A28" s="150">
        <v>601</v>
      </c>
      <c r="B28" s="54">
        <v>1506.52</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t="s">
        <v>3456</v>
      </c>
      <c r="Q28" s="21">
        <f t="shared" si="19"/>
        <v>1</v>
      </c>
      <c r="R28" s="661">
        <f t="shared" ca="1" si="20"/>
        <v>46159</v>
      </c>
      <c r="S28" s="316">
        <f t="shared" ca="1" si="11"/>
        <v>6954</v>
      </c>
    </row>
    <row r="29" spans="1:45">
      <c r="A29" s="150">
        <v>701</v>
      </c>
      <c r="B29" s="54">
        <v>1506.52</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t="s">
        <v>3461</v>
      </c>
      <c r="Q29" s="21">
        <f t="shared" si="19"/>
        <v>1.02</v>
      </c>
      <c r="R29" s="661">
        <f t="shared" ca="1" si="20"/>
        <v>47082</v>
      </c>
      <c r="S29" s="316">
        <f t="shared" ca="1" si="11"/>
        <v>7093</v>
      </c>
    </row>
    <row r="30" spans="1:45">
      <c r="A30" s="150">
        <v>801</v>
      </c>
      <c r="B30" s="54">
        <v>1506.52</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t="s">
        <v>3461</v>
      </c>
      <c r="Q30" s="21">
        <f t="shared" si="19"/>
        <v>1.02</v>
      </c>
      <c r="R30" s="661">
        <f t="shared" ca="1" si="20"/>
        <v>47082</v>
      </c>
      <c r="S30" s="316">
        <f t="shared" ca="1" si="11"/>
        <v>7093</v>
      </c>
    </row>
    <row r="31" spans="1:45">
      <c r="A31" s="150">
        <v>901</v>
      </c>
      <c r="B31" s="54">
        <v>1506.52</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t="s">
        <v>3461</v>
      </c>
      <c r="Q31" s="21">
        <f t="shared" si="19"/>
        <v>1.02</v>
      </c>
      <c r="R31" s="661">
        <f t="shared" ca="1" si="20"/>
        <v>47082</v>
      </c>
      <c r="S31" s="316">
        <f t="shared" ca="1" si="11"/>
        <v>7093</v>
      </c>
    </row>
    <row r="32" spans="1:45">
      <c r="A32" s="150">
        <v>1001</v>
      </c>
      <c r="B32" s="54">
        <v>1506.52</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t="s">
        <v>3461</v>
      </c>
      <c r="Q32" s="21">
        <f t="shared" si="19"/>
        <v>1.02</v>
      </c>
      <c r="R32" s="661">
        <f t="shared" ca="1" si="20"/>
        <v>47082</v>
      </c>
      <c r="S32" s="316">
        <f t="shared" ca="1" si="11"/>
        <v>7093</v>
      </c>
    </row>
    <row r="33" spans="1:19">
      <c r="A33" s="150">
        <v>1101</v>
      </c>
      <c r="B33" s="54">
        <v>1506.52</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t="s">
        <v>3461</v>
      </c>
      <c r="Q33" s="21">
        <f t="shared" si="19"/>
        <v>1.02</v>
      </c>
      <c r="R33" s="661">
        <f t="shared" ca="1" si="20"/>
        <v>47082</v>
      </c>
      <c r="S33" s="316">
        <f t="shared" ca="1" si="11"/>
        <v>7093</v>
      </c>
    </row>
    <row r="34" spans="1:19">
      <c r="A34" s="150">
        <v>1201</v>
      </c>
      <c r="B34" s="54">
        <v>1506.52</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t="s">
        <v>3461</v>
      </c>
      <c r="Q34" s="21">
        <f t="shared" si="19"/>
        <v>1.02</v>
      </c>
      <c r="R34" s="661">
        <f t="shared" ca="1" si="20"/>
        <v>47082</v>
      </c>
      <c r="S34" s="316">
        <f t="shared" ca="1" si="11"/>
        <v>7093</v>
      </c>
    </row>
    <row r="35" spans="1:19">
      <c r="A35" s="150">
        <v>1301</v>
      </c>
      <c r="B35" s="54">
        <v>1506.52</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t="s">
        <v>3461</v>
      </c>
      <c r="Q35" s="21">
        <f t="shared" si="19"/>
        <v>1.02</v>
      </c>
      <c r="R35" s="661">
        <f t="shared" ca="1" si="20"/>
        <v>47082</v>
      </c>
      <c r="S35" s="316">
        <f t="shared" ca="1" si="11"/>
        <v>7093</v>
      </c>
    </row>
    <row r="36" spans="1:19">
      <c r="A36" s="150">
        <v>1401</v>
      </c>
      <c r="B36" s="54">
        <v>1506.52</v>
      </c>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t="s">
        <v>3462</v>
      </c>
      <c r="Q36" s="21">
        <f t="shared" si="19"/>
        <v>1.04</v>
      </c>
      <c r="R36" s="661">
        <f t="shared" ca="1" si="20"/>
        <v>48005</v>
      </c>
      <c r="S36" s="316">
        <f t="shared" ca="1" si="11"/>
        <v>7232</v>
      </c>
    </row>
    <row r="37" spans="1:19">
      <c r="A37" s="150">
        <v>1501</v>
      </c>
      <c r="B37" s="54">
        <v>1506.52</v>
      </c>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t="s">
        <v>3462</v>
      </c>
      <c r="Q37" s="21">
        <f t="shared" si="19"/>
        <v>1.04</v>
      </c>
      <c r="R37" s="661">
        <f t="shared" ca="1" si="20"/>
        <v>48005</v>
      </c>
      <c r="S37" s="316">
        <f t="shared" ca="1" si="11"/>
        <v>7232</v>
      </c>
    </row>
    <row r="38" spans="1:19">
      <c r="A38" s="150">
        <v>1601</v>
      </c>
      <c r="B38" s="54">
        <v>1506.52</v>
      </c>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t="s">
        <v>3462</v>
      </c>
      <c r="Q38" s="21">
        <f t="shared" si="19"/>
        <v>1.04</v>
      </c>
      <c r="R38" s="661">
        <f t="shared" ca="1" si="20"/>
        <v>48005</v>
      </c>
      <c r="S38" s="316">
        <f t="shared" ca="1" si="11"/>
        <v>7232</v>
      </c>
    </row>
    <row r="39" spans="1:19">
      <c r="A39" s="150">
        <v>1701</v>
      </c>
      <c r="B39" s="54">
        <v>1506.52</v>
      </c>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t="s">
        <v>3462</v>
      </c>
      <c r="Q39" s="21">
        <f t="shared" si="19"/>
        <v>1.04</v>
      </c>
      <c r="R39" s="661">
        <f t="shared" ca="1" si="20"/>
        <v>48005</v>
      </c>
      <c r="S39" s="316">
        <f t="shared" ca="1" si="11"/>
        <v>7232</v>
      </c>
    </row>
    <row r="40" spans="1:19">
      <c r="A40" s="150">
        <v>1801</v>
      </c>
      <c r="B40" s="54">
        <v>1383.57</v>
      </c>
      <c r="C40" s="21">
        <f t="shared" si="12"/>
        <v>1.01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t="s">
        <v>3462</v>
      </c>
      <c r="Q40" s="21">
        <f t="shared" si="19"/>
        <v>1.04</v>
      </c>
      <c r="R40" s="661">
        <f t="shared" ca="1" si="20"/>
        <v>48485</v>
      </c>
      <c r="S40" s="316">
        <f t="shared" ca="1" si="11"/>
        <v>6708</v>
      </c>
    </row>
    <row r="41" spans="1:19">
      <c r="A41" s="150">
        <v>1901</v>
      </c>
      <c r="B41" s="54">
        <v>1383.57</v>
      </c>
      <c r="C41" s="21">
        <f t="shared" si="12"/>
        <v>1.01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t="s">
        <v>3462</v>
      </c>
      <c r="Q41" s="21">
        <f t="shared" si="19"/>
        <v>1.04</v>
      </c>
      <c r="R41" s="661">
        <f t="shared" ca="1" si="20"/>
        <v>48485</v>
      </c>
      <c r="S41" s="316">
        <f t="shared" ca="1" si="11"/>
        <v>6708</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0.02</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0.02</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0.02</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0.02</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0.02</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0.02</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0.02</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0.02</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0.02</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0.02</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0.02</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0.02</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0.02</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0.02</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0.02</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0.02</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0.02</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0.02</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0.02</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0.02</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0.02</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0.02</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0.02</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0.02</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0.02</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0.02</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0.02</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0.02</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0.02</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0.02</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0.02</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0.02</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0.02</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0.02</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0.02</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0.02</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0.02</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0.02</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0.02</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0.02</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0.02</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0.02</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0.02</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0.02</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0.02</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0.02</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0.02</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0.02</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0.02</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0.02</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0.02</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0.02</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0.02</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0.02</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0.02</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0.02</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0.02</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0.02</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0.02</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0.02</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0.02</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0.02</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0.02</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0.02</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0.02</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0.02</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0.02</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0.02</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0.02</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0.02</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0.02</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0.02</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0.02</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0.02</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0.02</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0.02</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0.02</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0.02</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0.02</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0.02</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0.02</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0.02</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0.02</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0.02</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0.02</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0.02</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0.02</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0.02</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0.02</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0.02</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0.02</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0.02</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0.02</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0.02</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0.02</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0.02</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0.02</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0.02</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0.02</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0.02</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0.02</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0.02</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0.02</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0.02</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0.02</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0.02</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0.02</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0.02</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0.02</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0.02</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0.02</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0.02</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0.02</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0.02</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0.02</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0.02</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0.02</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0.02</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0.02</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0.02</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0.02</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0.02</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0.02</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0.02</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0.02</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0.02</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0.02</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0.02</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0.02</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0.02</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0.02</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0.02</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0.02</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0.02</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0.02</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0.02</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0.02</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0.02</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0.02</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0.02</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0.02</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0.02</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0.02</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0.02</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0.02</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0.02</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0.02</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0.02</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0.02</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0.02</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0.02</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0.02</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0.02</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0.02</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0.02</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0.02</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0.02</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0.02</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0.02</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0.02</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0.02</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0.02</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0.02</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0.02</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0.02</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0.02</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0.02</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0.02</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0.02</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0.02</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0.02</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0.02</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0.02</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0.02</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0.02</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0.02</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0.02</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0.02</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0.02</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0.02</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0.02</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0.02</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0.02</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0.02</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0.02</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0.02</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0.02</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0.02</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0.02</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0.02</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0.02</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0.02</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0.02</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0.02</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0.02</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0.02</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0.02</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0.02</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0.02</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0.02</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0.02</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0.02</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0.02</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0.02</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0.02</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0.02</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0.02</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0.02</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0.02</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0.02</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0.02</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0.02</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0.02</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0.02</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0.02</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0.02</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0.02</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0.02</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0.02</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0.02</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0.02</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0.02</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0.02</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0.02</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0.02</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0.02</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0.02</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0.02</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0.02</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0.02</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0.02</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0.02</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0.02</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0.02</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0.02</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0.02</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0.02</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0.02</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0.02</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0.02</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0.02</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0.02</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0.02</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0.02</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0.02</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0.02</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0.02</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0.02</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0.02</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0.02</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0.02</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0.02</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0.02</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0.02</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0.02</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0.02</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0.02</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0.02</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0.02</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0.02</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0.02</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0.02</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0.02</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0.02</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0.02</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0.02</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0.02</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0.02</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0.02</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0.02</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0.02</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0.02</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0.02</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0.02</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0.02</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0.02</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0.02</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0.02</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0.02</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0.02</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0.02</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0.02</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0.02</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0.02</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0.02</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0.02</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0.02</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0.02</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0.02</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0.02</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0.02</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0.02</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0.02</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0.02</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0.02</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0.02</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0.02</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0.02</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0.02</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0.02</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0.02</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0.02</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0.02</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0.02</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0.02</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0.02</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0.02</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0.02</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0.02</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0.02</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0.02</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0.02</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0.02</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0.02</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0.02</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0.02</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0.02</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0.02</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0.02</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0.02</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0.02</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0.02</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0.02</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0.02</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0.02</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0.02</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0.02</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0.02</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0.02</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0.02</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0.02</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0.02</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0.02</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0.02</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0.02</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0.02</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0.02</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0.02</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0.02</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0.02</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0.02</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0.02</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0.02</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0.02</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0.02</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0.02</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0.02</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0.02</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0.02</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0.02</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0.02</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0.02</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0.02</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0.02</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0.02</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0.02</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0.02</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0.02</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0.02</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0.02</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0.02</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0.02</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0.02</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0.02</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0.02</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0.02</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0.02</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0.02</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0.02</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0.02</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0.02</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0.02</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0.02</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0.02</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0.02</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0.02</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0.02</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0.02</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0.02</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0.02</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0.02</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0.02</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0.02</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0.02</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0.02</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0.02</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0.02</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0.02</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0.02</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0.02</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0.02</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0.02</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0.02</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0.02</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0.02</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0.02</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0.02</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0.02</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0.02</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0.02</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0.02</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0.02</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0.02</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0.02</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0.02</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0.02</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0.02</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0.02</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0.02</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0.02</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0.02</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0.02</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0.02</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0.02</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0.02</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0.02</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0.02</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0.02</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0.02</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0.02</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0.02</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0.02</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0.02</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0.02</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0.02</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0.02</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0.02</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0.02</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0.02</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0.02</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0.02</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0.02</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0.02</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0.02</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0.02</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0.02</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0.02</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0.02</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0.02</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0.02</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0.02</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0.02</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0.02</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0.02</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0.02</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0.02</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0.02</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0.02</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0.02</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0.02</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0.02</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0.02</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0.02</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0.02</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0.02</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0.02</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0.02</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0.02</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0.02</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0.02</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0.02</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0.02</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0.02</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0.02</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0.02</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0.02</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0.02</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0.02</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0.02</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0.02</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0.02</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0.02</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0.02</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0.02</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0.02</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0.02</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0.02</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0.02</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0.02</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0.02</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0.02</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0.02</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0.02</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2729.06</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2729.06</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A48" sqref="A48:XFD8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2729.06</v>
      </c>
      <c r="E1" s="1992"/>
      <c r="F1" s="1992"/>
      <c r="G1" s="1992"/>
      <c r="H1" s="1992"/>
      <c r="I1" s="1992"/>
      <c r="J1" s="1992"/>
      <c r="K1" s="1116"/>
      <c r="L1" s="1993" t="s">
        <v>1928</v>
      </c>
      <c r="M1" s="861">
        <f>SUMPRODUCT((区片价!B5:B9=I2)*(区片价!C3:G3=E2)*(区片价!C5:G9))</f>
        <v>0</v>
      </c>
      <c r="N1" s="864">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9" t="s">
        <v>3</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7" t="s">
        <v>2478</v>
      </c>
      <c r="F3" s="2001" t="s">
        <v>3392</v>
      </c>
      <c r="G3" s="750">
        <f>IF(F3="宗地容积率",'数据-汇总表'!I4,IF(F3="估价对象容积率",'数据-汇总表'!I6,'数据-汇总表'!I7))</f>
        <v>1</v>
      </c>
      <c r="H3" s="170" t="s">
        <v>1943</v>
      </c>
      <c r="I3" s="773"/>
      <c r="J3" s="1999" t="s">
        <v>1944</v>
      </c>
      <c r="K3" s="1116"/>
      <c r="L3" s="2000" t="s">
        <v>1945</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42"/>
      <c r="B4" s="3743"/>
      <c r="C4" s="3743"/>
      <c r="D4" s="3744"/>
      <c r="E4" s="3744"/>
      <c r="F4" s="3744"/>
      <c r="G4" s="3744"/>
      <c r="H4" s="3744"/>
      <c r="I4" s="3744"/>
      <c r="J4" s="3745"/>
      <c r="K4" s="1116"/>
      <c r="L4" s="2000" t="s">
        <v>1946</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1">
        <f>ROUND(IF(E2="商业",C6*C7*C17+C20,(IF(E2="住宅",C6*C13*C17+C20,IF(E2="办公",C6*C12*C17+C20,C6+C20)))),0)</f>
        <v>0</v>
      </c>
      <c r="D5" s="1336">
        <f>ROUND(C6*C17+C20,0)</f>
        <v>0</v>
      </c>
      <c r="E5" s="1336"/>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3238</v>
      </c>
      <c r="B7" s="2018" t="s">
        <v>1952</v>
      </c>
      <c r="C7" s="753" t="e">
        <f>IF(C8="不临65条商业街",1,ROUND(1+(1.6*E8+1.2*E9+0.8*E10+0.4*E11)*C9,4))</f>
        <v>#DIV/0!</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1</v>
      </c>
      <c r="AA7" s="1213"/>
      <c r="AB7" s="1213"/>
      <c r="AC7" s="1214"/>
      <c r="AD7" s="1215"/>
      <c r="AE7" s="1215"/>
      <c r="AF7" s="1215"/>
      <c r="AG7" s="1215"/>
      <c r="AH7" s="1215"/>
      <c r="AI7" s="1215"/>
      <c r="AJ7" s="1216"/>
    </row>
    <row r="8" spans="1:36" ht="15">
      <c r="A8" s="3296"/>
      <c r="B8" s="170" t="s">
        <v>1957</v>
      </c>
      <c r="C8" s="2023"/>
      <c r="D8" s="754" t="s">
        <v>112</v>
      </c>
      <c r="E8" s="755" t="e">
        <f>ROUND(C11/E7,4)</f>
        <v>#DIV/0!</v>
      </c>
      <c r="F8" s="2024" t="s">
        <v>1958</v>
      </c>
      <c r="G8" s="2025"/>
      <c r="H8" s="2025"/>
      <c r="I8" s="2025"/>
      <c r="J8" s="2026"/>
      <c r="K8" s="1116"/>
      <c r="L8" s="2000" t="s">
        <v>1959</v>
      </c>
      <c r="M8" s="862">
        <f>SUMPRODUCT((区片价!B234:B276=I2)*(区片价!C3:G3=E2)*(区片价!C234:G276))</f>
        <v>0</v>
      </c>
      <c r="N8" s="864">
        <f>SUMPRODUCT((因素修正幅度!B234:B276=I2)*(因素修正幅度!C3:G3=E2)*(因素修正幅度!C234:G276))</f>
        <v>0</v>
      </c>
      <c r="O8" s="1116"/>
      <c r="P8" s="1116"/>
      <c r="Q8" s="1116"/>
      <c r="R8" s="1209">
        <v>7</v>
      </c>
      <c r="S8" s="1210"/>
      <c r="T8" s="3358" t="e">
        <f t="shared" si="0"/>
        <v>#DIV/0!</v>
      </c>
      <c r="U8" s="1210"/>
      <c r="V8" s="3358" t="e">
        <f t="shared" si="1"/>
        <v>#DIV/0!</v>
      </c>
      <c r="W8" s="3739" t="s">
        <v>1960</v>
      </c>
      <c r="X8" s="374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6">
        <f>SUMIF(修正!C71:C138,C8,修正!E71:E138)</f>
        <v>0</v>
      </c>
      <c r="D9" s="171" t="s">
        <v>113</v>
      </c>
      <c r="E9" s="171" t="e">
        <f>ROUND(C11/E7,4)</f>
        <v>#DIV/0!</v>
      </c>
      <c r="F9" s="2024" t="s">
        <v>1974</v>
      </c>
      <c r="G9" s="2025"/>
      <c r="H9" s="2025"/>
      <c r="I9" s="2025"/>
      <c r="J9" s="2026"/>
      <c r="K9" s="1116"/>
      <c r="L9" s="2000" t="s">
        <v>1975</v>
      </c>
      <c r="M9" s="862">
        <f>SUMPRODUCT((区片价!B277:B326=I2)*(区片价!C3:G3=E2)*(区片价!C277:G326))</f>
        <v>0</v>
      </c>
      <c r="N9" s="864">
        <f>SUMPRODUCT((因素修正幅度!B277:B326=I2)*(因素修正幅度!C3:G3=E2)*(因素修正幅度!C277:G326))</f>
        <v>0</v>
      </c>
      <c r="O9" s="1116"/>
      <c r="P9" s="1116"/>
      <c r="Q9" s="1116"/>
      <c r="R9" s="1209">
        <v>8</v>
      </c>
      <c r="S9" s="1210"/>
      <c r="T9" s="3358" t="e">
        <f t="shared" si="0"/>
        <v>#DIV/0!</v>
      </c>
      <c r="U9" s="1210"/>
      <c r="V9" s="3358" t="e">
        <f t="shared" si="1"/>
        <v>#DIV/0!</v>
      </c>
      <c r="W9" s="374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8" t="e">
        <f t="shared" si="0"/>
        <v>#DIV/0!</v>
      </c>
      <c r="U10" s="1210"/>
      <c r="V10" s="3358" t="e">
        <f t="shared" si="1"/>
        <v>#DIV/0!</v>
      </c>
      <c r="W10" s="374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7">
        <f>C10/4</f>
        <v>0</v>
      </c>
      <c r="D11" s="757" t="s">
        <v>115</v>
      </c>
      <c r="E11" s="757" t="e">
        <f>ROUND(C11/E7,4)</f>
        <v>#DIV/0!</v>
      </c>
      <c r="F11" s="2028" t="s">
        <v>1980</v>
      </c>
      <c r="G11" s="2029"/>
      <c r="H11" s="2029"/>
      <c r="I11" s="2029"/>
      <c r="J11" s="2030"/>
      <c r="K11" s="1116"/>
      <c r="L11" s="2000"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3239</v>
      </c>
      <c r="B12" s="3302" t="s">
        <v>3240</v>
      </c>
      <c r="C12" s="3303"/>
      <c r="D12" s="3304" t="s">
        <v>3241</v>
      </c>
      <c r="E12" s="3305" t="s">
        <v>3242</v>
      </c>
      <c r="F12" s="3306"/>
      <c r="G12" s="3307"/>
      <c r="H12" s="3307"/>
      <c r="I12" s="3307"/>
      <c r="J12" s="3308"/>
      <c r="K12" s="1116"/>
      <c r="L12" s="2036"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3243</v>
      </c>
      <c r="B13" s="2031" t="s">
        <v>1982</v>
      </c>
      <c r="C13" s="753">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3244</v>
      </c>
      <c r="G14" s="3309" t="s">
        <v>3244</v>
      </c>
      <c r="H14" s="3309" t="s">
        <v>3244</v>
      </c>
      <c r="I14" s="3309" t="s">
        <v>3244</v>
      </c>
      <c r="J14" s="3309" t="s">
        <v>3244</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3249</v>
      </c>
      <c r="E18" s="3326"/>
      <c r="F18" s="3321" t="s">
        <v>3252</v>
      </c>
      <c r="G18" s="3325">
        <f>ROUND(1-(1/(POWER(1+G24,E18))),4)</f>
        <v>0</v>
      </c>
      <c r="H18" s="3321" t="s">
        <v>3254</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46" t="s">
        <v>3255</v>
      </c>
      <c r="B20" s="167" t="s">
        <v>1994</v>
      </c>
      <c r="C20" s="3322">
        <f>ROUND(IF(F21="与级别开发程度一致",0,(G21-E21)/C21),0)</f>
        <v>0</v>
      </c>
      <c r="D20" s="3338" t="s">
        <v>1998</v>
      </c>
      <c r="E20" s="3339"/>
      <c r="F20" s="3752" t="s">
        <v>1995</v>
      </c>
      <c r="G20" s="3753"/>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47"/>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t="s">
        <v>3393</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1" t="s">
        <v>2002</v>
      </c>
      <c r="E23" s="759">
        <v>44197</v>
      </c>
      <c r="F23" s="2051" t="s">
        <v>2003</v>
      </c>
      <c r="G23" s="760">
        <f>'数据-取费表'!B2</f>
        <v>45161</v>
      </c>
      <c r="H23" s="3340" t="s">
        <v>3257</v>
      </c>
      <c r="I23" s="3341" t="str">
        <f>IF(H23="季度增幅（自定义）",SUMIF(N25:N28,E2,O25:O28),"")</f>
        <v/>
      </c>
      <c r="J23" s="3443" t="s">
        <v>3256</v>
      </c>
      <c r="K23" s="1122"/>
      <c r="L23" s="2052" t="s">
        <v>2004</v>
      </c>
      <c r="M23" s="1325">
        <f>ROUND(SUMIF(地价!B2:G2,E2,地价!B16:G16),0)</f>
        <v>318</v>
      </c>
      <c r="N23" s="2053" t="s">
        <v>2005</v>
      </c>
      <c r="O23" s="761">
        <f>ROUNDDOWN(DATEDIF(E23,G23,"M")/3,0)</f>
        <v>10</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2">
        <f>存贷款利率!E24/100</f>
        <v>4.3499999999999997E-2</v>
      </c>
      <c r="F24" s="2057" t="s">
        <v>1999</v>
      </c>
      <c r="G24" s="766">
        <f>SUMIF(M30:Q30,E2,M33:Q33)</f>
        <v>0.05</v>
      </c>
      <c r="H24" s="2057" t="s">
        <v>2008</v>
      </c>
      <c r="I24" s="767" t="e">
        <f>SUMIF('数据-取费表'!C6:C15,E2,'数据-取费表'!F6:F15)/COUNTIF('数据-取费表'!C6:C15,E2)</f>
        <v>#DIV/0!</v>
      </c>
      <c r="J24" s="768">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3336</v>
      </c>
      <c r="C25" s="769">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3258</v>
      </c>
      <c r="D26" s="1349">
        <f>IF(E26=G26,F26,IF(G3&lt;10,ROUND(F26+(H26-F26)*(G3-E26)/(G26-E26),4),"——"))</f>
        <v>0</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3259</v>
      </c>
      <c r="J26" s="770"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9">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8">
        <f>SUMIF(A47:A101,E2,B47:B101)</f>
        <v>1.0085</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3"/>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4"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f>'数据-基础表'!A3</f>
        <v>2729.06</v>
      </c>
      <c r="E33" s="771" t="e">
        <f>ROUND(C33*D33/10000,0)</f>
        <v>#DIV/0!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50"/>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51"/>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51"/>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f>ROUND(D5*C22*C23*C44*C28*F41,0)</f>
        <v>0</v>
      </c>
      <c r="D41" s="2095"/>
      <c r="E41" s="171">
        <f t="shared" si="4"/>
        <v>0</v>
      </c>
      <c r="F41" s="175">
        <f>SUMIF(修正!A57:A68,G2,修正!F57:F68)</f>
        <v>0</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f>ROUND(D5*C22*C23*C44*C28*F42,0)</f>
        <v>0</v>
      </c>
      <c r="D42" s="2100"/>
      <c r="E42" s="187">
        <f t="shared" si="4"/>
        <v>0</v>
      </c>
      <c r="F42" s="765">
        <f>SUMIF(修正!A57:A68,G2,修正!G57:G68)</f>
        <v>0</v>
      </c>
      <c r="G42" s="187">
        <f>ROUND(IF(E2="工业",C42*$M$42,C42*$M$41),0)</f>
        <v>0</v>
      </c>
      <c r="H42" s="187">
        <f t="shared" si="5"/>
        <v>0</v>
      </c>
      <c r="I42" s="187">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f>ROUND(POWER(1+E44,H44-G44)*(POWER(1+E44,G44)-1)/(POWER(1+E44,H44)-1),4)</f>
        <v>0</v>
      </c>
      <c r="D44" s="171" t="s">
        <v>1999</v>
      </c>
      <c r="E44" s="2150">
        <f>G24</f>
        <v>0.05</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3" t="s">
        <v>2043</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7" t="s">
        <v>2044</v>
      </c>
      <c r="B49" s="1348" t="s">
        <v>2045</v>
      </c>
      <c r="C49" s="1348" t="s">
        <v>2046</v>
      </c>
      <c r="D49" s="1348" t="s">
        <v>2047</v>
      </c>
      <c r="E49" s="741"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hidden="1">
      <c r="A50" s="2127" t="s">
        <v>2052</v>
      </c>
      <c r="B50" s="2130">
        <f>估价对象房地状况!C4</f>
        <v>0</v>
      </c>
      <c r="C50" s="2041"/>
      <c r="D50" s="1062">
        <f t="shared" ref="D50:D58" si="7">SUMIF($J$49:$N$49,C50,J50:N50)</f>
        <v>0</v>
      </c>
      <c r="E50" s="742">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hidden="1">
      <c r="A51" s="2127" t="s">
        <v>2053</v>
      </c>
      <c r="B51" s="2131">
        <f>估价对象房地状况!C18</f>
        <v>0</v>
      </c>
      <c r="C51" s="2041"/>
      <c r="D51" s="1062">
        <f t="shared" si="7"/>
        <v>0</v>
      </c>
      <c r="E51" s="743"/>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66" t="s">
        <v>3270</v>
      </c>
      <c r="B52" s="2131">
        <f>估价对象房地状况!C19</f>
        <v>0</v>
      </c>
      <c r="C52" s="2041"/>
      <c r="D52" s="1062">
        <f t="shared" si="7"/>
        <v>0</v>
      </c>
      <c r="E52" s="743"/>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7" t="s">
        <v>2054</v>
      </c>
      <c r="B53" s="2132" t="s">
        <v>2055</v>
      </c>
      <c r="C53" s="2041"/>
      <c r="D53" s="1062">
        <f t="shared" si="7"/>
        <v>0</v>
      </c>
      <c r="E53" s="743"/>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7" t="s">
        <v>2056</v>
      </c>
      <c r="B54" s="2131">
        <f>估价对象房地状况!C24</f>
        <v>0</v>
      </c>
      <c r="C54" s="2041"/>
      <c r="D54" s="1062">
        <f t="shared" si="7"/>
        <v>0</v>
      </c>
      <c r="E54" s="743"/>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7" t="s">
        <v>2057</v>
      </c>
      <c r="B55" s="2133" t="s">
        <v>2058</v>
      </c>
      <c r="C55" s="2041"/>
      <c r="D55" s="1062">
        <f t="shared" si="7"/>
        <v>0</v>
      </c>
      <c r="E55" s="743"/>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hidden="1">
      <c r="A56" s="2134" t="s">
        <v>2059</v>
      </c>
      <c r="B56" s="1323">
        <f>估价对象房地状况!C21</f>
        <v>0</v>
      </c>
      <c r="C56" s="2041"/>
      <c r="D56" s="1062">
        <f t="shared" si="7"/>
        <v>0</v>
      </c>
      <c r="E56" s="743"/>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hidden="1">
      <c r="A57" s="2134" t="s">
        <v>2060</v>
      </c>
      <c r="B57" s="2131">
        <f>估价对象房地状况!C22</f>
        <v>0</v>
      </c>
      <c r="C57" s="2041"/>
      <c r="D57" s="1062">
        <f t="shared" si="7"/>
        <v>0</v>
      </c>
      <c r="E57" s="743"/>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hidden="1" thickBot="1">
      <c r="A58" s="2135" t="s">
        <v>2061</v>
      </c>
      <c r="B58" s="2136">
        <f>估价对象房地状况!C20</f>
        <v>0</v>
      </c>
      <c r="C58" s="2041"/>
      <c r="D58" s="1062">
        <f t="shared" si="7"/>
        <v>0</v>
      </c>
      <c r="E58" s="744"/>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3" t="s">
        <v>2062</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7" t="s">
        <v>2044</v>
      </c>
      <c r="B60" s="1348"/>
      <c r="C60" s="1348" t="s">
        <v>2046</v>
      </c>
      <c r="D60" s="1348" t="s">
        <v>2047</v>
      </c>
      <c r="E60" s="741"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hidden="1">
      <c r="A61" s="2127" t="s">
        <v>2064</v>
      </c>
      <c r="B61" s="2130">
        <f>估价对象房地状况!C17</f>
        <v>0</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hidden="1">
      <c r="A62" s="2127" t="s">
        <v>2053</v>
      </c>
      <c r="B62" s="2131">
        <f>估价对象房地状况!C18</f>
        <v>0</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7" t="s">
        <v>2054</v>
      </c>
      <c r="B64" s="2132" t="s">
        <v>2055</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7" t="s">
        <v>2056</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7" t="s">
        <v>2057</v>
      </c>
      <c r="B66" s="2133" t="s">
        <v>2058</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hidden="1">
      <c r="A67" s="2127" t="s">
        <v>2059</v>
      </c>
      <c r="B67" s="1323">
        <f>估价对象房地状况!C21</f>
        <v>0</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hidden="1">
      <c r="A68" s="2127" t="s">
        <v>2060</v>
      </c>
      <c r="B68" s="1323">
        <f>估价对象房地状况!C22</f>
        <v>0</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hidden="1" thickBot="1">
      <c r="A69" s="2135" t="s">
        <v>2061</v>
      </c>
      <c r="B69" s="2137">
        <f>估价对象房地状况!C20</f>
        <v>0</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hidden="1">
      <c r="A70" s="2123" t="s">
        <v>2065</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7" t="s">
        <v>2044</v>
      </c>
      <c r="B71" s="1348"/>
      <c r="C71" s="1348" t="s">
        <v>2046</v>
      </c>
      <c r="D71" s="1348" t="s">
        <v>2047</v>
      </c>
      <c r="E71" s="741"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hidden="1">
      <c r="A72" s="2127" t="s">
        <v>2066</v>
      </c>
      <c r="B72" s="2130">
        <f>估价对象房地状况!C15</f>
        <v>0</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hidden="1">
      <c r="A73" s="2127" t="s">
        <v>2053</v>
      </c>
      <c r="B73" s="2131">
        <f>估价对象房地状况!C18</f>
        <v>0</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hidden="1">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hidden="1">
      <c r="A75" s="2127" t="s">
        <v>2067</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hidden="1">
      <c r="A76" s="2127" t="s">
        <v>2059</v>
      </c>
      <c r="B76" s="1323">
        <f>估价对象房地状况!C21</f>
        <v>0</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hidden="1">
      <c r="A77" s="2127" t="s">
        <v>2060</v>
      </c>
      <c r="B77" s="1323">
        <f>估价对象房地状况!C22</f>
        <v>0</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hidden="1">
      <c r="A78" s="2127" t="s">
        <v>2057</v>
      </c>
      <c r="B78" s="2133" t="s">
        <v>2058</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hidden="1">
      <c r="A79" s="2127" t="s">
        <v>2061</v>
      </c>
      <c r="B79" s="2130">
        <f>估价对象房地状况!C20</f>
        <v>0</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hidden="1" thickBot="1">
      <c r="A80" s="2135" t="s">
        <v>2068</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1.0085</v>
      </c>
      <c r="C81" s="739"/>
      <c r="D81" s="739"/>
      <c r="E81" s="740"/>
      <c r="F81" s="2126"/>
      <c r="G81" s="3"/>
      <c r="H81" s="3"/>
      <c r="I81" s="3"/>
      <c r="J81" s="4"/>
      <c r="K81" s="4"/>
      <c r="L81" s="4"/>
      <c r="M81" s="4"/>
      <c r="N81" s="4"/>
      <c r="Z81" s="1995"/>
      <c r="AA81" s="2050"/>
      <c r="AG81" s="1118"/>
      <c r="AK81" s="2050"/>
    </row>
    <row r="82" spans="1:37" ht="24.75">
      <c r="A82" s="2127" t="s">
        <v>2044</v>
      </c>
      <c r="B82" s="1348"/>
      <c r="C82" s="1348" t="s">
        <v>2046</v>
      </c>
      <c r="D82" s="1348" t="s">
        <v>2047</v>
      </c>
      <c r="E82" s="741"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t="s">
        <v>3394</v>
      </c>
      <c r="D83" s="1062">
        <f t="shared" ref="D83:D90" si="22">SUMIF($J$82:$N$82,C83,J83:N83)</f>
        <v>0</v>
      </c>
      <c r="E83" s="742">
        <f>ROUND(SUM(D83:D90),4)</f>
        <v>8.5000000000000006E-3</v>
      </c>
      <c r="F83" s="1811">
        <f>IF(E2="工业",SUMIF(L1:L12,G2,N1:N12),"——")</f>
        <v>0</v>
      </c>
      <c r="G83" s="1060">
        <v>1.84E-2</v>
      </c>
      <c r="H83" s="1063">
        <f t="shared" ref="H83:H90" si="23">IFERROR(ROUNDDOWN($F$83*I83/2,4),"——")</f>
        <v>0</v>
      </c>
      <c r="I83" s="3364">
        <v>0.26</v>
      </c>
      <c r="J83" s="1061">
        <f t="shared" ref="J83:J90" si="24">K83+$G83</f>
        <v>3.6799999999999999E-2</v>
      </c>
      <c r="K83" s="1061">
        <f t="shared" ref="K83:K90" si="25">$L83+$G83</f>
        <v>1.84E-2</v>
      </c>
      <c r="L83" s="1061">
        <v>0</v>
      </c>
      <c r="M83" s="1061">
        <f t="shared" ref="M83:N90" si="26">L83-$G83</f>
        <v>-1.84E-2</v>
      </c>
      <c r="N83" s="1061">
        <f t="shared" si="26"/>
        <v>-3.6799999999999999E-2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3394</v>
      </c>
      <c r="D84" s="1062">
        <f t="shared" si="22"/>
        <v>0</v>
      </c>
      <c r="E84" s="745"/>
      <c r="F84" s="1811"/>
      <c r="G84" s="1060">
        <v>2.1299999999999999E-2</v>
      </c>
      <c r="H84" s="1063">
        <f t="shared" si="23"/>
        <v>0</v>
      </c>
      <c r="I84" s="3364">
        <v>0.3</v>
      </c>
      <c r="J84" s="1061">
        <f t="shared" si="24"/>
        <v>4.2599999999999999E-2</v>
      </c>
      <c r="K84" s="1061">
        <f t="shared" si="25"/>
        <v>2.1299999999999999E-2</v>
      </c>
      <c r="L84" s="1061">
        <v>0</v>
      </c>
      <c r="M84" s="1061">
        <f t="shared" si="26"/>
        <v>-2.1299999999999999E-2</v>
      </c>
      <c r="N84" s="1061">
        <f t="shared" si="26"/>
        <v>-4.2599999999999999E-2</v>
      </c>
      <c r="Z84" s="1995"/>
      <c r="AA84" s="2050"/>
      <c r="AG84" s="1118"/>
      <c r="AK84" s="2050"/>
    </row>
    <row r="85" spans="1:37" ht="36">
      <c r="A85" s="3366" t="s">
        <v>3271</v>
      </c>
      <c r="B85" s="2131">
        <f>估价对象房地状况!G17</f>
        <v>0</v>
      </c>
      <c r="C85" s="2041" t="s">
        <v>3394</v>
      </c>
      <c r="D85" s="1062">
        <f t="shared" si="22"/>
        <v>0</v>
      </c>
      <c r="E85" s="745"/>
      <c r="F85" s="1811"/>
      <c r="G85" s="1060">
        <v>7.1000000000000004E-3</v>
      </c>
      <c r="H85" s="1063">
        <f t="shared" si="23"/>
        <v>0</v>
      </c>
      <c r="I85" s="3364">
        <v>0.1</v>
      </c>
      <c r="J85" s="1061">
        <f t="shared" si="24"/>
        <v>1.4200000000000001E-2</v>
      </c>
      <c r="K85" s="1061">
        <f t="shared" si="25"/>
        <v>7.1000000000000004E-3</v>
      </c>
      <c r="L85" s="1061">
        <v>0</v>
      </c>
      <c r="M85" s="1061">
        <f t="shared" si="26"/>
        <v>-7.1000000000000004E-3</v>
      </c>
      <c r="N85" s="1061">
        <f t="shared" si="26"/>
        <v>-1.4200000000000001E-2</v>
      </c>
      <c r="Z85" s="1995"/>
      <c r="AA85" s="2050"/>
      <c r="AG85" s="1118"/>
      <c r="AK85" s="2050"/>
    </row>
    <row r="86" spans="1:37" ht="14.25">
      <c r="A86" s="2127" t="s">
        <v>2067</v>
      </c>
      <c r="B86" s="2131">
        <f>估价对象房地状况!G22</f>
        <v>0</v>
      </c>
      <c r="C86" s="2041" t="s">
        <v>3395</v>
      </c>
      <c r="D86" s="1062">
        <f t="shared" si="22"/>
        <v>-3.5000000000000001E-3</v>
      </c>
      <c r="E86" s="745"/>
      <c r="F86" s="1811"/>
      <c r="G86" s="1060">
        <v>3.5000000000000001E-3</v>
      </c>
      <c r="H86" s="1063">
        <f t="shared" si="23"/>
        <v>0</v>
      </c>
      <c r="I86" s="3364">
        <v>0.05</v>
      </c>
      <c r="J86" s="1061">
        <f t="shared" si="24"/>
        <v>7.0000000000000001E-3</v>
      </c>
      <c r="K86" s="1061">
        <f t="shared" si="25"/>
        <v>3.5000000000000001E-3</v>
      </c>
      <c r="L86" s="1061">
        <v>0</v>
      </c>
      <c r="M86" s="1061">
        <f t="shared" si="26"/>
        <v>-3.5000000000000001E-3</v>
      </c>
      <c r="N86" s="1061">
        <f t="shared" si="26"/>
        <v>-7.0000000000000001E-3</v>
      </c>
      <c r="Z86" s="1995"/>
      <c r="AA86" s="2050"/>
      <c r="AG86" s="1118"/>
      <c r="AK86" s="2050"/>
    </row>
    <row r="87" spans="1:37" ht="25.5">
      <c r="A87" s="2127" t="s">
        <v>2059</v>
      </c>
      <c r="B87" s="1323" t="str">
        <f>估价对象房地状况!G19</f>
        <v>估价对象所在区域公共配套设施齐备情况</v>
      </c>
      <c r="C87" s="2041" t="s">
        <v>3395</v>
      </c>
      <c r="D87" s="1062">
        <f t="shared" si="22"/>
        <v>-4.1999999999999997E-3</v>
      </c>
      <c r="E87" s="745"/>
      <c r="F87" s="1811"/>
      <c r="G87" s="1060">
        <v>4.1999999999999997E-3</v>
      </c>
      <c r="H87" s="1063">
        <f t="shared" si="23"/>
        <v>0</v>
      </c>
      <c r="I87" s="3364">
        <v>0.06</v>
      </c>
      <c r="J87" s="1061">
        <f t="shared" si="24"/>
        <v>8.3999999999999995E-3</v>
      </c>
      <c r="K87" s="1061">
        <f t="shared" si="25"/>
        <v>4.1999999999999997E-3</v>
      </c>
      <c r="L87" s="1061">
        <v>0</v>
      </c>
      <c r="M87" s="1061">
        <f t="shared" si="26"/>
        <v>-4.1999999999999997E-3</v>
      </c>
      <c r="N87" s="1061">
        <f t="shared" si="26"/>
        <v>-8.3999999999999995E-3</v>
      </c>
    </row>
    <row r="88" spans="1:37" ht="25.5">
      <c r="A88" s="2127" t="s">
        <v>2060</v>
      </c>
      <c r="B88" s="1323" t="str">
        <f>估价对象房地状况!G20</f>
        <v>估价对象所在区域基础设施水平</v>
      </c>
      <c r="C88" s="2041" t="s">
        <v>3396</v>
      </c>
      <c r="D88" s="1062">
        <f t="shared" si="22"/>
        <v>8.5000000000000006E-3</v>
      </c>
      <c r="E88" s="745"/>
      <c r="F88" s="1811"/>
      <c r="G88" s="1060">
        <v>8.5000000000000006E-3</v>
      </c>
      <c r="H88" s="1063">
        <f t="shared" si="23"/>
        <v>0</v>
      </c>
      <c r="I88" s="3364">
        <v>0.12</v>
      </c>
      <c r="J88" s="1061">
        <f t="shared" si="24"/>
        <v>1.7000000000000001E-2</v>
      </c>
      <c r="K88" s="1061">
        <f t="shared" si="25"/>
        <v>8.5000000000000006E-3</v>
      </c>
      <c r="L88" s="1061">
        <v>0</v>
      </c>
      <c r="M88" s="1061">
        <f t="shared" si="26"/>
        <v>-8.5000000000000006E-3</v>
      </c>
      <c r="N88" s="1061">
        <f t="shared" si="26"/>
        <v>-1.7000000000000001E-2</v>
      </c>
    </row>
    <row r="89" spans="1:37" ht="24">
      <c r="A89" s="2127" t="s">
        <v>2057</v>
      </c>
      <c r="B89" s="2133" t="s">
        <v>2071</v>
      </c>
      <c r="C89" s="2041" t="s">
        <v>3396</v>
      </c>
      <c r="D89" s="1062">
        <f t="shared" si="22"/>
        <v>4.1999999999999997E-3</v>
      </c>
      <c r="E89" s="745"/>
      <c r="F89" s="1811"/>
      <c r="G89" s="1060">
        <v>4.1999999999999997E-3</v>
      </c>
      <c r="H89" s="1063">
        <f t="shared" si="23"/>
        <v>0</v>
      </c>
      <c r="I89" s="3364">
        <v>0.06</v>
      </c>
      <c r="J89" s="1061">
        <f t="shared" si="24"/>
        <v>8.3999999999999995E-3</v>
      </c>
      <c r="K89" s="1061">
        <f t="shared" si="25"/>
        <v>4.1999999999999997E-3</v>
      </c>
      <c r="L89" s="1061">
        <v>0</v>
      </c>
      <c r="M89" s="1061">
        <f t="shared" si="26"/>
        <v>-4.1999999999999997E-3</v>
      </c>
      <c r="N89" s="1061">
        <f t="shared" si="26"/>
        <v>-8.3999999999999995E-3</v>
      </c>
    </row>
    <row r="90" spans="1:37" ht="39" thickBot="1">
      <c r="A90" s="2135" t="s">
        <v>2072</v>
      </c>
      <c r="B90" s="2140" t="str">
        <f>估价对象房地状况!G18</f>
        <v>该园区内是否有污染型企业，绿化情况，卫生条件，整体环境状况判断</v>
      </c>
      <c r="C90" s="2041" t="s">
        <v>3396</v>
      </c>
      <c r="D90" s="1062">
        <f t="shared" si="22"/>
        <v>3.5000000000000001E-3</v>
      </c>
      <c r="E90" s="746"/>
      <c r="F90" s="1811"/>
      <c r="G90" s="1060">
        <v>3.5000000000000001E-3</v>
      </c>
      <c r="H90" s="1063">
        <f t="shared" si="23"/>
        <v>0</v>
      </c>
      <c r="I90" s="3365">
        <v>0.05</v>
      </c>
      <c r="J90" s="1061">
        <f t="shared" si="24"/>
        <v>7.0000000000000001E-3</v>
      </c>
      <c r="K90" s="1061">
        <f t="shared" si="25"/>
        <v>3.5000000000000001E-3</v>
      </c>
      <c r="L90" s="1061">
        <v>0</v>
      </c>
      <c r="M90" s="1061">
        <f t="shared" si="26"/>
        <v>-3.5000000000000001E-3</v>
      </c>
      <c r="N90" s="1061">
        <f t="shared" si="26"/>
        <v>-7.0000000000000001E-3</v>
      </c>
    </row>
    <row r="91" spans="1:37" ht="15">
      <c r="A91" s="3374" t="s">
        <v>2611</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f>估价对象房地状况!C18</f>
        <v>0</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f>估价对象房地状况!C21</f>
        <v>0</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f>估价对象房地状况!C22</f>
        <v>0</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f>估价对象房地状况!C20</f>
        <v>0</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8" t="s">
        <v>3295</v>
      </c>
      <c r="B103" s="3748"/>
      <c r="C103" s="3748"/>
      <c r="D103" s="3748"/>
      <c r="E103" s="3748"/>
      <c r="F103" s="3748"/>
      <c r="G103" s="3748"/>
      <c r="H103" s="3748"/>
      <c r="I103" s="3748"/>
      <c r="J103" s="3748"/>
      <c r="K103" s="3387"/>
      <c r="L103" s="3387"/>
      <c r="M103" s="3387"/>
      <c r="N103" s="3387"/>
    </row>
    <row r="104" spans="1:14">
      <c r="A104" s="3749" t="s">
        <v>3296</v>
      </c>
      <c r="B104" s="3749" t="s">
        <v>3297</v>
      </c>
      <c r="C104" s="3388" t="s">
        <v>3298</v>
      </c>
      <c r="D104" s="3389"/>
      <c r="E104" s="3389"/>
      <c r="F104" s="3389"/>
      <c r="G104" s="3389"/>
      <c r="H104" s="3389"/>
      <c r="I104" s="3389"/>
      <c r="J104" s="3390"/>
      <c r="K104" s="3391"/>
      <c r="L104" s="3391"/>
      <c r="M104" s="3391"/>
      <c r="N104" s="3391"/>
    </row>
    <row r="105" spans="1:14">
      <c r="A105" s="3749"/>
      <c r="B105" s="374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3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6"/>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3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38" t="s">
        <v>3312</v>
      </c>
      <c r="B113" s="3738"/>
      <c r="C113" s="3738"/>
      <c r="D113" s="3738"/>
      <c r="E113" s="3738"/>
      <c r="F113" s="3738"/>
      <c r="G113" s="3738"/>
      <c r="H113" s="3738"/>
      <c r="I113" s="3738"/>
      <c r="J113" s="373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1</v>
      </c>
      <c r="C116" s="3397" t="s">
        <v>3314</v>
      </c>
      <c r="D116" s="3398">
        <f>SUMPRODUCT((A118:A122=F116)*(B117:M117=H116)*B118:M122)</f>
        <v>0</v>
      </c>
      <c r="E116" s="1997" t="s">
        <v>3315</v>
      </c>
      <c r="F116" s="3399" t="str">
        <f>E2</f>
        <v>工业</v>
      </c>
      <c r="G116" s="1997" t="s">
        <v>3316</v>
      </c>
      <c r="H116" s="3399">
        <f>G2</f>
        <v>0</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3330</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3331</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3332</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2611</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61" t="s">
        <v>2606</v>
      </c>
      <c r="B20" s="3754" t="s">
        <v>2627</v>
      </c>
      <c r="C20" s="3100" t="s">
        <v>2438</v>
      </c>
      <c r="D20" s="3101"/>
      <c r="E20" s="3102">
        <v>1</v>
      </c>
      <c r="F20" s="3103" t="s">
        <v>2439</v>
      </c>
      <c r="G20" s="3103"/>
    </row>
    <row r="21" spans="1:13" ht="19.5" customHeight="1">
      <c r="A21" s="3762"/>
      <c r="B21" s="3755"/>
      <c r="C21" s="3104" t="s">
        <v>2440</v>
      </c>
      <c r="D21" s="3105"/>
      <c r="E21" s="3106">
        <v>1</v>
      </c>
      <c r="F21" s="3103" t="s">
        <v>2441</v>
      </c>
      <c r="G21" s="3103"/>
    </row>
    <row r="22" spans="1:13" ht="19.5" customHeight="1">
      <c r="A22" s="3762"/>
      <c r="B22" s="3755"/>
      <c r="C22" s="3104" t="s">
        <v>2442</v>
      </c>
      <c r="D22" s="3105"/>
      <c r="E22" s="3106">
        <v>0.9</v>
      </c>
      <c r="F22" s="3103" t="s">
        <v>2443</v>
      </c>
      <c r="G22" s="3103"/>
    </row>
    <row r="23" spans="1:13" ht="19.5" customHeight="1">
      <c r="A23" s="3762"/>
      <c r="B23" s="3755"/>
      <c r="C23" s="3104" t="s">
        <v>2444</v>
      </c>
      <c r="D23" s="3105"/>
      <c r="E23" s="3106">
        <v>0.9</v>
      </c>
      <c r="F23" s="3103" t="s">
        <v>2445</v>
      </c>
      <c r="G23" s="3103"/>
    </row>
    <row r="24" spans="1:13" ht="19.5" customHeight="1">
      <c r="A24" s="3762"/>
      <c r="B24" s="3755"/>
      <c r="C24" s="3104" t="s">
        <v>2446</v>
      </c>
      <c r="D24" s="3105"/>
      <c r="E24" s="3106">
        <v>0.8</v>
      </c>
      <c r="F24" s="3103" t="s">
        <v>2447</v>
      </c>
      <c r="G24" s="3103"/>
    </row>
    <row r="25" spans="1:13" ht="19.5" customHeight="1" thickBot="1">
      <c r="A25" s="3763"/>
      <c r="B25" s="3756"/>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57" t="s">
        <v>2630</v>
      </c>
      <c r="B27" s="3754" t="s">
        <v>2611</v>
      </c>
      <c r="C27" s="3100" t="s">
        <v>2451</v>
      </c>
      <c r="D27" s="3101"/>
      <c r="E27" s="3102">
        <v>1</v>
      </c>
      <c r="F27" s="3103" t="s">
        <v>2452</v>
      </c>
      <c r="G27" s="3103"/>
    </row>
    <row r="28" spans="1:13" ht="19.5" customHeight="1">
      <c r="A28" s="3758"/>
      <c r="B28" s="3755"/>
      <c r="C28" s="3104" t="s">
        <v>2453</v>
      </c>
      <c r="D28" s="3105"/>
      <c r="E28" s="3106">
        <v>1</v>
      </c>
      <c r="F28" s="3103" t="s">
        <v>2454</v>
      </c>
      <c r="G28" s="3103"/>
    </row>
    <row r="29" spans="1:13" ht="19.5" customHeight="1">
      <c r="A29" s="3758"/>
      <c r="B29" s="3755"/>
      <c r="C29" s="3104" t="s">
        <v>2455</v>
      </c>
      <c r="D29" s="3105"/>
      <c r="E29" s="3106">
        <v>0.8</v>
      </c>
      <c r="F29" s="3103" t="s">
        <v>2456</v>
      </c>
      <c r="G29" s="3103"/>
    </row>
    <row r="30" spans="1:13" ht="19.5" customHeight="1">
      <c r="A30" s="3758"/>
      <c r="B30" s="3755"/>
      <c r="C30" s="3104" t="s">
        <v>2457</v>
      </c>
      <c r="D30" s="3105"/>
      <c r="E30" s="3106">
        <v>0.8</v>
      </c>
      <c r="F30" s="3103" t="s">
        <v>2458</v>
      </c>
      <c r="G30" s="3103"/>
    </row>
    <row r="31" spans="1:13" ht="19.5" customHeight="1">
      <c r="A31" s="3758"/>
      <c r="B31" s="3755"/>
      <c r="C31" s="3104" t="s">
        <v>2459</v>
      </c>
      <c r="D31" s="3105"/>
      <c r="E31" s="3106">
        <v>0.8</v>
      </c>
      <c r="F31" s="3103" t="s">
        <v>2460</v>
      </c>
      <c r="G31" s="3103"/>
    </row>
    <row r="32" spans="1:13" ht="19.5" customHeight="1">
      <c r="A32" s="3758"/>
      <c r="B32" s="3755"/>
      <c r="C32" s="3104" t="s">
        <v>2461</v>
      </c>
      <c r="D32" s="3105"/>
      <c r="E32" s="3106">
        <v>0.7</v>
      </c>
      <c r="F32" s="3103" t="s">
        <v>2462</v>
      </c>
      <c r="G32" s="3103"/>
    </row>
    <row r="33" spans="1:7" ht="19.5" customHeight="1">
      <c r="A33" s="3758"/>
      <c r="B33" s="3755"/>
      <c r="C33" s="3104" t="s">
        <v>2463</v>
      </c>
      <c r="D33" s="3105"/>
      <c r="E33" s="3106">
        <v>0.8</v>
      </c>
      <c r="F33" s="3103" t="s">
        <v>2464</v>
      </c>
      <c r="G33" s="3103"/>
    </row>
    <row r="34" spans="1:7" ht="19.5" customHeight="1">
      <c r="A34" s="3758"/>
      <c r="B34" s="3755"/>
      <c r="C34" s="3104" t="s">
        <v>2465</v>
      </c>
      <c r="D34" s="3105"/>
      <c r="E34" s="3106">
        <v>0.6</v>
      </c>
      <c r="F34" s="3103" t="s">
        <v>2466</v>
      </c>
      <c r="G34" s="3103"/>
    </row>
    <row r="35" spans="1:7" ht="19.5" customHeight="1">
      <c r="A35" s="3758"/>
      <c r="B35" s="3755"/>
      <c r="C35" s="3104" t="s">
        <v>2467</v>
      </c>
      <c r="D35" s="3105"/>
      <c r="E35" s="3106">
        <v>0.2</v>
      </c>
      <c r="F35" s="3103" t="s">
        <v>2468</v>
      </c>
      <c r="G35" s="3103"/>
    </row>
    <row r="36" spans="1:7" ht="19.5" customHeight="1">
      <c r="A36" s="3758"/>
      <c r="B36" s="3755"/>
      <c r="C36" s="3104" t="s">
        <v>2469</v>
      </c>
      <c r="D36" s="3105"/>
      <c r="E36" s="3106">
        <v>0.2</v>
      </c>
      <c r="F36" s="3103" t="s">
        <v>2470</v>
      </c>
      <c r="G36" s="3103"/>
    </row>
    <row r="37" spans="1:7" ht="19.5" customHeight="1">
      <c r="A37" s="3758"/>
      <c r="B37" s="3760" t="s">
        <v>2631</v>
      </c>
      <c r="C37" s="3104" t="s">
        <v>2471</v>
      </c>
      <c r="D37" s="3105"/>
      <c r="E37" s="3106">
        <v>0.6</v>
      </c>
      <c r="F37" s="3103" t="s">
        <v>2472</v>
      </c>
      <c r="G37" s="3103"/>
    </row>
    <row r="38" spans="1:7" ht="19.5" customHeight="1">
      <c r="A38" s="3758"/>
      <c r="B38" s="3755"/>
      <c r="C38" s="3104" t="s">
        <v>2473</v>
      </c>
      <c r="D38" s="3105"/>
      <c r="E38" s="3106">
        <v>0.6</v>
      </c>
      <c r="F38" s="3103" t="s">
        <v>2474</v>
      </c>
      <c r="G38" s="3103"/>
    </row>
    <row r="39" spans="1:7" ht="19.5" customHeight="1" thickBot="1">
      <c r="A39" s="3759"/>
      <c r="B39" s="3756"/>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61" t="s">
        <v>2609</v>
      </c>
      <c r="B41" s="3754" t="s">
        <v>2633</v>
      </c>
      <c r="C41" s="3100" t="s">
        <v>2478</v>
      </c>
      <c r="D41" s="3101"/>
      <c r="E41" s="3102">
        <v>1</v>
      </c>
      <c r="F41" s="3103" t="s">
        <v>2479</v>
      </c>
      <c r="G41" s="3103"/>
    </row>
    <row r="42" spans="1:7" ht="19.5" customHeight="1">
      <c r="A42" s="3762"/>
      <c r="B42" s="3755"/>
      <c r="C42" s="3104" t="s">
        <v>2480</v>
      </c>
      <c r="D42" s="3105"/>
      <c r="E42" s="3106">
        <v>1</v>
      </c>
      <c r="F42" s="3103" t="s">
        <v>2481</v>
      </c>
      <c r="G42" s="3103"/>
    </row>
    <row r="43" spans="1:7" ht="19.5" customHeight="1">
      <c r="A43" s="3762"/>
      <c r="B43" s="3764"/>
      <c r="C43" s="3104" t="s">
        <v>2482</v>
      </c>
      <c r="D43" s="3105"/>
      <c r="E43" s="3106">
        <v>1.5</v>
      </c>
      <c r="F43" s="3103" t="s">
        <v>2483</v>
      </c>
      <c r="G43" s="3103"/>
    </row>
    <row r="44" spans="1:7" ht="19.5" customHeight="1">
      <c r="A44" s="3762"/>
      <c r="B44" s="3115" t="s">
        <v>2634</v>
      </c>
      <c r="C44" s="3104" t="s">
        <v>2635</v>
      </c>
      <c r="D44" s="3105"/>
      <c r="E44" s="3106">
        <v>2</v>
      </c>
      <c r="F44" s="3103" t="s">
        <v>2484</v>
      </c>
      <c r="G44" s="3103"/>
    </row>
    <row r="45" spans="1:7" ht="19.5" customHeight="1">
      <c r="A45" s="3762"/>
      <c r="B45" s="3760" t="s">
        <v>2636</v>
      </c>
      <c r="C45" s="3104" t="s">
        <v>2485</v>
      </c>
      <c r="D45" s="3105"/>
      <c r="E45" s="3106">
        <v>1</v>
      </c>
      <c r="F45" s="3103" t="s">
        <v>2486</v>
      </c>
      <c r="G45" s="3103"/>
    </row>
    <row r="46" spans="1:7" ht="19.5" customHeight="1">
      <c r="A46" s="3762"/>
      <c r="B46" s="3755"/>
      <c r="C46" s="3104" t="s">
        <v>2487</v>
      </c>
      <c r="D46" s="3105"/>
      <c r="E46" s="3106">
        <v>1</v>
      </c>
      <c r="F46" s="3103" t="s">
        <v>2488</v>
      </c>
      <c r="G46" s="3103"/>
    </row>
    <row r="47" spans="1:7" ht="19.5" customHeight="1">
      <c r="A47" s="3762"/>
      <c r="B47" s="3755"/>
      <c r="C47" s="3104" t="s">
        <v>2489</v>
      </c>
      <c r="D47" s="3105"/>
      <c r="E47" s="3106">
        <v>1</v>
      </c>
      <c r="F47" s="3103" t="s">
        <v>2490</v>
      </c>
      <c r="G47" s="3103"/>
    </row>
    <row r="48" spans="1:7" ht="19.5" customHeight="1">
      <c r="A48" s="3762"/>
      <c r="B48" s="3755"/>
      <c r="C48" s="3104" t="s">
        <v>2491</v>
      </c>
      <c r="D48" s="3105"/>
      <c r="E48" s="3106">
        <v>1</v>
      </c>
      <c r="F48" s="3103" t="s">
        <v>2492</v>
      </c>
      <c r="G48" s="3103"/>
    </row>
    <row r="49" spans="1:7" ht="19.5" customHeight="1">
      <c r="A49" s="3762"/>
      <c r="B49" s="3755"/>
      <c r="C49" s="3104" t="s">
        <v>2493</v>
      </c>
      <c r="D49" s="3105"/>
      <c r="E49" s="3106">
        <v>1</v>
      </c>
      <c r="F49" s="3103" t="s">
        <v>2494</v>
      </c>
      <c r="G49" s="3103"/>
    </row>
    <row r="50" spans="1:7" ht="19.5" customHeight="1">
      <c r="A50" s="3762"/>
      <c r="B50" s="3755"/>
      <c r="C50" s="3104" t="s">
        <v>2495</v>
      </c>
      <c r="D50" s="3105"/>
      <c r="E50" s="3106">
        <v>1</v>
      </c>
      <c r="F50" s="3103" t="s">
        <v>2496</v>
      </c>
      <c r="G50" s="3103"/>
    </row>
    <row r="51" spans="1:7" ht="19.5" customHeight="1" thickBot="1">
      <c r="A51" s="3763"/>
      <c r="B51" s="3756"/>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60" t="s">
        <v>2650</v>
      </c>
      <c r="C73" s="3089" t="s">
        <v>2651</v>
      </c>
      <c r="D73" s="3089" t="s">
        <v>2652</v>
      </c>
      <c r="E73" s="3115">
        <v>0.2</v>
      </c>
      <c r="F73" s="3115">
        <v>25</v>
      </c>
    </row>
    <row r="74" spans="1:7" ht="24">
      <c r="A74" s="3115">
        <v>2</v>
      </c>
      <c r="B74" s="3755"/>
      <c r="C74" s="3089" t="s">
        <v>2653</v>
      </c>
      <c r="D74" s="3089" t="s">
        <v>2654</v>
      </c>
      <c r="E74" s="3115">
        <v>0.2</v>
      </c>
      <c r="F74" s="3115">
        <v>25</v>
      </c>
    </row>
    <row r="75" spans="1:7" ht="24">
      <c r="A75" s="3115">
        <v>3</v>
      </c>
      <c r="B75" s="3755"/>
      <c r="C75" s="3089" t="s">
        <v>2655</v>
      </c>
      <c r="D75" s="3089" t="s">
        <v>2656</v>
      </c>
      <c r="E75" s="3115">
        <v>0.2</v>
      </c>
      <c r="F75" s="3115">
        <v>25</v>
      </c>
    </row>
    <row r="76" spans="1:7" ht="13.5">
      <c r="A76" s="3115">
        <v>4</v>
      </c>
      <c r="B76" s="3755"/>
      <c r="C76" s="3089" t="s">
        <v>2657</v>
      </c>
      <c r="D76" s="3089" t="s">
        <v>2658</v>
      </c>
      <c r="E76" s="3115">
        <v>0.15</v>
      </c>
      <c r="F76" s="3115">
        <v>20</v>
      </c>
    </row>
    <row r="77" spans="1:7" ht="24">
      <c r="A77" s="3115">
        <v>5</v>
      </c>
      <c r="B77" s="3755"/>
      <c r="C77" s="3089" t="s">
        <v>2659</v>
      </c>
      <c r="D77" s="3089" t="s">
        <v>2660</v>
      </c>
      <c r="E77" s="3115">
        <v>0.15</v>
      </c>
      <c r="F77" s="3115">
        <v>20</v>
      </c>
    </row>
    <row r="78" spans="1:7" ht="24">
      <c r="A78" s="3115">
        <v>6</v>
      </c>
      <c r="B78" s="3755"/>
      <c r="C78" s="3089" t="s">
        <v>2661</v>
      </c>
      <c r="D78" s="3089" t="s">
        <v>2662</v>
      </c>
      <c r="E78" s="3115">
        <v>0.15</v>
      </c>
      <c r="F78" s="3115">
        <v>20</v>
      </c>
    </row>
    <row r="79" spans="1:7" ht="24">
      <c r="A79" s="3115">
        <v>7</v>
      </c>
      <c r="B79" s="3755"/>
      <c r="C79" s="3089" t="s">
        <v>2663</v>
      </c>
      <c r="D79" s="3089" t="s">
        <v>2664</v>
      </c>
      <c r="E79" s="3115">
        <v>0.15</v>
      </c>
      <c r="F79" s="3115">
        <v>20</v>
      </c>
    </row>
    <row r="80" spans="1:7" ht="24">
      <c r="A80" s="3115">
        <v>8</v>
      </c>
      <c r="B80" s="3755"/>
      <c r="C80" s="3089" t="s">
        <v>2665</v>
      </c>
      <c r="D80" s="3089" t="s">
        <v>2666</v>
      </c>
      <c r="E80" s="3115">
        <v>0.1</v>
      </c>
      <c r="F80" s="3115">
        <v>15</v>
      </c>
    </row>
    <row r="81" spans="1:6" ht="24">
      <c r="A81" s="3115">
        <v>9</v>
      </c>
      <c r="B81" s="3755"/>
      <c r="C81" s="3089" t="s">
        <v>2667</v>
      </c>
      <c r="D81" s="3089" t="s">
        <v>2668</v>
      </c>
      <c r="E81" s="3115">
        <v>0.1</v>
      </c>
      <c r="F81" s="3115">
        <v>15</v>
      </c>
    </row>
    <row r="82" spans="1:6" ht="24">
      <c r="A82" s="3115">
        <v>10</v>
      </c>
      <c r="B82" s="3755"/>
      <c r="C82" s="3089" t="s">
        <v>2669</v>
      </c>
      <c r="D82" s="3089" t="s">
        <v>2670</v>
      </c>
      <c r="E82" s="3115">
        <v>0.1</v>
      </c>
      <c r="F82" s="3115">
        <v>15</v>
      </c>
    </row>
    <row r="83" spans="1:6" ht="24">
      <c r="A83" s="3115">
        <v>11</v>
      </c>
      <c r="B83" s="3755"/>
      <c r="C83" s="3089" t="s">
        <v>2671</v>
      </c>
      <c r="D83" s="3089" t="s">
        <v>2672</v>
      </c>
      <c r="E83" s="3115">
        <v>0.1</v>
      </c>
      <c r="F83" s="3115">
        <v>15</v>
      </c>
    </row>
    <row r="84" spans="1:6" ht="24">
      <c r="A84" s="3115">
        <v>12</v>
      </c>
      <c r="B84" s="3755"/>
      <c r="C84" s="3089" t="s">
        <v>2673</v>
      </c>
      <c r="D84" s="3089" t="s">
        <v>2674</v>
      </c>
      <c r="E84" s="3115">
        <v>0.1</v>
      </c>
      <c r="F84" s="3115">
        <v>15</v>
      </c>
    </row>
    <row r="85" spans="1:6" ht="13.5">
      <c r="A85" s="3115">
        <v>13</v>
      </c>
      <c r="B85" s="3755"/>
      <c r="C85" s="3089" t="s">
        <v>2675</v>
      </c>
      <c r="D85" s="3089" t="s">
        <v>2676</v>
      </c>
      <c r="E85" s="3115">
        <v>0.1</v>
      </c>
      <c r="F85" s="3115">
        <v>15</v>
      </c>
    </row>
    <row r="86" spans="1:6" ht="13.5">
      <c r="A86" s="3115">
        <v>14</v>
      </c>
      <c r="B86" s="3755"/>
      <c r="C86" s="3089" t="s">
        <v>2677</v>
      </c>
      <c r="D86" s="3089" t="s">
        <v>2678</v>
      </c>
      <c r="E86" s="3115">
        <v>0.1</v>
      </c>
      <c r="F86" s="3115">
        <v>15</v>
      </c>
    </row>
    <row r="87" spans="1:6" ht="13.5">
      <c r="A87" s="3115">
        <v>15</v>
      </c>
      <c r="B87" s="3755"/>
      <c r="C87" s="3089" t="s">
        <v>2679</v>
      </c>
      <c r="D87" s="3089" t="s">
        <v>2680</v>
      </c>
      <c r="E87" s="3115">
        <v>0.1</v>
      </c>
      <c r="F87" s="3115">
        <v>15</v>
      </c>
    </row>
    <row r="88" spans="1:6" ht="24">
      <c r="A88" s="3115">
        <v>16</v>
      </c>
      <c r="B88" s="3755"/>
      <c r="C88" s="3089" t="s">
        <v>2681</v>
      </c>
      <c r="D88" s="3089" t="s">
        <v>2682</v>
      </c>
      <c r="E88" s="3115">
        <v>0.1</v>
      </c>
      <c r="F88" s="3115">
        <v>15</v>
      </c>
    </row>
    <row r="89" spans="1:6" ht="24">
      <c r="A89" s="3115">
        <v>17</v>
      </c>
      <c r="B89" s="3764"/>
      <c r="C89" s="3089" t="s">
        <v>2683</v>
      </c>
      <c r="D89" s="3089" t="s">
        <v>2684</v>
      </c>
      <c r="E89" s="3115">
        <v>0.1</v>
      </c>
      <c r="F89" s="3115">
        <v>15</v>
      </c>
    </row>
    <row r="90" spans="1:6" ht="13.5">
      <c r="A90" s="3115">
        <v>18</v>
      </c>
      <c r="B90" s="3760" t="s">
        <v>2685</v>
      </c>
      <c r="C90" s="3089" t="s">
        <v>2686</v>
      </c>
      <c r="D90" s="3089" t="s">
        <v>2687</v>
      </c>
      <c r="E90" s="3115">
        <v>0.2</v>
      </c>
      <c r="F90" s="3115">
        <v>25</v>
      </c>
    </row>
    <row r="91" spans="1:6" ht="24">
      <c r="A91" s="3115">
        <v>19</v>
      </c>
      <c r="B91" s="3755"/>
      <c r="C91" s="3089" t="s">
        <v>2688</v>
      </c>
      <c r="D91" s="3089" t="s">
        <v>2689</v>
      </c>
      <c r="E91" s="3115">
        <v>0.2</v>
      </c>
      <c r="F91" s="3115">
        <v>25</v>
      </c>
    </row>
    <row r="92" spans="1:6" ht="13.5">
      <c r="A92" s="3115">
        <v>20</v>
      </c>
      <c r="B92" s="3755"/>
      <c r="C92" s="3089" t="s">
        <v>2690</v>
      </c>
      <c r="D92" s="3089" t="s">
        <v>2691</v>
      </c>
      <c r="E92" s="3115">
        <v>0.15</v>
      </c>
      <c r="F92" s="3115">
        <v>20</v>
      </c>
    </row>
    <row r="93" spans="1:6" ht="13.5">
      <c r="A93" s="3115">
        <v>21</v>
      </c>
      <c r="B93" s="3755"/>
      <c r="C93" s="3089" t="s">
        <v>2692</v>
      </c>
      <c r="D93" s="3089" t="s">
        <v>2693</v>
      </c>
      <c r="E93" s="3115">
        <v>0.15</v>
      </c>
      <c r="F93" s="3115">
        <v>20</v>
      </c>
    </row>
    <row r="94" spans="1:6" ht="13.5">
      <c r="A94" s="3115">
        <v>22</v>
      </c>
      <c r="B94" s="3755"/>
      <c r="C94" s="3089" t="s">
        <v>2694</v>
      </c>
      <c r="D94" s="3089" t="s">
        <v>2695</v>
      </c>
      <c r="E94" s="3115">
        <v>0.15</v>
      </c>
      <c r="F94" s="3115">
        <v>20</v>
      </c>
    </row>
    <row r="95" spans="1:6" ht="36">
      <c r="A95" s="3115">
        <v>23</v>
      </c>
      <c r="B95" s="3755"/>
      <c r="C95" s="3089" t="s">
        <v>2696</v>
      </c>
      <c r="D95" s="3089" t="s">
        <v>2697</v>
      </c>
      <c r="E95" s="3115">
        <v>0.15</v>
      </c>
      <c r="F95" s="3115">
        <v>20</v>
      </c>
    </row>
    <row r="96" spans="1:6" ht="13.5">
      <c r="A96" s="3115">
        <v>24</v>
      </c>
      <c r="B96" s="3755"/>
      <c r="C96" s="3089" t="s">
        <v>2698</v>
      </c>
      <c r="D96" s="3089" t="s">
        <v>2699</v>
      </c>
      <c r="E96" s="3115">
        <v>0.1</v>
      </c>
      <c r="F96" s="3115">
        <v>15</v>
      </c>
    </row>
    <row r="97" spans="1:6" ht="13.5">
      <c r="A97" s="3115">
        <v>25</v>
      </c>
      <c r="B97" s="3755"/>
      <c r="C97" s="3089" t="s">
        <v>2700</v>
      </c>
      <c r="D97" s="3089" t="s">
        <v>2701</v>
      </c>
      <c r="E97" s="3115">
        <v>0.1</v>
      </c>
      <c r="F97" s="3115">
        <v>15</v>
      </c>
    </row>
    <row r="98" spans="1:6" ht="24">
      <c r="A98" s="3115">
        <v>26</v>
      </c>
      <c r="B98" s="3755"/>
      <c r="C98" s="3089" t="s">
        <v>2702</v>
      </c>
      <c r="D98" s="3089" t="s">
        <v>2703</v>
      </c>
      <c r="E98" s="3115">
        <v>0.1</v>
      </c>
      <c r="F98" s="3115">
        <v>15</v>
      </c>
    </row>
    <row r="99" spans="1:6" ht="24">
      <c r="A99" s="3115">
        <v>27</v>
      </c>
      <c r="B99" s="3755"/>
      <c r="C99" s="3089" t="s">
        <v>2704</v>
      </c>
      <c r="D99" s="3089" t="s">
        <v>2705</v>
      </c>
      <c r="E99" s="3115">
        <v>0.1</v>
      </c>
      <c r="F99" s="3115">
        <v>15</v>
      </c>
    </row>
    <row r="100" spans="1:6" ht="13.5">
      <c r="A100" s="3115">
        <v>28</v>
      </c>
      <c r="B100" s="3755"/>
      <c r="C100" s="3089" t="s">
        <v>2706</v>
      </c>
      <c r="D100" s="3089" t="s">
        <v>2707</v>
      </c>
      <c r="E100" s="3115">
        <v>0.1</v>
      </c>
      <c r="F100" s="3115">
        <v>15</v>
      </c>
    </row>
    <row r="101" spans="1:6" ht="13.5">
      <c r="A101" s="3115">
        <v>29</v>
      </c>
      <c r="B101" s="3755"/>
      <c r="C101" s="3089" t="s">
        <v>2708</v>
      </c>
      <c r="D101" s="3089" t="s">
        <v>2709</v>
      </c>
      <c r="E101" s="3115">
        <v>0.1</v>
      </c>
      <c r="F101" s="3115">
        <v>15</v>
      </c>
    </row>
    <row r="102" spans="1:6" ht="13.5">
      <c r="A102" s="3115">
        <v>30</v>
      </c>
      <c r="B102" s="3755"/>
      <c r="C102" s="3089" t="s">
        <v>2710</v>
      </c>
      <c r="D102" s="3089" t="s">
        <v>2711</v>
      </c>
      <c r="E102" s="3115">
        <v>0.1</v>
      </c>
      <c r="F102" s="3115">
        <v>15</v>
      </c>
    </row>
    <row r="103" spans="1:6" ht="24">
      <c r="A103" s="3115">
        <v>31</v>
      </c>
      <c r="B103" s="3755"/>
      <c r="C103" s="3089" t="s">
        <v>2712</v>
      </c>
      <c r="D103" s="3089" t="s">
        <v>2713</v>
      </c>
      <c r="E103" s="3115">
        <v>0.1</v>
      </c>
      <c r="F103" s="3115">
        <v>15</v>
      </c>
    </row>
    <row r="104" spans="1:6" ht="24">
      <c r="A104" s="3115">
        <v>32</v>
      </c>
      <c r="B104" s="3755"/>
      <c r="C104" s="3089" t="s">
        <v>2714</v>
      </c>
      <c r="D104" s="3089" t="s">
        <v>2715</v>
      </c>
      <c r="E104" s="3115">
        <v>0.1</v>
      </c>
      <c r="F104" s="3115">
        <v>15</v>
      </c>
    </row>
    <row r="105" spans="1:6" ht="24">
      <c r="A105" s="3115">
        <v>33</v>
      </c>
      <c r="B105" s="3755"/>
      <c r="C105" s="3089" t="s">
        <v>2716</v>
      </c>
      <c r="D105" s="3089" t="s">
        <v>2717</v>
      </c>
      <c r="E105" s="3115">
        <v>0.1</v>
      </c>
      <c r="F105" s="3115">
        <v>15</v>
      </c>
    </row>
    <row r="106" spans="1:6" ht="24">
      <c r="A106" s="3115">
        <v>34</v>
      </c>
      <c r="B106" s="3764"/>
      <c r="C106" s="3089" t="s">
        <v>2718</v>
      </c>
      <c r="D106" s="3089" t="s">
        <v>2719</v>
      </c>
      <c r="E106" s="3115">
        <v>0.1</v>
      </c>
      <c r="F106" s="3115">
        <v>15</v>
      </c>
    </row>
    <row r="107" spans="1:6" ht="24">
      <c r="A107" s="3115">
        <v>35</v>
      </c>
      <c r="B107" s="3760" t="s">
        <v>2720</v>
      </c>
      <c r="C107" s="3115" t="s">
        <v>2721</v>
      </c>
      <c r="D107" s="3089" t="s">
        <v>2722</v>
      </c>
      <c r="E107" s="3115">
        <v>0.15</v>
      </c>
      <c r="F107" s="3115">
        <v>20</v>
      </c>
    </row>
    <row r="108" spans="1:6" ht="13.5">
      <c r="A108" s="3115">
        <v>36</v>
      </c>
      <c r="B108" s="3755"/>
      <c r="C108" s="3115" t="s">
        <v>2723</v>
      </c>
      <c r="D108" s="3089" t="s">
        <v>2724</v>
      </c>
      <c r="E108" s="3115">
        <v>0.15</v>
      </c>
      <c r="F108" s="3115">
        <v>20</v>
      </c>
    </row>
    <row r="109" spans="1:6" ht="13.5">
      <c r="A109" s="3115">
        <v>37</v>
      </c>
      <c r="B109" s="3755"/>
      <c r="C109" s="3115" t="s">
        <v>2725</v>
      </c>
      <c r="D109" s="3089" t="s">
        <v>2726</v>
      </c>
      <c r="E109" s="3115">
        <v>0.15</v>
      </c>
      <c r="F109" s="3115">
        <v>20</v>
      </c>
    </row>
    <row r="110" spans="1:6" ht="13.5">
      <c r="A110" s="3115">
        <v>38</v>
      </c>
      <c r="B110" s="3755"/>
      <c r="C110" s="3115" t="s">
        <v>2727</v>
      </c>
      <c r="D110" s="3089" t="s">
        <v>2728</v>
      </c>
      <c r="E110" s="3115">
        <v>0.1</v>
      </c>
      <c r="F110" s="3115">
        <v>15</v>
      </c>
    </row>
    <row r="111" spans="1:6" ht="24">
      <c r="A111" s="3115">
        <v>39</v>
      </c>
      <c r="B111" s="3755"/>
      <c r="C111" s="3115" t="s">
        <v>2729</v>
      </c>
      <c r="D111" s="3089" t="s">
        <v>2730</v>
      </c>
      <c r="E111" s="3115">
        <v>0.1</v>
      </c>
      <c r="F111" s="3115">
        <v>15</v>
      </c>
    </row>
    <row r="112" spans="1:6" ht="24">
      <c r="A112" s="3115">
        <v>40</v>
      </c>
      <c r="B112" s="3764"/>
      <c r="C112" s="3115" t="s">
        <v>2731</v>
      </c>
      <c r="D112" s="3089" t="s">
        <v>2732</v>
      </c>
      <c r="E112" s="3115">
        <v>0.1</v>
      </c>
      <c r="F112" s="3115">
        <v>15</v>
      </c>
    </row>
    <row r="113" spans="1:6" ht="13.5">
      <c r="A113" s="3115">
        <v>41</v>
      </c>
      <c r="B113" s="3765" t="s">
        <v>2733</v>
      </c>
      <c r="C113" s="3115" t="s">
        <v>2734</v>
      </c>
      <c r="D113" s="3089" t="s">
        <v>2735</v>
      </c>
      <c r="E113" s="3115">
        <v>0.1</v>
      </c>
      <c r="F113" s="3115">
        <v>15</v>
      </c>
    </row>
    <row r="114" spans="1:6" ht="13.5">
      <c r="A114" s="3115">
        <v>42</v>
      </c>
      <c r="B114" s="3765"/>
      <c r="C114" s="3115" t="s">
        <v>2736</v>
      </c>
      <c r="D114" s="3089" t="s">
        <v>2737</v>
      </c>
      <c r="E114" s="3115">
        <v>0.1</v>
      </c>
      <c r="F114" s="3115">
        <v>15</v>
      </c>
    </row>
    <row r="115" spans="1:6" ht="24">
      <c r="A115" s="3115">
        <v>43</v>
      </c>
      <c r="B115" s="3765"/>
      <c r="C115" s="3115" t="s">
        <v>2738</v>
      </c>
      <c r="D115" s="3089" t="s">
        <v>2739</v>
      </c>
      <c r="E115" s="3115">
        <v>0.1</v>
      </c>
      <c r="F115" s="3115">
        <v>15</v>
      </c>
    </row>
    <row r="116" spans="1:6" ht="13.5">
      <c r="A116" s="3115">
        <v>44</v>
      </c>
      <c r="B116" s="3760" t="s">
        <v>2740</v>
      </c>
      <c r="C116" s="3115" t="s">
        <v>2741</v>
      </c>
      <c r="D116" s="3089" t="s">
        <v>2742</v>
      </c>
      <c r="E116" s="3115">
        <v>0.1</v>
      </c>
      <c r="F116" s="3115">
        <v>15</v>
      </c>
    </row>
    <row r="117" spans="1:6" ht="24">
      <c r="A117" s="3115">
        <v>45</v>
      </c>
      <c r="B117" s="3764"/>
      <c r="C117" s="3089" t="s">
        <v>2743</v>
      </c>
      <c r="D117" s="3089" t="s">
        <v>2744</v>
      </c>
      <c r="E117" s="3115">
        <v>0.1</v>
      </c>
      <c r="F117" s="3115">
        <v>15</v>
      </c>
    </row>
    <row r="118" spans="1:6" ht="24">
      <c r="A118" s="3115">
        <v>46</v>
      </c>
      <c r="B118" s="3760" t="s">
        <v>2745</v>
      </c>
      <c r="C118" s="3115" t="s">
        <v>2746</v>
      </c>
      <c r="D118" s="3089" t="s">
        <v>2747</v>
      </c>
      <c r="E118" s="3115">
        <v>0.1</v>
      </c>
      <c r="F118" s="3115">
        <v>15</v>
      </c>
    </row>
    <row r="119" spans="1:6" ht="24">
      <c r="A119" s="3115">
        <v>47</v>
      </c>
      <c r="B119" s="3764"/>
      <c r="C119" s="3115" t="s">
        <v>2748</v>
      </c>
      <c r="D119" s="3089" t="s">
        <v>2749</v>
      </c>
      <c r="E119" s="3115">
        <v>0.1</v>
      </c>
      <c r="F119" s="3115">
        <v>15</v>
      </c>
    </row>
    <row r="120" spans="1:6" ht="13.5">
      <c r="A120" s="3115">
        <v>48</v>
      </c>
      <c r="B120" s="3760" t="s">
        <v>2750</v>
      </c>
      <c r="C120" s="3115" t="s">
        <v>2751</v>
      </c>
      <c r="D120" s="3089" t="s">
        <v>2752</v>
      </c>
      <c r="E120" s="3115">
        <v>0.1</v>
      </c>
      <c r="F120" s="3115">
        <v>15</v>
      </c>
    </row>
    <row r="121" spans="1:6" ht="13.5">
      <c r="A121" s="3115">
        <v>49</v>
      </c>
      <c r="B121" s="3764"/>
      <c r="C121" s="3115" t="s">
        <v>2753</v>
      </c>
      <c r="D121" s="3089" t="s">
        <v>2754</v>
      </c>
      <c r="E121" s="3115">
        <v>0.1</v>
      </c>
      <c r="F121" s="3115">
        <v>15</v>
      </c>
    </row>
    <row r="122" spans="1:6" ht="24">
      <c r="A122" s="3115">
        <v>50</v>
      </c>
      <c r="B122" s="3765" t="s">
        <v>2755</v>
      </c>
      <c r="C122" s="3115" t="s">
        <v>2756</v>
      </c>
      <c r="D122" s="3089" t="s">
        <v>2757</v>
      </c>
      <c r="E122" s="3115">
        <v>0.1</v>
      </c>
      <c r="F122" s="3115">
        <v>15</v>
      </c>
    </row>
    <row r="123" spans="1:6" ht="24">
      <c r="A123" s="3115">
        <v>51</v>
      </c>
      <c r="B123" s="3765"/>
      <c r="C123" s="3115" t="s">
        <v>2758</v>
      </c>
      <c r="D123" s="3089" t="s">
        <v>2759</v>
      </c>
      <c r="E123" s="3115">
        <v>0.1</v>
      </c>
      <c r="F123" s="3115">
        <v>15</v>
      </c>
    </row>
    <row r="124" spans="1:6" ht="24">
      <c r="A124" s="3115">
        <v>52</v>
      </c>
      <c r="B124" s="3765" t="s">
        <v>2760</v>
      </c>
      <c r="C124" s="3115" t="s">
        <v>2761</v>
      </c>
      <c r="D124" s="3089" t="s">
        <v>2762</v>
      </c>
      <c r="E124" s="3115">
        <v>0.1</v>
      </c>
      <c r="F124" s="3115">
        <v>15</v>
      </c>
    </row>
    <row r="125" spans="1:6" ht="24">
      <c r="A125" s="3115">
        <v>53</v>
      </c>
      <c r="B125" s="3765"/>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65" t="s">
        <v>2768</v>
      </c>
      <c r="C127" s="3115" t="s">
        <v>2769</v>
      </c>
      <c r="D127" s="3089" t="s">
        <v>2770</v>
      </c>
      <c r="E127" s="3115">
        <v>0.1</v>
      </c>
      <c r="F127" s="3115">
        <v>15</v>
      </c>
    </row>
    <row r="128" spans="1:6" ht="13.5">
      <c r="A128" s="3115">
        <v>56</v>
      </c>
      <c r="B128" s="3765"/>
      <c r="C128" s="3115" t="s">
        <v>2771</v>
      </c>
      <c r="D128" s="3089" t="s">
        <v>2772</v>
      </c>
      <c r="E128" s="3115">
        <v>0.1</v>
      </c>
      <c r="F128" s="3115">
        <v>15</v>
      </c>
    </row>
    <row r="129" spans="1:6" ht="24">
      <c r="A129" s="3115">
        <v>57</v>
      </c>
      <c r="B129" s="3765"/>
      <c r="C129" s="3115" t="s">
        <v>2773</v>
      </c>
      <c r="D129" s="3089" t="s">
        <v>2774</v>
      </c>
      <c r="E129" s="3115">
        <v>0.1</v>
      </c>
      <c r="F129" s="3115">
        <v>15</v>
      </c>
    </row>
    <row r="130" spans="1:6" ht="24">
      <c r="A130" s="3115">
        <v>58</v>
      </c>
      <c r="B130" s="3765" t="s">
        <v>2775</v>
      </c>
      <c r="C130" s="3115" t="s">
        <v>2776</v>
      </c>
      <c r="D130" s="3089" t="s">
        <v>2777</v>
      </c>
      <c r="E130" s="3115">
        <v>0.1</v>
      </c>
      <c r="F130" s="3115">
        <v>15</v>
      </c>
    </row>
    <row r="131" spans="1:6" ht="13.5">
      <c r="A131" s="3115">
        <v>59</v>
      </c>
      <c r="B131" s="3765"/>
      <c r="C131" s="3115" t="s">
        <v>2778</v>
      </c>
      <c r="D131" s="3089" t="s">
        <v>2779</v>
      </c>
      <c r="E131" s="3115">
        <v>0.1</v>
      </c>
      <c r="F131" s="3115">
        <v>15</v>
      </c>
    </row>
    <row r="132" spans="1:6" ht="13.5">
      <c r="A132" s="3115">
        <v>60</v>
      </c>
      <c r="B132" s="3760" t="s">
        <v>2780</v>
      </c>
      <c r="C132" s="3115" t="s">
        <v>2781</v>
      </c>
      <c r="D132" s="3089" t="s">
        <v>2782</v>
      </c>
      <c r="E132" s="3115">
        <v>0.1</v>
      </c>
      <c r="F132" s="3115">
        <v>15</v>
      </c>
    </row>
    <row r="133" spans="1:6" ht="13.5">
      <c r="A133" s="3115">
        <v>61</v>
      </c>
      <c r="B133" s="3764"/>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65" t="s">
        <v>2788</v>
      </c>
      <c r="C135" s="3115" t="s">
        <v>2789</v>
      </c>
      <c r="D135" s="3089" t="s">
        <v>2790</v>
      </c>
      <c r="E135" s="3115">
        <v>0.1</v>
      </c>
      <c r="F135" s="3115">
        <v>15</v>
      </c>
    </row>
    <row r="136" spans="1:6" ht="13.5">
      <c r="A136" s="3115">
        <v>64</v>
      </c>
      <c r="B136" s="3765"/>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2797</v>
      </c>
      <c r="B1" s="3124"/>
      <c r="C1" s="3124"/>
      <c r="D1" s="3124"/>
      <c r="E1" s="3124"/>
      <c r="F1" s="3124"/>
      <c r="G1" s="3124"/>
      <c r="H1" s="3124"/>
      <c r="I1" s="3124"/>
      <c r="J1" s="3124"/>
      <c r="K1" s="3124"/>
      <c r="L1" s="3124"/>
      <c r="M1" s="3124"/>
      <c r="N1" s="747"/>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8">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8">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30380</v>
      </c>
      <c r="C2" s="2" t="s">
        <v>106</v>
      </c>
      <c r="D2" s="199"/>
      <c r="E2" s="199"/>
      <c r="F2" s="199"/>
      <c r="G2" s="199"/>
    </row>
    <row r="3" spans="1:7" s="200" customFormat="1" ht="18" customHeight="1" thickBot="1">
      <c r="A3" s="203" t="s">
        <v>58</v>
      </c>
      <c r="B3" s="204">
        <f ca="1">ROUND(B2*10000/'数据-汇总表'!E3,0)</f>
        <v>12218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497</v>
      </c>
      <c r="D10" s="843">
        <f>'数据-汇总表'!E6</f>
        <v>24865.040000000005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497</v>
      </c>
      <c r="D19" s="847">
        <f>'数据-汇总表'!E3</f>
        <v>24865.040000000005</v>
      </c>
      <c r="E19" s="211">
        <f>'数据-取费表'!B31</f>
        <v>200</v>
      </c>
      <c r="F19" s="231"/>
      <c r="G19" s="1" t="s">
        <v>436</v>
      </c>
    </row>
    <row r="20" spans="1:7" s="214" customFormat="1" ht="13.5" customHeight="1">
      <c r="A20" s="775" t="s">
        <v>419</v>
      </c>
      <c r="B20" s="210" t="s">
        <v>77</v>
      </c>
      <c r="C20" s="232">
        <f>ROUND((C5+C19)*F20,0)</f>
        <v>422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1497</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35</v>
      </c>
      <c r="D24" s="238"/>
      <c r="E24" s="238"/>
      <c r="F24" s="239"/>
      <c r="G24" s="240" t="s">
        <v>82</v>
      </c>
    </row>
    <row r="25" spans="1:7" s="214" customFormat="1" ht="24">
      <c r="A25" s="778" t="s">
        <v>348</v>
      </c>
      <c r="B25" s="215" t="s">
        <v>420</v>
      </c>
      <c r="C25" s="1102">
        <f ca="1">ROUND(IF('数据-取费表'!B22&lt;=1,C20*F22*'数据-取费表'!B23/2,C20*(POWER((1+F22),'数据-取费表'!B23/2)-1)),0)</f>
        <v>15</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3875</v>
      </c>
      <c r="D27" s="235">
        <f>C29</f>
        <v>3.5999999999999999E-3</v>
      </c>
      <c r="E27" s="236" t="s">
        <v>99</v>
      </c>
      <c r="F27" s="246">
        <f>'数据-取费表'!Q16</f>
        <v>0.18</v>
      </c>
      <c r="G27" s="247" t="s">
        <v>431</v>
      </c>
    </row>
    <row r="28" spans="1:7" s="214" customFormat="1" ht="13.5" customHeight="1">
      <c r="A28" s="778" t="s">
        <v>349</v>
      </c>
      <c r="B28" s="248" t="s">
        <v>424</v>
      </c>
      <c r="C28" s="249">
        <f>ROUND((C5+C19+C20)*F27*'数据-取费表'!B21/'数据-取费表'!B20,0)</f>
        <v>3875</v>
      </c>
      <c r="D28" s="235"/>
      <c r="E28" s="236"/>
      <c r="F28" s="246"/>
      <c r="G28" s="247"/>
    </row>
    <row r="29" spans="1:7" s="214" customFormat="1" ht="13.5" customHeight="1">
      <c r="A29" s="778" t="s">
        <v>347</v>
      </c>
      <c r="B29" s="248" t="s">
        <v>425</v>
      </c>
      <c r="C29" s="238">
        <f>ROUND(C21*F27*'数据-取费表'!B21/'数据-取费表'!B20,4)</f>
        <v>3.5999999999999999E-3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29135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1205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678</v>
      </c>
      <c r="D34" s="217"/>
      <c r="E34" s="220"/>
      <c r="F34" s="257">
        <f>IF('数据-取费表'!B24=0,1,'数据-取费表'!N16)</f>
        <v>1</v>
      </c>
      <c r="G34" s="219" t="s">
        <v>89</v>
      </c>
    </row>
    <row r="35" spans="1:7" ht="13.5" customHeight="1">
      <c r="A35" s="778" t="s">
        <v>351</v>
      </c>
      <c r="B35" s="215" t="s">
        <v>33</v>
      </c>
      <c r="C35" s="220">
        <f>ROUND(C34*F35,0)</f>
        <v>20</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497</v>
      </c>
      <c r="D37" s="217">
        <f>'数据-汇总表'!E3</f>
        <v>24865.040000000005</v>
      </c>
      <c r="E37" s="249">
        <f>'数据-取费表'!B35</f>
        <v>200</v>
      </c>
      <c r="F37" s="259"/>
      <c r="G37" s="261" t="s">
        <v>92</v>
      </c>
    </row>
    <row r="38" spans="1:7" ht="13.5" customHeight="1">
      <c r="A38" s="778" t="s">
        <v>354</v>
      </c>
      <c r="B38" s="215" t="s">
        <v>36</v>
      </c>
      <c r="C38" s="220">
        <f>ROUND(C34*F38,0)</f>
        <v>10</v>
      </c>
      <c r="D38" s="220"/>
      <c r="E38" s="220"/>
      <c r="F38" s="259">
        <f>'数据-取费表'!B36</f>
        <v>1.4999999999999999E-2</v>
      </c>
      <c r="G38" s="219" t="s">
        <v>90</v>
      </c>
    </row>
    <row r="39" spans="1:7" s="214" customFormat="1" ht="13.5" customHeight="1">
      <c r="A39" s="775" t="s">
        <v>338</v>
      </c>
      <c r="B39" s="210" t="s">
        <v>77</v>
      </c>
      <c r="C39" s="232">
        <f>ROUND(C33*F20,0)</f>
        <v>24</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43</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42</v>
      </c>
      <c r="D42" s="238"/>
      <c r="E42" s="238"/>
      <c r="F42" s="239"/>
      <c r="G42" s="3630" t="s">
        <v>94</v>
      </c>
    </row>
    <row r="43" spans="1:7" ht="13.5" customHeight="1">
      <c r="A43" s="778" t="s">
        <v>347</v>
      </c>
      <c r="B43" s="215" t="s">
        <v>426</v>
      </c>
      <c r="C43" s="238">
        <f ca="1">ROUND(IF('数据-取费表'!B22&lt;=1,C39*F22*'数据-取费表'!B21/2,C39*(POWER((1+F22),'数据-取费表'!B21/2)-1)),0)</f>
        <v>1</v>
      </c>
      <c r="D43" s="238"/>
      <c r="E43" s="238"/>
      <c r="F43" s="239"/>
      <c r="G43" s="3631"/>
    </row>
    <row r="44" spans="1:7" ht="13.5" customHeight="1">
      <c r="A44" s="778" t="s">
        <v>348</v>
      </c>
      <c r="B44" s="215" t="s">
        <v>428</v>
      </c>
      <c r="C44" s="238">
        <f ca="1">ROUND(IF('数据-取费表'!B22&lt;=1,C40*F22*'数据-取费表'!B21/2,C40*(POWER((1+F22),'数据-取费表'!B21/2)-1)),4)</f>
        <v>6.9999999999999999E-4</v>
      </c>
      <c r="D44" s="238"/>
      <c r="E44" s="238"/>
      <c r="F44" s="239"/>
      <c r="G44" s="3632"/>
    </row>
    <row r="45" spans="1:7" s="214" customFormat="1" ht="13.5" customHeight="1">
      <c r="A45" s="775" t="s">
        <v>341</v>
      </c>
      <c r="B45" s="244" t="s">
        <v>85</v>
      </c>
      <c r="C45" s="245">
        <f>C46</f>
        <v>221</v>
      </c>
      <c r="D45" s="235">
        <f>C47</f>
        <v>3.5999999999999999E-3</v>
      </c>
      <c r="E45" s="236" t="s">
        <v>102</v>
      </c>
      <c r="F45" s="246"/>
      <c r="G45" s="247" t="s">
        <v>434</v>
      </c>
    </row>
    <row r="46" spans="1:7" s="214" customFormat="1" ht="13.5" customHeight="1">
      <c r="A46" s="778" t="s">
        <v>349</v>
      </c>
      <c r="B46" s="248" t="s">
        <v>427</v>
      </c>
      <c r="C46" s="249">
        <f>ROUND((C33+C39)*F27,0)</f>
        <v>221</v>
      </c>
      <c r="D46" s="263"/>
      <c r="E46" s="236"/>
      <c r="F46" s="246"/>
      <c r="G46" s="247"/>
    </row>
    <row r="47" spans="1:7" s="214" customFormat="1" ht="13.5" customHeight="1">
      <c r="A47" s="778" t="s">
        <v>347</v>
      </c>
      <c r="B47" s="248" t="s">
        <v>429</v>
      </c>
      <c r="C47" s="238">
        <f>ROUND(C40*F27,4)</f>
        <v>3.5999999999999999E-3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1617</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1245</v>
      </c>
      <c r="D51" s="232"/>
      <c r="E51" s="232"/>
      <c r="F51" s="264"/>
      <c r="G51" s="234" t="s">
        <v>37</v>
      </c>
    </row>
    <row r="52" spans="1:7" s="208" customFormat="1" ht="16.5" thickBot="1">
      <c r="A52" s="265" t="s">
        <v>38</v>
      </c>
      <c r="B52" s="266"/>
      <c r="C52" s="267">
        <f ca="1">C31+C51</f>
        <v>30380</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0"/>
      <c r="B4" s="3451" t="s">
        <v>917</v>
      </c>
      <c r="C4" s="3451"/>
      <c r="D4" s="3451"/>
      <c r="E4" s="1490"/>
    </row>
    <row r="5" spans="1:5" ht="16.5" thickTop="1">
      <c r="A5" s="1488"/>
      <c r="B5" s="3449" t="s">
        <v>909</v>
      </c>
      <c r="C5" s="1491" t="s">
        <v>910</v>
      </c>
      <c r="D5" s="848">
        <f ca="1">结果表!H101</f>
        <v>6954</v>
      </c>
      <c r="E5" s="1488"/>
    </row>
    <row r="6" spans="1:5" ht="15.75">
      <c r="A6" s="1488"/>
      <c r="B6" s="3449"/>
      <c r="C6" s="1491" t="s">
        <v>911</v>
      </c>
      <c r="D6" s="848" t="str">
        <f ca="1">NUMBERSTRING(INT(D5*10000),2)&amp;"元整"</f>
        <v>陆仟玖佰伍拾肆万元整</v>
      </c>
      <c r="E6" s="1488"/>
    </row>
    <row r="7" spans="1:5" ht="15.75">
      <c r="A7" s="1488"/>
      <c r="B7" s="3454"/>
      <c r="C7" s="1492" t="s">
        <v>912</v>
      </c>
      <c r="D7" s="849">
        <f ca="1">结果表!H102</f>
        <v>2797</v>
      </c>
      <c r="E7" s="1488"/>
    </row>
    <row r="8" spans="1:5" ht="15.75">
      <c r="A8" s="1488"/>
      <c r="B8" s="3455" t="str">
        <f>结果表!E103</f>
        <v>2.估价师知悉的法定优先受偿款</v>
      </c>
      <c r="C8" s="1493" t="s">
        <v>913</v>
      </c>
      <c r="D8" s="849">
        <f>结果表!H103</f>
        <v>0</v>
      </c>
      <c r="E8" s="1488"/>
    </row>
    <row r="9" spans="1:5" ht="15.75">
      <c r="A9" s="1488"/>
      <c r="B9" s="3457"/>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48" t="str">
        <f>结果表!E107</f>
        <v>3.房地产抵押价值</v>
      </c>
      <c r="C13" s="1496" t="s">
        <v>910</v>
      </c>
      <c r="D13" s="851">
        <f ca="1">结果表!H107</f>
        <v>6954</v>
      </c>
      <c r="E13" s="1488"/>
    </row>
    <row r="14" spans="1:5" ht="15.75">
      <c r="A14" s="1488"/>
      <c r="B14" s="3449"/>
      <c r="C14" s="1491" t="s">
        <v>911</v>
      </c>
      <c r="D14" s="848" t="str">
        <f ca="1">NUMBERSTRING(INT(D13*10000),2)&amp;"元整"</f>
        <v>陆仟玖佰伍拾肆万元整</v>
      </c>
      <c r="E14" s="1488"/>
    </row>
    <row r="15" spans="1:5" ht="15">
      <c r="A15" s="1488"/>
      <c r="B15" s="3454"/>
      <c r="C15" s="1492" t="s">
        <v>921</v>
      </c>
      <c r="D15" s="857">
        <f ca="1">结果表!H108</f>
        <v>2797</v>
      </c>
      <c r="E15" s="1488"/>
    </row>
    <row r="16" spans="1:5" ht="15">
      <c r="A16" s="1488"/>
      <c r="B16" s="3455" t="str">
        <f>结果表!E109</f>
        <v>——</v>
      </c>
      <c r="C16" s="1496" t="s">
        <v>922</v>
      </c>
      <c r="D16" s="1497" t="str">
        <f>结果表!H109</f>
        <v>——</v>
      </c>
      <c r="E16" s="1488"/>
    </row>
    <row r="17" spans="1:5" ht="15.75">
      <c r="A17" s="1488"/>
      <c r="B17" s="3456"/>
      <c r="C17" s="1491" t="s">
        <v>923</v>
      </c>
      <c r="D17" s="848" t="e">
        <f>NUMBERSTRING(INT(D16*10000),2)&amp;"元整"</f>
        <v>#VALUE!</v>
      </c>
      <c r="E17" s="1488"/>
    </row>
    <row r="18" spans="1:5" ht="15">
      <c r="A18" s="1488"/>
      <c r="B18" s="3457"/>
      <c r="C18" s="1492" t="s">
        <v>912</v>
      </c>
      <c r="D18" s="857" t="str">
        <f>结果表!H110</f>
        <v>——</v>
      </c>
      <c r="E18" s="1488"/>
    </row>
    <row r="19" spans="1:5" ht="15.75">
      <c r="A19" s="1488"/>
      <c r="B19" s="3448" t="str">
        <f>结果表!E111</f>
        <v>——</v>
      </c>
      <c r="C19" s="1496" t="s">
        <v>910</v>
      </c>
      <c r="D19" s="849" t="str">
        <f>结果表!H111</f>
        <v>——</v>
      </c>
      <c r="E19" s="1488"/>
    </row>
    <row r="20" spans="1:5" ht="15.75">
      <c r="A20" s="1488"/>
      <c r="B20" s="3449"/>
      <c r="C20" s="1491" t="s">
        <v>923</v>
      </c>
      <c r="D20" s="848" t="e">
        <f>NUMBERSTRING(INT(D19*10000),2)&amp;"元整"</f>
        <v>#VALUE!</v>
      </c>
      <c r="E20" s="1488"/>
    </row>
    <row r="21" spans="1:5" ht="15.75" thickBot="1">
      <c r="A21" s="1488"/>
      <c r="B21" s="3450"/>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3" sqref="A23"/>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68" t="s">
        <v>2840</v>
      </c>
      <c r="B1" s="3768"/>
      <c r="C1" s="3768"/>
      <c r="D1" s="3768"/>
      <c r="E1" s="3768"/>
      <c r="F1" s="3768"/>
      <c r="G1" s="3769"/>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766" t="s">
        <v>2867</v>
      </c>
      <c r="B3" s="3227"/>
      <c r="C3" s="3228" t="s">
        <v>2810</v>
      </c>
      <c r="D3" s="3228" t="s">
        <v>2868</v>
      </c>
      <c r="E3" s="3228" t="s">
        <v>2812</v>
      </c>
      <c r="F3" s="3228" t="s">
        <v>2869</v>
      </c>
      <c r="G3" s="3228" t="s">
        <v>2630</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767"/>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0" t="s">
        <v>3182</v>
      </c>
      <c r="B1" s="3770"/>
    </row>
    <row r="2" spans="1:7" ht="14.25" thickBot="1">
      <c r="A2" s="3252"/>
      <c r="B2" s="3252"/>
    </row>
    <row r="3" spans="1:7" ht="14.25" thickBot="1">
      <c r="A3" s="3252"/>
      <c r="B3" s="3252"/>
      <c r="C3" s="3253" t="s">
        <v>2810</v>
      </c>
      <c r="D3" s="3253" t="s">
        <v>2868</v>
      </c>
      <c r="E3" s="3253" t="s">
        <v>2812</v>
      </c>
      <c r="F3" s="3253" t="s">
        <v>2869</v>
      </c>
      <c r="G3" s="3253" t="s">
        <v>2630</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71" t="s">
        <v>3233</v>
      </c>
      <c r="B1" s="3771"/>
      <c r="C1" s="3771"/>
      <c r="D1" s="3771"/>
      <c r="E1" s="3771"/>
      <c r="F1" s="3772"/>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45161</v>
      </c>
      <c r="B1" s="3207" t="s">
        <v>2839</v>
      </c>
      <c r="C1" s="3208"/>
      <c r="D1" s="3208"/>
      <c r="E1" s="3208"/>
      <c r="F1" s="3208"/>
      <c r="G1" s="3208"/>
      <c r="H1" s="3208"/>
      <c r="I1" s="3208"/>
      <c r="J1" s="3162"/>
      <c r="K1" s="3208" t="s">
        <v>454</v>
      </c>
      <c r="L1" s="3208"/>
      <c r="M1" s="3208"/>
      <c r="N1" s="3208"/>
      <c r="O1" s="3208"/>
      <c r="P1" s="3208"/>
      <c r="Q1" s="3162"/>
      <c r="R1" s="3773" t="s">
        <v>456</v>
      </c>
      <c r="S1" s="3774"/>
      <c r="T1" s="3774"/>
      <c r="U1" s="3774"/>
      <c r="V1" s="3774"/>
      <c r="W1" s="3774"/>
      <c r="X1" s="3162"/>
      <c r="Y1" s="3773" t="s">
        <v>457</v>
      </c>
      <c r="Z1" s="3774"/>
      <c r="AA1" s="3774"/>
      <c r="AB1" s="3774"/>
      <c r="AC1" s="3774"/>
      <c r="AD1" s="3774"/>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3369</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3370</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3374</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3373</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3371</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2819</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2820</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2821</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2822</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2823</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2824</v>
      </c>
    </row>
    <row r="20" spans="1:30" s="3006" customFormat="1"/>
    <row r="21" spans="1:30" s="3206" customFormat="1" ht="12.75">
      <c r="B21" s="3207" t="s">
        <v>2825</v>
      </c>
      <c r="C21" s="3208"/>
      <c r="D21" s="3208"/>
      <c r="E21" s="3208"/>
      <c r="F21" s="3208"/>
      <c r="G21" s="3208"/>
      <c r="H21" s="3208"/>
      <c r="I21" s="3208"/>
      <c r="J21" s="3162"/>
      <c r="K21" s="3208" t="s">
        <v>2826</v>
      </c>
      <c r="L21" s="3208"/>
      <c r="M21" s="3208"/>
      <c r="N21" s="3208"/>
      <c r="O21" s="3208"/>
      <c r="P21" s="3208"/>
      <c r="Q21" s="3162"/>
      <c r="R21" s="3773" t="s">
        <v>2827</v>
      </c>
      <c r="S21" s="3774"/>
      <c r="T21" s="3774"/>
      <c r="U21" s="3774"/>
      <c r="V21" s="3774"/>
      <c r="W21" s="3774"/>
      <c r="X21" s="3162"/>
      <c r="Y21" s="3773" t="s">
        <v>2828</v>
      </c>
      <c r="Z21" s="3774"/>
      <c r="AA21" s="3774"/>
      <c r="AB21" s="3774"/>
      <c r="AC21" s="3774"/>
      <c r="AD21" s="3774"/>
    </row>
    <row r="22" spans="1:30" s="3140" customFormat="1" ht="14.25" thickBot="1">
      <c r="B22" s="3141"/>
      <c r="C22" s="3142"/>
      <c r="D22" s="3143" t="s">
        <v>2829</v>
      </c>
      <c r="E22" s="3144" t="s">
        <v>2830</v>
      </c>
      <c r="F22" s="3144" t="s">
        <v>2831</v>
      </c>
      <c r="G22" s="3144" t="s">
        <v>2832</v>
      </c>
      <c r="H22" s="3144"/>
      <c r="I22" s="3144" t="s">
        <v>2833</v>
      </c>
      <c r="J22" s="3145"/>
      <c r="K22" s="3143" t="s">
        <v>2829</v>
      </c>
      <c r="L22" s="3144" t="s">
        <v>2830</v>
      </c>
      <c r="M22" s="3144" t="s">
        <v>2831</v>
      </c>
      <c r="N22" s="3144" t="s">
        <v>2832</v>
      </c>
      <c r="O22" s="3144"/>
      <c r="P22" s="3144" t="s">
        <v>2833</v>
      </c>
      <c r="Q22" s="3145"/>
      <c r="R22" s="3143" t="s">
        <v>2829</v>
      </c>
      <c r="S22" s="3144" t="s">
        <v>2830</v>
      </c>
      <c r="T22" s="3144" t="s">
        <v>2831</v>
      </c>
      <c r="U22" s="3144" t="s">
        <v>2832</v>
      </c>
      <c r="V22" s="3144"/>
      <c r="W22" s="3144" t="s">
        <v>2833</v>
      </c>
      <c r="X22" s="3145"/>
      <c r="Y22" s="3143" t="s">
        <v>2829</v>
      </c>
      <c r="Z22" s="3144" t="s">
        <v>2830</v>
      </c>
      <c r="AA22" s="3144" t="s">
        <v>2831</v>
      </c>
      <c r="AB22" s="3144" t="s">
        <v>2832</v>
      </c>
      <c r="AC22" s="3144"/>
      <c r="AD22" s="3144" t="s">
        <v>2833</v>
      </c>
    </row>
    <row r="23" spans="1:30" s="3158" customFormat="1" ht="12.75">
      <c r="A23" s="3146" t="s">
        <v>2834</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3369</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1.0396000000000001</v>
      </c>
      <c r="T25" s="3180">
        <f>ROUND(IF([2]项目基本情况!$B$8="出让",SUMPRODUCT(PRODUCT(1+M25:M$36)),SUMPRODUCT(PRODUCT(1+M25:M$35))),4)</f>
        <v>1.0269999999999999</v>
      </c>
      <c r="U25" s="3180">
        <f>ROUND(IF([2]项目基本情况!$B$8="出让",SUMPRODUCT(PRODUCT(1+N25:N$36)),SUMPRODUCT(PRODUCT(1+N25:N$35))),4)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3370</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1.0396000000000001</v>
      </c>
      <c r="T26" s="3180">
        <f>ROUND(IF([2]项目基本情况!$B$8="出让",SUMPRODUCT(PRODUCT(1+M26:M$36)),SUMPRODUCT(PRODUCT(1+M26:M$35))),4)</f>
        <v>1.0269999999999999</v>
      </c>
      <c r="U26" s="3180">
        <f>ROUND(IF([2]项目基本情况!$B$8="出让",SUMPRODUCT(PRODUCT(1+N26:N$36)),SUMPRODUCT(PRODUCT(1+N26:N$35))),4)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3372</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ROUND(IF([2]项目基本情况!$B$8="出让",SUMPRODUCT(PRODUCT(1+L27:L$36)),SUMPRODUCT(PRODUCT(1+L27:L$35))),4)</f>
        <v>1.0396000000000001</v>
      </c>
      <c r="T27" s="3189">
        <f>ROUND(IF([2]项目基本情况!$B$8="出让",SUMPRODUCT(PRODUCT(1+M27:M$36)),SUMPRODUCT(PRODUCT(1+M27:M$35))),4)</f>
        <v>1.0269999999999999</v>
      </c>
      <c r="U27" s="3189">
        <f>ROUND(IF([2]项目基本情况!$B$8="出让",SUMPRODUCT(PRODUCT(1+N27:N$36)),SUMPRODUCT(PRODUCT(1+N27:N$35))),4)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3373</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ROUND(IF([2]项目基本情况!$B$8="出让",SUMPRODUCT(PRODUCT(1+L28:L$36)),SUMPRODUCT(PRODUCT(1+L28:L$35))),4)</f>
        <v>1.0344</v>
      </c>
      <c r="T28" s="3180">
        <f>ROUND(IF([2]项目基本情况!$B$8="出让",SUMPRODUCT(PRODUCT(1+M28:M$36)),SUMPRODUCT(PRODUCT(1+M28:M$35))),4)</f>
        <v>1.0224</v>
      </c>
      <c r="U28" s="3180">
        <f>ROUND(IF([2]项目基本情况!$B$8="出让",SUMPRODUCT(PRODUCT(1+N28:N$36)),SUMPRODUCT(PRODUCT(1+N28:N$35))),4)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3371</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2835</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2836</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2837</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2838</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2823</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7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7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7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8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8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7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7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8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8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7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7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7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7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7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7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7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7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7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7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7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8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8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8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8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7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7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7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7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7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7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7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7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7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7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7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7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7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7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7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7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7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7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7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7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7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7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7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7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7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7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7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7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7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7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7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7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7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7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7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7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7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7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7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7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7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7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7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7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45161</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2308</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852" t="s">
        <v>925</v>
      </c>
      <c r="E3" s="852" t="s">
        <v>931</v>
      </c>
      <c r="F3" s="852" t="s">
        <v>925</v>
      </c>
      <c r="G3" s="852" t="s">
        <v>926</v>
      </c>
      <c r="H3" s="852" t="s">
        <v>925</v>
      </c>
      <c r="I3" s="852" t="s">
        <v>926</v>
      </c>
    </row>
    <row r="4" spans="1:9" ht="15">
      <c r="A4" s="1502" t="str">
        <f>项目基本情况!S2</f>
        <v>北京市房地产</v>
      </c>
      <c r="B4" s="852">
        <f>项目基本情况!C17</f>
        <v>24865.040000000005</v>
      </c>
      <c r="C4" s="852">
        <f>项目基本情况!C18</f>
        <v>1899.7</v>
      </c>
      <c r="D4" s="852" t="e">
        <f ca="1">结果表!D118</f>
        <v>#DIV/0!</v>
      </c>
      <c r="E4" s="852" t="e">
        <f ca="1">结果表!E118</f>
        <v>#DIV/0!</v>
      </c>
      <c r="F4" s="852" t="e">
        <f ca="1">结果表!F118</f>
        <v>#DIV/0!</v>
      </c>
      <c r="G4" s="852" t="e">
        <f ca="1">结果表!G118</f>
        <v>#DIV/0!</v>
      </c>
      <c r="H4" s="852">
        <f ca="1">结果表!H118</f>
        <v>6954</v>
      </c>
      <c r="I4" s="852">
        <f ca="1">结果表!I118</f>
        <v>2797</v>
      </c>
    </row>
    <row r="5" spans="1:9" ht="30" customHeight="1">
      <c r="A5" s="3460" t="s">
        <v>927</v>
      </c>
      <c r="B5" s="3460"/>
      <c r="C5" s="3460"/>
      <c r="D5" s="3460" t="e">
        <f ca="1">结果表!D119</f>
        <v>#DIV/0!</v>
      </c>
      <c r="E5" s="3460"/>
      <c r="F5" s="3460" t="e">
        <f ca="1">结果表!F119</f>
        <v>#DIV/0!</v>
      </c>
      <c r="G5" s="3460"/>
      <c r="H5" s="3460" t="str">
        <f ca="1">结果表!H119</f>
        <v>陆仟玖佰伍拾肆万元整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房地产抵押价值</v>
      </c>
      <c r="B8" s="3461"/>
      <c r="C8" s="3461"/>
      <c r="D8" s="3461">
        <f ca="1">结果表!D122</f>
        <v>6954</v>
      </c>
      <c r="E8" s="3461"/>
      <c r="F8" s="3461"/>
      <c r="G8" s="3461"/>
      <c r="H8" s="3461"/>
      <c r="I8" s="3461"/>
    </row>
    <row r="9" spans="1:9" ht="15">
      <c r="A9" s="3460" t="s">
        <v>927</v>
      </c>
      <c r="B9" s="3460"/>
      <c r="C9" s="3460"/>
      <c r="D9" s="3460" t="str">
        <f ca="1">结果表!D123</f>
        <v>陆仟玖佰伍拾肆万元整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67" t="s">
        <v>949</v>
      </c>
      <c r="B1" s="3467"/>
      <c r="C1" s="3467"/>
      <c r="D1" s="3467"/>
    </row>
    <row r="2" spans="1:4" ht="18">
      <c r="A2" s="3468" t="s">
        <v>933</v>
      </c>
      <c r="B2" s="3468"/>
      <c r="C2" s="3468"/>
      <c r="D2" s="3468"/>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68" t="s">
        <v>939</v>
      </c>
      <c r="B6" s="3468"/>
      <c r="C6" s="3468"/>
      <c r="D6" s="3468"/>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481" t="s">
        <v>956</v>
      </c>
      <c r="B15" s="3476" t="s">
        <v>109</v>
      </c>
      <c r="C15" s="3477"/>
    </row>
    <row r="16" spans="1:7" ht="13.5">
      <c r="A16" s="3482"/>
      <c r="B16" s="3476" t="s">
        <v>42</v>
      </c>
      <c r="C16" s="3477"/>
    </row>
    <row r="17" spans="1:3" ht="13.5">
      <c r="A17" s="3482"/>
      <c r="B17" s="3479" t="s">
        <v>957</v>
      </c>
      <c r="C17" s="1529" t="s">
        <v>956</v>
      </c>
    </row>
    <row r="18" spans="1:3" ht="13.5">
      <c r="A18" s="3482"/>
      <c r="B18" s="3479"/>
      <c r="C18" s="1529" t="s">
        <v>958</v>
      </c>
    </row>
    <row r="19" spans="1:3" ht="13.5">
      <c r="A19" s="3482"/>
      <c r="B19" s="3479"/>
      <c r="C19" s="1529" t="s">
        <v>959</v>
      </c>
    </row>
    <row r="20" spans="1:3" ht="13.5">
      <c r="A20" s="3483"/>
      <c r="B20" s="3478" t="s">
        <v>960</v>
      </c>
      <c r="C20" s="3477"/>
    </row>
    <row r="21" spans="1:3" ht="13.5">
      <c r="A21" s="1530" t="s">
        <v>961</v>
      </c>
      <c r="B21" s="1531"/>
      <c r="C21" s="1532"/>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29" t="s">
        <v>967</v>
      </c>
    </row>
    <row r="26" spans="1:3" ht="13.5">
      <c r="A26" s="3480"/>
      <c r="B26" s="3479"/>
      <c r="C26" s="1529" t="s">
        <v>968</v>
      </c>
    </row>
    <row r="27" spans="1:3" ht="13.5">
      <c r="A27" s="3480"/>
      <c r="B27" s="3479"/>
      <c r="C27" s="1529" t="s">
        <v>969</v>
      </c>
    </row>
    <row r="28" spans="1:3" ht="13.5">
      <c r="A28" s="3480"/>
      <c r="B28" s="3479"/>
      <c r="C28" s="1529" t="s">
        <v>970</v>
      </c>
    </row>
    <row r="29" spans="1:3" ht="13.5">
      <c r="A29" s="3480"/>
      <c r="B29" s="3479"/>
      <c r="C29" s="1529" t="s">
        <v>971</v>
      </c>
    </row>
    <row r="30" spans="1:3" ht="13.5">
      <c r="A30" s="3480"/>
      <c r="B30" s="3479"/>
      <c r="C30" s="1529" t="s">
        <v>972</v>
      </c>
    </row>
    <row r="31" spans="1:3" ht="13.5">
      <c r="A31" s="3480"/>
      <c r="B31" s="3479"/>
      <c r="C31" s="1529" t="s">
        <v>973</v>
      </c>
    </row>
    <row r="32" spans="1:3" ht="13.5">
      <c r="A32" s="3480"/>
      <c r="B32" s="3479"/>
      <c r="C32" s="1529" t="s">
        <v>974</v>
      </c>
    </row>
    <row r="33" spans="1:3" ht="13.5">
      <c r="A33" s="3480"/>
      <c r="B33" s="3479"/>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45161</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484" t="s">
        <v>2159</v>
      </c>
      <c r="B17" s="3484"/>
      <c r="C17" s="3484"/>
      <c r="D17" s="3484"/>
      <c r="E17" s="3484"/>
      <c r="F17" s="3484"/>
      <c r="G17" s="3484"/>
      <c r="H17" s="3484"/>
    </row>
    <row r="18" spans="1:8" ht="24" customHeight="1">
      <c r="A18" s="3485" t="s">
        <v>2160</v>
      </c>
      <c r="B18" s="3485"/>
      <c r="C18" s="3485"/>
      <c r="D18" s="2340"/>
      <c r="E18" s="3486" t="s">
        <v>2161</v>
      </c>
      <c r="F18" s="3485"/>
      <c r="G18" s="3485"/>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2023-08-23T06:49:45Z</dcterms:modified>
</cp:coreProperties>
</file>